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dos" sheetId="1" r:id="rId4"/>
    <sheet state="hidden" name="SW_NEXT_CONNECTION_generic" sheetId="2" r:id="rId5"/>
    <sheet state="visible" name="avaliações" sheetId="3" r:id="rId6"/>
    <sheet state="visible" name="reviews" sheetId="4" r:id="rId7"/>
  </sheets>
  <definedNames/>
  <calcPr/>
</workbook>
</file>

<file path=xl/sharedStrings.xml><?xml version="1.0" encoding="utf-8"?>
<sst xmlns="http://schemas.openxmlformats.org/spreadsheetml/2006/main" count="25282" uniqueCount="13379">
  <si>
    <t>product_id</t>
  </si>
  <si>
    <t>product_name</t>
  </si>
  <si>
    <t>category</t>
  </si>
  <si>
    <t>subcategory</t>
  </si>
  <si>
    <t>subcategory 1</t>
  </si>
  <si>
    <t>subcategory 2</t>
  </si>
  <si>
    <t>subcategory 3</t>
  </si>
  <si>
    <t>subcategory 4</t>
  </si>
  <si>
    <t>actual_price</t>
  </si>
  <si>
    <t>product_price</t>
  </si>
  <si>
    <t>percent_desc</t>
  </si>
  <si>
    <t>preço_atual_R$</t>
  </si>
  <si>
    <t>rating</t>
  </si>
  <si>
    <t>rating_count</t>
  </si>
  <si>
    <t>about_product</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</si>
  <si>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</si>
  <si>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</si>
  <si>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</si>
  <si>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</si>
  <si>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Computers&amp;Accessories</t>
  </si>
  <si>
    <t>Accessories&amp;Peripherals</t>
  </si>
  <si>
    <t>Cables&amp;Accessories</t>
  </si>
  <si>
    <t>Cables</t>
  </si>
  <si>
    <t>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</si>
  <si>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</si>
  <si>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</si>
  <si>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</si>
  <si>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</si>
  <si>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</si>
  <si>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</si>
  <si>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</si>
  <si>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</si>
  <si>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 Fast Charger&amp; Data Sync】-With built-in safety proctections and four-core copper wires promote maximum signal quality and strength and enhance charging &amp; data transfer speed with up to 480 mb/s transferring speed.|【 Compatibility】-Compatible with iPhone 13, 12,11, X, 8, 7, 6, 5, iPad Air, Pro, Mini &amp; iOS devices.|【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</si>
  <si>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</si>
  <si>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</si>
  <si>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</si>
  <si>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</si>
  <si>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</si>
  <si>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</si>
  <si>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</si>
  <si>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</si>
  <si>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</si>
  <si>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</si>
  <si>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</si>
  <si>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</si>
  <si>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</si>
  <si>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</si>
  <si>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</si>
  <si>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</si>
  <si>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</si>
  <si>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</si>
  <si>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</si>
  <si>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</si>
  <si>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</si>
  <si>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</si>
  <si>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</si>
  <si>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</si>
  <si>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NetworkingDevices</t>
  </si>
  <si>
    <t>NetworkAdapters</t>
  </si>
  <si>
    <t>WirelessUSBAdapters</t>
  </si>
  <si>
    <t>USB WiFi Adapter —— Speedy wireless transmission at up to 150Mbps ideal for video streaming or internet calls|Mini Design —— Sleek miniature design so small that once plugged in, can be left in a Laptop’s USB port|Advanced Security —— Supports 64/128 WEP, WPA, PA2/WPA-PSK/WPA2-PSK(TKIP/AES)|Compatibility —— Windows 11/10/8.1/8/7/XP, Mac OS 10.15 and earlier, Linux|Easy Setup —— Connect in no time with easy setup utility in 14 languages|In an unlikely case of product quality related issue, we may ask you to reach out to brand’s customer service support and seek resolution. We will require brand proof of issue to process replacement request</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</si>
  <si>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</si>
  <si>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</si>
  <si>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</si>
  <si>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 It is compatible with all Micro USB enabled devices, be it an android smartphone, tablet, PC peripheral or any other micro USB compatible device|Unbreakable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</si>
  <si>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</si>
  <si>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</si>
  <si>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</si>
  <si>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</si>
  <si>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</si>
  <si>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</si>
  <si>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</si>
  <si>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</si>
  <si>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</si>
  <si>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</si>
  <si>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</si>
  <si>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</si>
  <si>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Electronics</t>
  </si>
  <si>
    <t>HomeTheater,TV&amp;Video</t>
  </si>
  <si>
    <t>Accessories</t>
  </si>
  <si>
    <t>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</si>
  <si>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</si>
  <si>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</si>
  <si>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</si>
  <si>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</si>
  <si>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CHARGING]-It’s supports 20W PD quick charge protocol, charge up to 50% in around 30 minutes. It is ideal for charging your USB type c enabled devices at maximum speed|[USB-C to 8 Pin Cable]- It’s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</si>
  <si>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https://www.amazon.in/Portronics-Konnect-Delivery-Support-Braided/dp/B085DTN6R2/ref=sr_1_15?qid=1672909124&amp;s=electronics&amp;sr=1-15</t>
  </si>
  <si>
    <t>B09KLVMZ3B</t>
  </si>
  <si>
    <t>Portronics Konnect L 1.2M POR-1401 Fast Charging 3A 8 Pin USB Cable with Charge &amp; Sync Function (White)</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</si>
  <si>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</si>
  <si>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</si>
  <si>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</si>
  <si>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</si>
  <si>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</si>
  <si>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</si>
  <si>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</si>
  <si>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</si>
  <si>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Televisions</t>
  </si>
  <si>
    <t>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</si>
  <si>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</si>
  <si>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</si>
  <si>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</si>
  <si>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</si>
  <si>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</si>
  <si>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</si>
  <si>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</si>
  <si>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</si>
  <si>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</si>
  <si>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</si>
  <si>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</si>
  <si>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</si>
  <si>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</si>
  <si>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</si>
  <si>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</si>
  <si>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</si>
  <si>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</si>
  <si>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</si>
  <si>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</si>
  <si>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</si>
  <si>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</si>
  <si>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</si>
  <si>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</si>
  <si>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</si>
  <si>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</si>
  <si>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</si>
  <si>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</si>
  <si>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</si>
  <si>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</si>
  <si>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</si>
  <si>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</si>
  <si>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</si>
  <si>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</si>
  <si>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</si>
  <si>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</si>
  <si>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</si>
  <si>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 Gold Plate HDMI Cable of Length: 5 Feet/ 1.8 Meters</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</si>
  <si>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</si>
  <si>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</si>
  <si>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</si>
  <si>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</si>
  <si>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</si>
  <si>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</si>
  <si>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</si>
  <si>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</si>
  <si>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</si>
  <si>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</si>
  <si>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</si>
  <si>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</si>
  <si>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</si>
  <si>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</si>
  <si>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</si>
  <si>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</si>
  <si>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</si>
  <si>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</si>
  <si>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</si>
  <si>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</si>
  <si>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</si>
  <si>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</si>
  <si>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</si>
  <si>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</si>
  <si>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</si>
  <si>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</si>
  <si>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</si>
  <si>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</si>
  <si>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</si>
  <si>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</si>
  <si>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</si>
  <si>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</si>
  <si>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</si>
  <si>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</si>
  <si>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</si>
  <si>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</si>
  <si>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</si>
  <si>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</si>
  <si>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</si>
  <si>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</si>
  <si>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</si>
  <si>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</si>
  <si>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</si>
  <si>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</si>
  <si>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</si>
  <si>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</si>
  <si>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</si>
  <si>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Don’t Hesitate to Contact Customer Service.</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</si>
  <si>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</si>
  <si>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</si>
  <si>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</si>
  <si>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</si>
  <si>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</si>
  <si>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</si>
  <si>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</si>
  <si>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</si>
  <si>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</si>
  <si>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</si>
  <si>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</si>
  <si>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</si>
  <si>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</si>
  <si>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</si>
  <si>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</si>
  <si>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</si>
  <si>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</si>
  <si>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</si>
  <si>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</si>
  <si>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</si>
  <si>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</si>
  <si>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</si>
  <si>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</si>
  <si>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 Up to 600Mbps speeds with 200Mbps on 2.4GHz and 433 Mbps on 5GHz, upgrades your devices to higher AC WiFi speeds|Dual Band Wireless —— 2.4GHz and 5GHz band for flexible connectivity, upgrades your devices to work with the latest dual-band WiFi router for faster speed and extended range|Nano design —— Small, unobtrusive design allows you to plug it in and forget it is even there|Operating System —— Supports Windows 11/10/8.1/8/7/XP, Mac OS 10.15 and earlier|Advanced Security —— Supports 64/128-bit WEP, WPA/WPA2, and WPA-PSK/WPA2-PSK encryption standards|Worry-free customer support —— For other installation related query, compatibility issue or any other queries call on toll free no</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</si>
  <si>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</si>
  <si>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</si>
  <si>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</si>
  <si>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</si>
  <si>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</si>
  <si>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</si>
  <si>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</si>
  <si>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</si>
  <si>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</si>
  <si>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</si>
  <si>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</si>
  <si>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</si>
  <si>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</si>
  <si>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</si>
  <si>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</si>
  <si>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</si>
  <si>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https://www.amazon.in/AmazonBasics-High-Speed-HDMI-Cable-Feet/dp/B014I8SSD0/ref=sr_1_51?qid=1672909126&amp;s=electronics&amp;sr=1-51</t>
  </si>
  <si>
    <t>B09L8DSSFH</t>
  </si>
  <si>
    <t>7SEVEN® Compatible for Samsung Smart 4K Ultra HD TV Monitor Remote Control Replacement of Original Samsung TV Remote for LED OLED UHD QLED and Suitable for 6 7 8 Series Samsung TV with Hot Keys BN59-01259E</t>
  </si>
  <si>
    <t>Electronics|HomeTheater,TV&amp;Video|Accessories|RemoteControls</t>
  </si>
  <si>
    <t>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</si>
  <si>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</si>
  <si>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</si>
  <si>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</si>
  <si>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</si>
  <si>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</si>
  <si>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</si>
  <si>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</si>
  <si>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</si>
  <si>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 256QAM support increases the 2.4 GHz data rate from 150 Mbps to 200 Mbps, 200 Mbps on the 2.4 GHz band and 433 Mbps on the 5 GHz band, ensure you fully enjoy fast AC Wi-Fi.|Dual Band Wireless —— 2.4 GHz and 5 GHz band provide flexible connectivity, giving your devices access to the latest dual-band Wi-Fi router for faster speed and extended range|High-Gain Antenna —— A 5dBi high-gain antenna greatly enhances the reception and transmission signal strength of the USB adapter|Supports the Latest Operating Systems —— Fully compatible with Windows 11/10/8.1/8/7/XP, Mac OS 10.15 and earlier|In an unlikely case of product quality related issue, we may ask you to reach out to brand’s customer service support and seek resolution. We will require brand proof of issue to process replacement request.</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</si>
  <si>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</si>
  <si>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</si>
  <si>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</si>
  <si>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</si>
  <si>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</si>
  <si>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</si>
  <si>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</si>
  <si>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</si>
  <si>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</si>
  <si>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</si>
  <si>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</si>
  <si>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</si>
  <si>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</si>
  <si>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</si>
  <si>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</si>
  <si>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</si>
  <si>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</si>
  <si>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t>
  </si>
  <si>
    <t>https://www.amazon.in/Ambrane-Unbreakable-Charging-RCT15-Supports/dp/B0BFWGBX61/ref=sr_1_59?qid=1672909126&amp;s=electronics&amp;sr=1-59</t>
  </si>
  <si>
    <t>B01N90RZ4M</t>
  </si>
  <si>
    <t>Tata Sky Universal Remote</t>
  </si>
  <si>
    <t>Universal remote control|Ensures long lastinga and consistent performance|Sturdy built</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</si>
  <si>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</si>
  <si>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</si>
  <si>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</si>
  <si>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 300Mbps wireless speed ideal for smooth HD video, voice streaming and online gaming|Design —— Mini-sized design for convenient portability with a reliable high performance|SoftAP Mode —— Turn a wired internet connection to a PC or Laptop into a Wi-Fi hotspot|·  WPS —— Easily setup a secure wireless connection with one-touch WPS button|Compatibility —— Supports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</si>
  <si>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</si>
  <si>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</si>
  <si>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</si>
  <si>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</si>
  <si>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</si>
  <si>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</si>
  <si>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</si>
  <si>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</si>
  <si>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</si>
  <si>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</si>
  <si>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</si>
  <si>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</si>
  <si>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</si>
  <si>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</si>
  <si>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</si>
  <si>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</si>
  <si>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</si>
  <si>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</si>
  <si>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</si>
  <si>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</si>
  <si>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</si>
  <si>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</si>
  <si>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</si>
  <si>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</si>
  <si>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</si>
  <si>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</si>
  <si>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</si>
  <si>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</si>
  <si>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</si>
  <si>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</si>
  <si>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</si>
  <si>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</si>
  <si>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</si>
  <si>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</si>
  <si>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</si>
  <si>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</si>
  <si>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</si>
  <si>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</si>
  <si>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</si>
  <si>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</si>
  <si>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</si>
  <si>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</si>
  <si>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</si>
  <si>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</si>
  <si>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</si>
  <si>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</si>
  <si>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</si>
  <si>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</si>
  <si>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TVMounts,Stands&amp;Turntables</t>
  </si>
  <si>
    <t>TVWall&amp;CeilingMounts</t>
  </si>
  <si>
    <t>Full motion cantilever mount|Fits 32inch-55inch flat panel display|Vesa compliance 100x100 to 400x400mm</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</si>
  <si>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</si>
  <si>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</si>
  <si>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</si>
  <si>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</si>
  <si>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</si>
  <si>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</si>
  <si>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</si>
  <si>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connection.|🥇【65W High Speed Charging】: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charger.|🥇【Compatible Devices】:This USB C to USB C cable compatible with Samsung S20, S21 Ultra, A71, laptop Macbook, Samsung S21 S22 S20 FE 2022 A71, A51, A33, M51, M31, M31s, M33, M53, Macbook Air, Macbook Pro, Macbook Air M1|🥇【Military grade material】:Strong military fiber, the most flexible, powerful and durable material, makes tensile force increased by 200%. Special Strain Relief design, can bear 10000+ bending test. Premium Aluminum housing makes the cable more durable|🥇Warranty: Oraimo offer 365days warranty .Oraimo develops cool and creative smart accessory for young people around the world, enableing them to explore more excitement.</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</si>
  <si>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</si>
  <si>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</si>
  <si>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</si>
  <si>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</si>
  <si>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</si>
  <si>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</si>
  <si>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</si>
  <si>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</si>
  <si>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</si>
  <si>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</si>
  <si>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</si>
  <si>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</si>
  <si>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</si>
  <si>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</si>
  <si>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</si>
  <si>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</si>
  <si>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</si>
  <si>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</si>
  <si>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</si>
  <si>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</si>
  <si>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</si>
  <si>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</si>
  <si>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</si>
  <si>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</si>
  <si>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</si>
  <si>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</si>
  <si>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</si>
  <si>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</si>
  <si>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</si>
  <si>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</si>
  <si>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</si>
  <si>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must.|😍【Durable Spring Protection】：The easy-to-break connection port is protected by spring, which is a flexible and durable cable.You can use it with confidence.|【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</si>
  <si>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</si>
  <si>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</si>
  <si>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</si>
  <si>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</si>
  <si>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</si>
  <si>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</si>
  <si>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</si>
  <si>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</si>
  <si>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</si>
  <si>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</si>
  <si>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</si>
  <si>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</si>
  <si>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</si>
  <si>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</si>
  <si>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</si>
  <si>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</si>
  <si>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</si>
  <si>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</si>
  <si>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</si>
  <si>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</si>
  <si>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</si>
  <si>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</si>
  <si>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</si>
  <si>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</si>
  <si>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</si>
  <si>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</si>
  <si>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</si>
  <si>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</si>
  <si>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</si>
  <si>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</si>
  <si>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</si>
  <si>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</si>
  <si>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</si>
  <si>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</si>
  <si>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</si>
  <si>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</si>
  <si>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</si>
  <si>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</si>
  <si>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</si>
  <si>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</si>
  <si>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</si>
  <si>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</si>
  <si>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</si>
  <si>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</si>
  <si>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</si>
  <si>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</si>
  <si>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</si>
  <si>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</si>
  <si>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</si>
  <si>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</si>
  <si>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</si>
  <si>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</si>
  <si>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</si>
  <si>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</si>
  <si>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</si>
  <si>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</si>
  <si>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</si>
  <si>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</si>
  <si>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</si>
  <si>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</si>
  <si>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</si>
  <si>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</si>
  <si>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</si>
  <si>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</si>
  <si>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</si>
  <si>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</si>
  <si>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</si>
  <si>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</si>
  <si>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</si>
  <si>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</si>
  <si>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</si>
  <si>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</si>
  <si>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</si>
  <si>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</si>
  <si>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</si>
  <si>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</si>
  <si>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</si>
  <si>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brand’s customer service support and seek resolution. We will require brand proof of issue to process replacement request.</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</si>
  <si>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</si>
  <si>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</si>
  <si>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</si>
  <si>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【Power Delivery Fast Charging】: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Adapter).|【New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</si>
  <si>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https://www.amazon.in/Wayona-charging-Nylon-Braided-iPhone/dp/B08CHKQ8D4/ref=sr_1_111?qid=1672909129&amp;s=electronics&amp;sr=1-111</t>
  </si>
  <si>
    <t>B09BW334ML</t>
  </si>
  <si>
    <t>Dealfreez Case Compatible with Fire TV Stick 3rd Gen 2021 Full Wrap Silicone Remote Cover Anti-Lost with Loop (D-Black)</t>
  </si>
  <si>
    <t>【Compatibility】: Specially Designed for Fire TV Stick All New Alexa Voice Remote Control (3rd Gen)(2021 Release). (REMOTE NOT INCLUDED)|【3 Meters Shockproof】: Durable Silicone Material can protect your remote from 3 meters high drop, effectively protects your remote from daily impact and unwanted dust and scratches.|【Perfect Fit】: The slim and form-fitted design of the case fully protects your Fire TV Remote with minimal bulk.|【Accessibility】: Revised with precision cut-outs to ensure full access to all ports, buttons, and features of your Fire TV Stick 3rd Gen 2021 All New Alexa Voice Remote.|【Remote Loop】: An included wrist strap is provided that helps prevent accidental drops or releases when using the remote with motion controls.</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</si>
  <si>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</si>
  <si>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</si>
  <si>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</si>
  <si>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</si>
  <si>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</si>
  <si>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</si>
  <si>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</si>
  <si>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</si>
  <si>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</si>
  <si>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</si>
  <si>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</si>
  <si>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</si>
  <si>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</si>
  <si>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</si>
  <si>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bank.|【Short and Convenient Design】: The light and space-saving 0.25M/0.83ft USB cable, it’s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</si>
  <si>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</si>
  <si>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</si>
  <si>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</si>
  <si>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</si>
  <si>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</si>
  <si>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</si>
  <si>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</si>
  <si>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</si>
  <si>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</si>
  <si>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</si>
  <si>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</si>
  <si>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</si>
  <si>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</si>
  <si>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</si>
  <si>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</si>
  <si>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</si>
  <si>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</si>
  <si>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</si>
  <si>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</si>
  <si>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</si>
  <si>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</si>
  <si>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</si>
  <si>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</si>
  <si>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</si>
  <si>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</si>
  <si>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</si>
  <si>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</si>
  <si>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</si>
  <si>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</si>
  <si>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</si>
  <si>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</si>
  <si>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α5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</si>
  <si>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</si>
  <si>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</si>
  <si>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</si>
  <si>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</si>
  <si>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</si>
  <si>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</si>
  <si>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</si>
  <si>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【NOTE: REMOTE CONTROL NOT INCLUDED】|3 Meters Shockproof:Thicken layer silicone case protects against 3 meters highdrops accidental and adds grip to the remote. Adds more security for your LG AN-MR21GA Magic Remote remote from daily impact .|Protective Skin:Eco-friendly and durable silicone case material，effectively protects the skin of children, pregnant women and family members.|Full access to all buttons, ports and functions. Easy to install, just slide the LG AN-MR21GA / LG AN-MR21GC Remote into the case.</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</si>
  <si>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</si>
  <si>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</si>
  <si>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</si>
  <si>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</si>
  <si>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</si>
  <si>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</si>
  <si>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</si>
  <si>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</si>
  <si>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</si>
  <si>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</si>
  <si>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</si>
  <si>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</si>
  <si>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</si>
  <si>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</si>
  <si>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</si>
  <si>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</si>
  <si>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</si>
  <si>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</si>
  <si>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</si>
  <si>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</si>
  <si>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</si>
  <si>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</si>
  <si>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</si>
  <si>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</si>
  <si>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</si>
  <si>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</si>
  <si>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</si>
  <si>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</si>
  <si>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</si>
  <si>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</si>
  <si>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</si>
  <si>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</si>
  <si>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</si>
  <si>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</si>
  <si>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</si>
  <si>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</si>
  <si>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</si>
  <si>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</si>
  <si>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</si>
  <si>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</si>
  <si>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</si>
  <si>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</si>
  <si>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</si>
  <si>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</si>
  <si>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</si>
  <si>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</si>
  <si>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</si>
  <si>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</si>
  <si>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https://www.amazon.in/AmazonBasics-Speed-Female-Extension-Cable/dp/B01D5H8ZI8/ref=sr_1_141?qid=1672909130&amp;s=electronics&amp;sr=1-141</t>
  </si>
  <si>
    <t>B09X1M3DHX</t>
  </si>
  <si>
    <t>iFFALCON 80 cm (32 inches) HD Ready Smart LED TV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</si>
  <si>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</si>
  <si>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https://www.amazon.in/iFFALCON-inches-Ready-Smart-TV-32F53/dp/B09X1M3DHX/ref=sr_1_142?qid=1672909130&amp;s=electronics&amp;sr=1-142</t>
  </si>
  <si>
    <t>B09MM6P76N</t>
  </si>
  <si>
    <t>7SEVEN®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</si>
  <si>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</si>
  <si>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</si>
  <si>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</si>
  <si>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</si>
  <si>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</si>
  <si>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</si>
  <si>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</si>
  <si>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https://www.amazon.in/AmazonBasics-3-5mm-2-Male-Adapter-cable/dp/B01D5H8LDM/ref=sr_1_144?qid=1672909130&amp;s=electronics&amp;sr=1-144</t>
  </si>
  <si>
    <t>B0B1YY6JJL</t>
  </si>
  <si>
    <t>Acer 109 cm (43 inches) I Series 4K Ultra HD Android Smart LED TV AR43AR2851UDFL (Black)</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</si>
  <si>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</si>
  <si>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</si>
  <si>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</si>
  <si>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2M/6ft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</si>
  <si>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</si>
  <si>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</si>
  <si>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</si>
  <si>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</si>
  <si>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HomeAudio</t>
  </si>
  <si>
    <t>SpeakerAccessories</t>
  </si>
  <si>
    <t>Mounts</t>
  </si>
  <si>
    <t>Hand Free</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</si>
  <si>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</si>
  <si>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</si>
  <si>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</si>
  <si>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</si>
  <si>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</si>
  <si>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</si>
  <si>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</si>
  <si>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</si>
  <si>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</si>
  <si>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</si>
  <si>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</si>
  <si>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α5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</si>
  <si>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</si>
  <si>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</si>
  <si>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</si>
  <si>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</si>
  <si>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</si>
  <si>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</si>
  <si>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</si>
  <si>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</si>
  <si>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</si>
  <si>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</si>
  <si>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</si>
  <si>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</si>
  <si>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</si>
  <si>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</si>
  <si>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</si>
  <si>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</si>
  <si>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</si>
  <si>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</si>
  <si>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</si>
  <si>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【NOTE before purchase】:This is a USB C to USB C cable, which means it has the same USB C connector on both ends, please be aware that this is not a USB C to USB A cable. So, you may need a USB C wall charger to charge your device.|【Fast Charging &amp; 480Mbps Data Transfer Speed】: Supports QC/PD fast charging, with 65W/30W/18W USB C Power Adapters to use. Data transfer speed is up to 480Mbps between two devices, which means transferring 100 songs within seconds.|【Durable Nylon Braiding】:The strong braided cable not only avoids the tangling but it also comes with Velcro strap so It can be wrapped up and put in a bag or pocket.|【65W / 3.25A Rapid Charging】 ：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device.|【List of Compatible Devices】:This USB C to USB C Cable can fast charge your Samsung Galaxy S20/S20+/S20 Ultra/S10/ S10+/S9/S9+/S8/S8+/Note 10/Note 10+/Note 9/Note 8/A50s/ A70/A80. and also Compatible with Type-c Port Laptops and Nintendo Switch with the original charger (View Product Description for details)</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</si>
  <si>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</si>
  <si>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</si>
  <si>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</si>
  <si>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 — AC1300 (867 Mbps on the 5 GHz band or 400 Mbps on the 2.4 GHz band) dual-band Wi-Fi to ensure all your devices run at full speed|MU-MIMO Technology — Improves the throughput and efficiency of the whole network with MU-MIMO technology|Dual-Band Wireless — The 2.4 GHz and 5 GHz bands provide flexible connectivity, giving your devices access to the latest dual-band Wi-Fi router for faster speed and extended range|High-Gain Antennas — Advanced external high-gain antennas greatly enhance the reception and transmission signal strength of the USB adapter|Supports the Latest Operating Systems — Fully compatible with Windows 11/10/8.1/8/7/XP and Mac OS 10.15 and earlier|In an unlikely case of product quality related issue, we may ask you to reach out to brand’s customer service support and seek resolution. We will require brand proof of issue to process replacement request.</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</si>
  <si>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</si>
  <si>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</si>
  <si>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</si>
  <si>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</si>
  <si>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</si>
  <si>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</si>
  <si>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</si>
  <si>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 Exceptional wireless speed up to 150Mbps brings best experience for video streaming or internet calls|Easy Set up —— Easy wireless security encryption at a push of the WPS button|Antenna —— 4dBi detachable Omni Directional antenna, remarkably strengthen signal power of the USB adapter|Compatibility ——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</si>
  <si>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</si>
  <si>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</si>
  <si>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</si>
  <si>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</si>
  <si>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</si>
  <si>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</si>
  <si>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</si>
  <si>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</si>
  <si>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https://www.amazon.in/OXYURA-Airtel-Digital-Recording-Compatible/dp/B00RFWNJMC/ref=sr_1_164?qid=1672909131&amp;s=electronics&amp;sr=1-164</t>
  </si>
  <si>
    <t>B082T6GXS5</t>
  </si>
  <si>
    <t>AmazonBasics New Release Nylon USB-A to Lightning Cable Cord, MFi Certified Charger for Apple iPhone, iPad, Silver, 6-Ft</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</si>
  <si>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</si>
  <si>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</si>
  <si>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</si>
  <si>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</si>
  <si>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</si>
  <si>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</si>
  <si>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</si>
  <si>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</si>
  <si>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</si>
  <si>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</si>
  <si>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</si>
  <si>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</si>
  <si>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</si>
  <si>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</si>
  <si>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</si>
  <si>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</si>
  <si>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</si>
  <si>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</si>
  <si>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</si>
  <si>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</si>
  <si>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</si>
  <si>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</si>
  <si>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</si>
  <si>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</si>
  <si>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</si>
  <si>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</si>
  <si>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</si>
  <si>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</si>
  <si>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</si>
  <si>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</si>
  <si>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</si>
  <si>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</si>
  <si>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</si>
  <si>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</si>
  <si>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https://www.amazon.in/GENERIC-Ultra-Mini-Bluetooth-Dongle-Adapter/dp/B0117H7GZ6/ref=sr_1_173_mod_primary_new?qid=1672909133&amp;s=electronics&amp;sbo=RZvfv%2F%2FHxDF%2BO5021pAnSA%3D%3D&amp;sr=1-173</t>
  </si>
  <si>
    <t>B09XJ1LM7R</t>
  </si>
  <si>
    <t>7SEVEN® Compatible for Tata Sky Remote Original Set Top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</si>
  <si>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</si>
  <si>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</si>
  <si>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</si>
  <si>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</si>
  <si>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</si>
  <si>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</si>
  <si>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</si>
  <si>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</si>
  <si>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</si>
  <si>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</si>
  <si>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</si>
  <si>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</si>
  <si>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</si>
  <si>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</si>
  <si>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</si>
  <si>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https://www.amazon.in/Zeb-HAA2021-HDMI-Meter-Cable/dp/B07VSG5SXZ/ref=sr_1_177?qid=1672909133&amp;s=electronics&amp;sr=1-177</t>
  </si>
  <si>
    <t>B08RWCZ6SY</t>
  </si>
  <si>
    <t>7SEVEN®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</si>
  <si>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</si>
  <si>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</si>
  <si>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</si>
  <si>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</si>
  <si>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doesn’t take up too much space behind your entertainment center or desk; simple to install|Includes quality fiber cable and external micro USB power supply</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</si>
  <si>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</si>
  <si>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</si>
  <si>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</si>
  <si>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free.|✅【Short and Convenient Design】: The light and space-saving 1ft USB Type C cable, it’s perfect for your power bank,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</si>
  <si>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</si>
  <si>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</si>
  <si>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</si>
  <si>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</si>
  <si>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</si>
  <si>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</si>
  <si>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</si>
  <si>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won’t be affected by daily rough usage.|Ideal Length - It has an ideal length of 1.5 meters which is super convenient to use.|Made in India - This product is made in India at the Ambrane’s manufacturing facility in Haryana.</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</si>
  <si>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</si>
  <si>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</si>
  <si>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</si>
  <si>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</si>
  <si>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</si>
  <si>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</si>
  <si>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</si>
  <si>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</si>
  <si>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</si>
  <si>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</si>
  <si>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</si>
  <si>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</si>
  <si>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</si>
  <si>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</si>
  <si>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</si>
  <si>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</si>
  <si>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</si>
  <si>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</si>
  <si>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</si>
  <si>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</si>
  <si>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</si>
  <si>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</si>
  <si>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</si>
  <si>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</si>
  <si>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</si>
  <si>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</si>
  <si>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</si>
  <si>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 Wi-Fi Speed —— AC1300 (400 Mpbs on 2.4GHz band and 867 Mbps on 5GHz band) wireless speed with the next generation Wi-Fi - 802.11ac|Dual Band Wireless —— 2.4GHz and 5GHz band for flexible connectivity|Mini design —— Mini-sized design for convenient portability with a reliable high performance|Super Speed USB 3.0 Port —— Up to 10x faster transfer speeds than USB 2.0|MU-MIMO —— Delivers highly efficient wireless connection|Supported Operating System —— Windows 11/10/8.1/8/7/XP, Mac OS 10.15 and earlier</t>
  </si>
  <si>
    <t>https://www.amazon.in/TP-Link-Archer-T3U-Wireless-MU-MIMO/dp/B07M69276N/ref=sr_1_190?qid=1672909133&amp;s=electronics&amp;sr=1-190</t>
  </si>
  <si>
    <t>B0B1YZ9CB8</t>
  </si>
  <si>
    <t>Acer 139 cm (55 inches) I Series 4K Ultra HD Android Smart LED TV AR55AR2851UDFL (Black)</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</si>
  <si>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</si>
  <si>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</si>
  <si>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</si>
  <si>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</si>
  <si>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</si>
  <si>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</si>
  <si>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</si>
  <si>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</si>
  <si>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</si>
  <si>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</si>
  <si>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</si>
  <si>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</si>
  <si>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</si>
  <si>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</si>
  <si>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</si>
  <si>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【Powerful compatibility】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drivers|【Ultra High Speed】The USB WiFi adapter is equipped with 802.11n WiFi technology for faster speed and dual band, reducing interference and avoiding unexpected connection breaks or signal loss. Maximum speed up to 600 Mbpsat 2.4GHz, ideal for movies, HD video streaming, online gaming and video chatting.|【Support any WiFi router and AP mode】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stronger.|【Mini WiFi Dongle Design】Super mini size, compact USB WiFi adapter for easy carrying. You can leave it in your TV box, laptop or PC and don't need to remove it.</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</si>
  <si>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</si>
  <si>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</si>
  <si>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</si>
  <si>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</si>
  <si>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</si>
  <si>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</si>
  <si>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</si>
  <si>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【High Charging Speed 65W】: Output power up to 20V 3.25A, which is ensured by high-speed and safe charging, and the USB 2.0 supports data transfer speed which can reach 40~60MB/S (480Mbps).|【Kindly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connection.|【High Quality Type C to C cable】: Its user-friendly design helps you to insert the connector in the right way all the time. This cable will be the right choice for a durable and cost-effective USB-C to USB-C cord/ Type C to Type C cord.|【3A Fast Charging 】：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56KΩ with smart chipsets which ensure the safety of your phone battery.</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</si>
  <si>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</si>
  <si>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</si>
  <si>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</si>
  <si>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</si>
  <si>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https://www.amazon.in/FLiX-Charging-480Mbps-Andriod-XCD-FPM01/dp/B0B3MQXNFB/ref=sr_1_198?qid=1672909134&amp;s=electronics&amp;sr=1-198</t>
  </si>
  <si>
    <t>B08XMSKKMM</t>
  </si>
  <si>
    <t>7SEVEN®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</si>
  <si>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</si>
  <si>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</si>
  <si>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</si>
  <si>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</si>
  <si>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</si>
  <si>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</si>
  <si>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</si>
  <si>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</si>
  <si>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</si>
  <si>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</si>
  <si>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</si>
  <si>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</si>
  <si>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</si>
  <si>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</si>
  <si>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</si>
  <si>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</si>
  <si>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</si>
  <si>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</si>
  <si>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</si>
  <si>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</si>
  <si>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</si>
  <si>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</si>
  <si>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</si>
  <si>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</si>
  <si>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</si>
  <si>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</si>
  <si>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</si>
  <si>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</si>
  <si>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</si>
  <si>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</si>
  <si>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</si>
  <si>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</si>
  <si>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【NOTE before purchase】: This is a USB-C to USB-C cable, which means it has the same USB C plug on both ends, please be aware that this is not a USB-C to USB-A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</si>
  <si>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</si>
  <si>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</si>
  <si>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</si>
  <si>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</si>
  <si>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</si>
  <si>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</si>
  <si>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</si>
  <si>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</si>
  <si>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</si>
  <si>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</si>
  <si>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</si>
  <si>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</si>
  <si>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</si>
  <si>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</si>
  <si>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</si>
  <si>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</si>
  <si>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https://www.amazon.in/AmazonBasics-Certified-Lightning-Charge-Meters/dp/B07DC4RZPY/ref=sr_1_211?qid=1672909134&amp;s=electronics&amp;sr=1-211</t>
  </si>
  <si>
    <t>B0B15GSPQW</t>
  </si>
  <si>
    <t>Samsung 138 cm (55 inches) Crystal 4K Neo Series Ultra HD Smart LED TV UA55AUE65AKXXL (Black)</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</si>
  <si>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</si>
  <si>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</si>
  <si>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</si>
  <si>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</si>
  <si>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</si>
  <si>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</si>
  <si>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</si>
  <si>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</si>
  <si>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</si>
  <si>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</si>
  <si>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</si>
  <si>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</si>
  <si>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</si>
  <si>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</si>
  <si>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</si>
  <si>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</si>
  <si>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https://www.amazon.in/FLiX-Beetel-Durable-Lightning-Charge/dp/B08P9RYPLR/ref=sr_1_216?qid=1672909134&amp;s=electronics&amp;sr=1-216</t>
  </si>
  <si>
    <t>B0B6F8HHR6</t>
  </si>
  <si>
    <t>MI 108 cm (43 inches) 5A Series Full HD Smart Android LED TV L43M7-EAIN (Black)</t>
  </si>
  <si>
    <t>https://www.amazon.in/MI-inches-Smart-Android-L43M7-EAIN/dp/B0B6F8HHR6/ref=sr_1_217?qid=1672909135&amp;s=electronics&amp;sr=1-217</t>
  </si>
  <si>
    <t>B084MZXJN6</t>
  </si>
  <si>
    <t>Belkin Apple Certified Lightning to USB Charge and Sync Cable for iPhone, iPad, Air Pods, 39.6 inch (100cm) – Black</t>
  </si>
  <si>
    <t>Usb-A To Lightning Cable</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</si>
  <si>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</si>
  <si>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</si>
  <si>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</si>
  <si>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</si>
  <si>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</si>
  <si>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</si>
  <si>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</si>
  <si>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</si>
  <si>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</si>
  <si>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</si>
  <si>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</si>
  <si>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</si>
  <si>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</si>
  <si>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</si>
  <si>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</si>
  <si>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</si>
  <si>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</si>
  <si>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</si>
  <si>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</si>
  <si>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</si>
  <si>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</si>
  <si>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</si>
  <si>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</si>
  <si>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</si>
  <si>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</si>
  <si>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</si>
  <si>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</si>
  <si>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</si>
  <si>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https://www.amazon.in/Amkette-Charging-Cable-iPhone-Touch/dp/B00RGLI0ZS/ref=sr_1_226?qid=1672909135&amp;s=electronics&amp;sr=1-226</t>
  </si>
  <si>
    <t>B09ZPJT8B2</t>
  </si>
  <si>
    <t>TCL 80 cm (32 inches) HD Ready Certified Android Smart LED TV 32S615 (Black)</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</si>
  <si>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</si>
  <si>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</si>
  <si>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</si>
  <si>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</si>
  <si>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https://www.amazon.in/POPIO-Charging-Cable-OnePlus-Devices/dp/B07HZ2QCGR/ref=sr_1_228?qid=1672909135&amp;s=electronics&amp;sr=1-228</t>
  </si>
  <si>
    <t>B095244Q22</t>
  </si>
  <si>
    <t>MYVN LTG to USB for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</si>
  <si>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</si>
  <si>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</si>
  <si>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</si>
  <si>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</si>
  <si>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</si>
  <si>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</si>
  <si>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</si>
  <si>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</si>
  <si>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23.6ft.|✔️[Multiple Devices Connection &amp; Wide Application] Equipped with HDMI, USB, and AV interfaces, pixel projector works perfectly with smartphones, iPads, laptops, TV boxes, DVD players, PS4, USB flash disks etc. It can be applied to home theaters, video games, parties and outdoor activities. ✦✦When connect with phone, please purchase an extra HDMI adapter.|✔️[1 Year Warranty &amp; Technical Support] We offer quick reply within 24 hours, 1-year product warranty and a lifetime after-sales service. Wzatco India professional team offers you 100% satisfaction guarantee. Just feel free to try!</t>
  </si>
  <si>
    <t>https://www.amazon.in/WZATCO-Pixel-Portable-Projector-Compatible/dp/B0BLV1GNLN/ref=sr_1_231?qid=1672909135&amp;s=electronics&amp;sr=1-231</t>
  </si>
  <si>
    <t>B08RHPDNVV</t>
  </si>
  <si>
    <t>7SEVEN®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</si>
  <si>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It’s not Tatasky Products, is generic product.|5. Please Match the Image with Your Existing Remote Before Placing the Order</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</si>
  <si>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</si>
  <si>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</si>
  <si>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</si>
  <si>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</si>
  <si>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</si>
  <si>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</si>
  <si>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</si>
  <si>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</si>
  <si>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https://www.amazon.in/Amazon-Basics-Lightning-Certified-Charging/dp/B0B8SSZ76F/ref=sr_1_234?qid=1672909135&amp;s=electronics&amp;sr=1-234</t>
  </si>
  <si>
    <t>B0841KQR1Z</t>
  </si>
  <si>
    <t>Crypo™ Universal Remote Compatible with Tata Sky Universal HD &amp; SD Set top Box (Also Works with All TV)</t>
  </si>
  <si>
    <t>☛ Compatible With Tata Sky SD / HD / HD+ Plus / 4K DTH Set Top Box.|☛This is a Universal Tata Sky Remote - Also Works with All LED LCD TV (Pairing Required in some models)|☛ Please note: This is NOT a TataSky Recording Remote.|☛ For best performance, please insert new batteries before using (Batteries Not Included)|☛ This is an Imported Generic Product &amp; Not Original Remote By TataSky.</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</si>
  <si>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</si>
  <si>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</si>
  <si>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</si>
  <si>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</si>
  <si>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</si>
  <si>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</si>
  <si>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</si>
  <si>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</si>
  <si>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https://www.amazon.in/OnePlus-138-7-inches-Android-55U1S/dp/B095JQVC7N/ref=sr_1_237?qid=1672909135&amp;s=electronics&amp;sr=1-237</t>
  </si>
  <si>
    <t>B08PPHFXG3</t>
  </si>
  <si>
    <t>Posh 1.5 Meter High Speed Gold Plated HDMI Male to Female Extension Cable (Black)</t>
  </si>
  <si>
    <t>perfect|100 % compatible</t>
  </si>
  <si>
    <t>https://www.amazon.in/Meter-Speed-Plated-Female-Extension/dp/B08PPHFXG3/ref=sr_1_238?qid=1672909135&amp;s=electronics&amp;sr=1-238</t>
  </si>
  <si>
    <t>B06XR9PR5X</t>
  </si>
  <si>
    <t>Amazon Basics HDMI Coupler,Black</t>
  </si>
  <si>
    <t>Electronics|HomeAudio|Accessories|Adapters</t>
  </si>
  <si>
    <t>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</si>
  <si>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</si>
  <si>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</si>
  <si>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</si>
  <si>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</si>
  <si>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</si>
  <si>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</si>
  <si>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</si>
  <si>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</si>
  <si>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</si>
  <si>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</si>
  <si>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</si>
  <si>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</si>
  <si>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</si>
  <si>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</si>
  <si>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</si>
  <si>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</si>
  <si>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You’re Premium Television And Monitor Screens. Maximum Weight Loading Capacity Of 10 Kg’s.|Easy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</si>
  <si>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</si>
  <si>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</si>
  <si>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</si>
  <si>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</si>
  <si>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</si>
  <si>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</si>
  <si>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</si>
  <si>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</si>
  <si>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SatelliteEquipment</t>
  </si>
  <si>
    <t>SatelliteReceivers</t>
  </si>
  <si>
    <t>Enjoy the high definition experience with 1080i resolution|Modify or make your pack ba|Device Type High Definition Compression|Vivid colors and sharper images</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</si>
  <si>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</si>
  <si>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</si>
  <si>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</si>
  <si>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</si>
  <si>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</si>
  <si>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</si>
  <si>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</si>
  <si>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</si>
  <si>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https://www.amazon.in/SoniVision-SA-D100-Theater-Compatible-RM-ANU156/dp/B08DCVRW98/ref=sr_1_247?qid=1672909136&amp;s=electronics&amp;sr=1-247</t>
  </si>
  <si>
    <t>B0718ZN31Q</t>
  </si>
  <si>
    <t>Rts™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</si>
  <si>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</si>
  <si>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</si>
  <si>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</si>
  <si>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</si>
  <si>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</si>
  <si>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</si>
  <si>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</si>
  <si>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</si>
  <si>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</si>
  <si>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</si>
  <si>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</si>
  <si>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</si>
  <si>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</si>
  <si>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</si>
  <si>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</si>
  <si>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</si>
  <si>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</si>
  <si>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</si>
  <si>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</si>
  <si>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</si>
  <si>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</si>
  <si>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</si>
  <si>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</si>
  <si>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</si>
  <si>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</si>
  <si>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</si>
  <si>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</si>
  <si>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</si>
  <si>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</si>
  <si>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</si>
  <si>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</si>
  <si>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</si>
  <si>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</si>
  <si>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https://www.amazon.in/Belkin-USB-C-Charging-USB-IF-Certified/dp/B084MZYBTV/ref=sr_1_257?qid=1672909136&amp;s=electronics&amp;sr=1-257</t>
  </si>
  <si>
    <t>B097ZQTDVZ</t>
  </si>
  <si>
    <t>7SEVEN®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</si>
  <si>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</si>
  <si>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</si>
  <si>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</si>
  <si>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</si>
  <si>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</si>
  <si>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</si>
  <si>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</si>
  <si>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</si>
  <si>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it’s working at home or traveling, it is an indispensable item in our lives,We have professional seller customer service and after-sales service. Please contact us in time if you have any questions at any time, and you will not suffer any loss!</t>
  </si>
  <si>
    <t>https://www.amazon.in/Charging-Certified-Lightning-Transfer-Iphone12/dp/B09G5TSGXV/ref=sr_1_260?qid=1672909136&amp;s=electronics&amp;sr=1-260</t>
  </si>
  <si>
    <t>B006LW0WDQ</t>
  </si>
  <si>
    <t>Amazon Basics 16-Gauge Speaker Wire - 50 Feet</t>
  </si>
  <si>
    <t>Electronics|HomeTheater,TV&amp;Video|Accessories|Cables|SpeakerCables</t>
  </si>
  <si>
    <t>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</si>
  <si>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</si>
  <si>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</si>
  <si>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</si>
  <si>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</si>
  <si>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</si>
  <si>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</si>
  <si>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</si>
  <si>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https://www.amazon.in/Wayona-Braided-Charger-Charging-Samsung/dp/B081FJWN52/ref=sr_1_273?qid=1672909138&amp;s=electronics&amp;sr=1-273</t>
  </si>
  <si>
    <t>B0758F7KK7</t>
  </si>
  <si>
    <t>Caprigo Heavy Duty TV Wall Mount Bracket for 14 to 32 Inch LED/HD/Smart TV’s, Universal Fixed TV Wall Mount Stand (M452)</t>
  </si>
  <si>
    <t>TV Wall Bracket Compatibility : 14 To 32 Inch (LED, HD, QLED, LCD, OLED, UHD, 4K, Monitor, Curved, Smart TV’s) From All Leading Brands. Ideally Compatible With OnePlus Y Series , Samsung , Sony Bravia , LG , Mi Pro 4A , 4C 5A Series 32 Inch LED TV’s.|Vesa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</si>
  <si>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https://www.amazon.in/Maxicom-B-28-Universal-Bracket-inches/dp/B0758F7KK7/ref=sr_1_274?qid=1672909138&amp;s=electronics&amp;sr=1-274</t>
  </si>
  <si>
    <t>B09L835C3V</t>
  </si>
  <si>
    <t>Smashtronics® - Case for Firetv Remote, Fire Stick Remote Cover Case, Silicone Cover for TV Firestick 4K/TV 2nd Gen(3rd Gen) Remote Control - Light Weight/Anti Slip/Shockproof (Black)</t>
  </si>
  <si>
    <t>【100% Fits】Specially designed for Fire TV Stick (2nd Gen), Fire TV Stick 4K, Fire TV Cube, and Amazon Fire TV (3rd Gen, Pendant Design). Tips:Pls compare with your firestick model fit or not before purchase.|【Full Body Protection】High-quality and eco-friendly silicone material, harmless to your pets, kids and families. Prevent the child from opening the back cover and provides the maximum protection, anti-slip, anti-dust, shock proof and washable.|【Custom Cutting】Accurate hole wide open offers full access to all ports, buttons and functions. Humanized texture design protects your remote from slipping and skidding.Fast heat dissipation and anti-dust that no fingerprints leave.|【Easy to Find/Glowing】Equiped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</si>
  <si>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</si>
  <si>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</si>
  <si>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</si>
  <si>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don’t understand you can just contact our Electvision customer care number given in image Catalogue for any verification or Help.</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</si>
  <si>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</si>
  <si>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</si>
  <si>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</si>
  <si>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</si>
  <si>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</si>
  <si>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</si>
  <si>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</si>
  <si>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</si>
  <si>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</si>
  <si>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</si>
  <si>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</si>
  <si>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</si>
  <si>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</si>
  <si>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</si>
  <si>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</si>
  <si>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</si>
  <si>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</si>
  <si>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</si>
  <si>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</si>
  <si>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</si>
  <si>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https://www.amazon.in/Sony-Bravia-inches-Google-KD-65X74K/dp/B09WN3SRC7/ref=sr_1_291?qid=1672909138&amp;s=electronics&amp;sr=1-291</t>
  </si>
  <si>
    <t>B09B125CFJ</t>
  </si>
  <si>
    <t>7SEVEN®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</si>
  <si>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</si>
  <si>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https://www.amazon.in/7SEVEN-Compatible-Non-Voice-Infrared-Universal/dp/B09B125CFJ/ref=sr_1_290?qid=1672909139&amp;s=electronics&amp;sr=1-290</t>
  </si>
  <si>
    <t>B09RQRZW2X</t>
  </si>
  <si>
    <t>7SEVEN®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</si>
  <si>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</si>
  <si>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</si>
  <si>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</si>
  <si>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</si>
  <si>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</si>
  <si>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</si>
  <si>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</si>
  <si>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</si>
  <si>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</si>
  <si>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</si>
  <si>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</si>
  <si>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</si>
  <si>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</si>
  <si>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https://www.amazon.in/SVM-Products-Premium-Quality-Unbreakable/dp/B07VVXJ2P5/ref=sr_1_300?qid=1672909139&amp;s=electronics&amp;sr=1-300</t>
  </si>
  <si>
    <t>B0BC8BQ432</t>
  </si>
  <si>
    <t>VU 164 cm (65 inches) The GloLED Series 4K Smart LED Google TV 65GloLED (Grey)</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</si>
  <si>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</si>
  <si>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</si>
  <si>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</si>
  <si>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🛒【CableCreation RCA Cable】:Great for connecting portable audio devices, such as for Smartphone (iPhone), MP3 player (iPod) or tablet (iPad) to a stereo receiver, speaker or other RCA-enabled device.❗❗❗:CableCreation backed with 2 years worry-free warranty and 7*24 friendly customer service. Any further questions and suggestions, please feel free to contact us|🛒【Fantastic Sound Quality】:Oxygen Free Copper and gold plated plugs ensure optimal signal stereo audio transmission,bringing you a good feeling|🛒【Bi-directional】:This 3.5mm rca male cable works both directions,from rca out to 3.5mm in or from 3.5mm in to rca out. Please note: you cannot choose same directions for use simultaneously.It must one side in,the other side out|🛒【24K Gold Plated Connectors】:Professional quality 24k gold plated connectors which protect the cables from corrosion while ensuring a premium connection for the best possible audio transfer year after year|🛒【Compatible Device】:3.5mm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</si>
  <si>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</si>
  <si>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</si>
  <si>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</si>
  <si>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</si>
  <si>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</si>
  <si>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</si>
  <si>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</si>
  <si>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</si>
  <si>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https://www.amazon.in/Rugged-V3-Braided-Micro-Cable/dp/B07CRL2GY6/ref=sr_1_329?qid=1672909140&amp;s=electronics&amp;sr=1-329</t>
  </si>
  <si>
    <t>B07DWFX9YS</t>
  </si>
  <si>
    <t>Amazon Basics USB A to Lightning PVC Molded Nylon MFi Certified Charging Cable (Black, 1.2 meter)</t>
  </si>
  <si>
    <t>MFi-certified charging cable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</si>
  <si>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</si>
  <si>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</si>
  <si>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</si>
  <si>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</si>
  <si>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</si>
  <si>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</si>
  <si>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</si>
  <si>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</si>
  <si>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https://www.amazon.in/Wayona-Charger-Samsung-Galaxy-Wc3Cb1/dp/B07F1P8KNV/ref=sr_1_338?qid=1672909141&amp;s=electronics&amp;sr=1-338</t>
  </si>
  <si>
    <t>B084N1BM9L</t>
  </si>
  <si>
    <t>Belkin Apple Certified Lightning to USB Charge and Sync Tough Braided Cable for iPhone, iPad, Air Pods, 3.3 feet (1 meters) – Black</t>
  </si>
  <si>
    <t>The Belkin Difference: Pioneer In Technology And Innovation For 35 Years.</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</si>
  <si>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</si>
  <si>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</si>
  <si>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</si>
  <si>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</si>
  <si>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https://www.amazon.in/Compatible-Suitable-Control-Non-Support-Netflix/dp/B09F6D21BY/ref=sr_1_344?qid=1672909141&amp;s=electronics&amp;sr=1-344</t>
  </si>
  <si>
    <t>B09LQQYNZQ</t>
  </si>
  <si>
    <t>Realme Smart TV Stick 4K</t>
  </si>
  <si>
    <t>Electronics|HomeAudio|MediaStreamingDevices|StreamingClients</t>
  </si>
  <si>
    <t>MediaStreamingDevices</t>
  </si>
  <si>
    <t>StreamingClients</t>
  </si>
  <si>
    <t>Type: HDMI|Power Requirement: DC 5 V|Number of Devices Supported: 1</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</si>
  <si>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</si>
  <si>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</si>
  <si>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</si>
  <si>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</si>
  <si>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</si>
  <si>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</si>
  <si>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</si>
  <si>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</si>
  <si>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</si>
  <si>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</si>
  <si>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</si>
  <si>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</si>
  <si>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</si>
  <si>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</si>
  <si>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</si>
  <si>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</si>
  <si>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</si>
  <si>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</si>
  <si>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</si>
  <si>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</si>
  <si>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</si>
  <si>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</si>
  <si>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Speakers</t>
  </si>
  <si>
    <t>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</si>
  <si>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PC’s, gaming consoles, and DVD/VCD players|SLEEK DESIGN WITH PREMIUM FINISH- This speaker not only sounds great but looks great as well. Its sleek and elegant design perfectly complements any room and is compact enough to be moved around</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</si>
  <si>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</si>
  <si>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</si>
  <si>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</si>
  <si>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</si>
  <si>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</si>
  <si>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</si>
  <si>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</si>
  <si>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【Compatibility】: Specially designed for Fire TV Stick 4K All-new Alexa Voice Remote with power and volume controls. (REMOTE NOT INCLUDED)|【3 Meters Shockproof】: Durable Silicone Material can protect your remote from 3 meters high drop, effectively protects your remote from daily impact and unwanted dust and scratches.|【Perfect Fit】: The slim and form-fitted design of the case protects yourFire TV Remote with minimal bulk.|【Accessibility】: Revised with precision cut-outs to ensure full access to all ports, buttons, and features of your Fire TV Stick 4K All Alexa Voice Remote.|【Shock &amp; Bump Resistant】 This Cover protects your remote from scratches, wear, tear, and dirt with this unique proprietary skin material.</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</si>
  <si>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</si>
  <si>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</si>
  <si>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</si>
  <si>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【Power Delivery Fast Charging】: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Adapter).|【MFI Certified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</si>
  <si>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</si>
  <si>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</si>
  <si>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</si>
  <si>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</si>
  <si>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</si>
  <si>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</si>
  <si>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</si>
  <si>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</si>
  <si>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</si>
  <si>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</si>
  <si>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</si>
  <si>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</si>
  <si>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</si>
  <si>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</si>
  <si>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</si>
  <si>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</si>
  <si>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https://www.amazon.in/Samsung-inches-Crystal-Ultra-UA55AUE60AKLXL/dp/B092BL5DCX/ref=sr_1_411?qid=1672909145&amp;s=electronics&amp;sr=1-411</t>
  </si>
  <si>
    <t>B09VH568H7</t>
  </si>
  <si>
    <t>Amazon Brand - Solimo 3A Fast Charging Tough Type C USB Data Cable  –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</si>
  <si>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</si>
  <si>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</si>
  <si>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</si>
  <si>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</si>
  <si>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</si>
  <si>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</si>
  <si>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</si>
  <si>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</si>
  <si>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</si>
  <si>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</si>
  <si>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</si>
  <si>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</si>
  <si>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</si>
  <si>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https://www.amazon.in/Toshiba-inches-Android-43V35KP-Silver/dp/B0B21XL94T/ref=sr_1_425?qid=1672909145&amp;s=electronics&amp;sr=1-425</t>
  </si>
  <si>
    <t>B09PTT8DZF</t>
  </si>
  <si>
    <t>Lenovo USB A to Type-C Tangle-free  Aramid fiber braided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</si>
  <si>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</si>
  <si>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</si>
  <si>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</si>
  <si>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</si>
  <si>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</si>
  <si>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https://www.amazon.in/Amazon-Brand-Charging-Suitable-Supported/dp/B0B94JPY2N/ref=sr_1_444?qid=1672909146&amp;s=electronics&amp;sr=1-444</t>
  </si>
  <si>
    <t>B0B3XXSB1K</t>
  </si>
  <si>
    <t>LG 139 cm (55 inches) 4K Ultra HD Smart LED TV 55UQ7500PSF (Ceramic Black)</t>
  </si>
  <si>
    <t>https://www.amazon.in/LG-inches-Ultra-55UQ7500PSF-Ceramic/dp/B0B3XXSB1K/ref=sr_1_445?qid=1672909146&amp;s=electronics&amp;sr=1-445</t>
  </si>
  <si>
    <t>B08RZ12GKR</t>
  </si>
  <si>
    <t>Tata Sky Digital TV HD Setup Box Remote</t>
  </si>
  <si>
    <t>Color black|Long lasting|Digital TV HD Setup Box Remote</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</si>
  <si>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</si>
  <si>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</si>
  <si>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</si>
  <si>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</si>
  <si>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</si>
  <si>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</si>
  <si>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</si>
  <si>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</si>
  <si>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</si>
  <si>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</si>
  <si>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</si>
  <si>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</si>
  <si>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</si>
  <si>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</si>
  <si>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</si>
  <si>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</si>
  <si>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</si>
  <si>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</si>
  <si>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</si>
  <si>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</si>
  <si>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</si>
  <si>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</si>
  <si>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</si>
  <si>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</si>
  <si>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</si>
  <si>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</si>
  <si>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</si>
  <si>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</si>
  <si>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</si>
  <si>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</si>
  <si>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https://www.amazon.in/Hisense-inches-Bezelless-Google-50A6H/dp/B0B2C5MJN6/ref=sr_1_456?qid=1672909146&amp;s=electronics&amp;sr=1-456</t>
  </si>
  <si>
    <t>B0BBMGLQDW</t>
  </si>
  <si>
    <t>Tuarso 8K HDMI 2.1 Cable 48Gbps , 1.5 Meter High-Speed Braided HDMI Cable ( 8K@60HZ、4K@120HZ、2K@240HZ ) HDMI 2.1 Cable Compatible with Monitors , Television , Laptops , Projectors , Game Consoles and more with HDMI Ports Device</t>
  </si>
  <si>
    <t>⚡ [ Newest Technology 8K HDMI 2.1 Cable ] - Tuarso hdmi 2.1 cable have bandwidth of 48Gbps , supports 8K@60Hz and 4K@120Hz . Dynamic HDR and 12Bit color depth and eARC . It is also backward compatible with HDMI 2.0b / 2.0a / 1.4 / 1.3 / 1.2 / 1.1 versions .|⚡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 [ Immersive Cinema-like Sound Effect ] - 8K hdmi cable 2.1 supports the latest high-bitrate audio formats including DTS Master , DTS:X , Atoms , and enhanced Audio Return Channel ( eARC ) . It offers an immersive multi-dimensional experience and enhances audio detail and depth .|⚡ [ 24 x 7 Customer Support ] - This hdmi cable 2.1 comes with professional after-sales support and 6-month warranty . You're welcome to contact us with any questions or concerns , We will deal with your problem as soon as possible .</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</si>
  <si>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</si>
  <si>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</si>
  <si>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</si>
  <si>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</si>
  <si>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</si>
  <si>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</si>
  <si>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</si>
  <si>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</si>
  <si>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</si>
  <si>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</si>
  <si>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</si>
  <si>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</si>
  <si>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</si>
  <si>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</si>
  <si>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https://www.amazon.in/7SEVENTM-Universal-Replacement-Original-Television/dp/B09MMD1FDN/ref=sr_1_464?qid=1672909147&amp;s=electronics&amp;sr=1-464</t>
  </si>
  <si>
    <t>B09HN7LD5L</t>
  </si>
  <si>
    <t>PROLEGEND® PL-T002 Universal TV Stand Table Top for Most 22 to 65 inch LCD Flat Screen TV, VESA up to 800 by 400mm</t>
  </si>
  <si>
    <t>TV LEG】--The universal tv stand base fits most 32 37 40 42 47 50 55 inch LCD LED Plasma Oled QLED 4K Smart flat/curved screen TVs with mounting holes on the back of your TV from 200x100mm up to 800x400mm.|【LOADING CAPACITY】--Heavy Duty Sturdy steel design make the tabletop tv leg base load capacity up to 88 lbs. Furthermore, it offers a stylish look to suit any decor, with sharp angles and a black matte finish.|【ADJUSTABLE HEIGHT】-- This tv base stand can adjust your TV heght from 20.2" to 22.5" makes your TV always at eye level for better view.|【NO SCRATCH&amp;ANTI-SLIP】--It's great the tv replacement stand comes with soft pad on the bottom to protect the furniture from being scratched and protect your TV from slipping|【EASY INSTALLATION】-- Simple construction allows easy installation with easy to follow manual and all of the required hardware provided</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</si>
  <si>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</si>
  <si>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</si>
  <si>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</si>
  <si>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 allowing you to enjoy big-screen immersion with ease.|✔️ With 350 ANSI lumens light output and 87% NTSC color space coverage, X1 Pro projects bright and crisp Full HD (1920 x 1080) resolution images. A mercury-free RGB LED light source ensures gorgeous, fade-free projections for up to 20 years, or about 30,000 hours of use.|✔️ Full Glass Lens, Clear and Durable: Clear picture as you see, multi-layer coated glass lens, high refractive index and will not be affected / distorted by temperature, wear-resistant and easy to maintain.|✔️Stream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 20000+ Hours Lamp Life &amp; Professional Support - Wanbo projectors come with 1 year warranty and professional support throughout the life. Feel free to contact us in case of any issues.</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</si>
  <si>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</si>
  <si>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</si>
  <si>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</si>
  <si>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</si>
  <si>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</si>
  <si>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</si>
  <si>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</si>
  <si>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</si>
  <si>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</si>
  <si>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</si>
  <si>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</si>
  <si>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</si>
  <si>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</si>
  <si>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</si>
  <si>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</si>
  <si>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</si>
  <si>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</si>
  <si>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</si>
  <si>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</si>
  <si>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</si>
  <si>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</si>
  <si>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</si>
  <si>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</si>
  <si>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</si>
  <si>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</si>
  <si>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</si>
  <si>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</si>
  <si>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</si>
  <si>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https://www.amazon.in/Kodak-inches-Android-50UHDX7XPROBL-Bezel-Less/dp/B09PLD9TCD/ref=sr_1_473?qid=1672909147&amp;s=electronics&amp;sr=1-473</t>
  </si>
  <si>
    <t>B0B8ZKWGKD</t>
  </si>
  <si>
    <t>ZORBES®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</si>
  <si>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</si>
  <si>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</si>
  <si>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</si>
  <si>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</si>
  <si>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</si>
  <si>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</si>
  <si>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</si>
  <si>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</si>
  <si>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</si>
  <si>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</si>
  <si>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</si>
  <si>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</si>
  <si>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</si>
  <si>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https://www.amazon.in/MI-inches-Ready-Android-L32M7-EAIN/dp/B0B8CXTTG3/ref=sr_1_477?qid=1672909147&amp;s=electronics&amp;sr=1-477</t>
  </si>
  <si>
    <t>B09HCH3JZG</t>
  </si>
  <si>
    <t>Bestor ®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</si>
  <si>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</si>
  <si>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</si>
  <si>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</si>
  <si>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</si>
  <si>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</si>
  <si>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3DGlasses</t>
  </si>
  <si>
    <t>✔️40MM HD optical resin lens with Focal and IPD adjustments with FOV up to 110 makes this VR headset perform better|✔️Best-in-class headphones With 3.5mm Jack and removable front panel for ventilation are provided in this 3d vr headset|✔️Advanced touch button for triggering the actions in VR, multifunctional button,volume controllers and mic.|✔️Mobile Compatibility : Mobiles should have gyroscope sensor .It is compatible with 4.7 inches to 6.69 inches mobile.|✔️Note : Do not watch content from youtube, please download vr apps for better vr experience.Contact Irusu Support team for best VR content.Email us at support@irusu.co.in for any queries|✔️Watch High Quality Videos (1080p and above) for best Virtual reality Experience.</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</si>
  <si>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</si>
  <si>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</si>
  <si>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</si>
  <si>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</si>
  <si>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</si>
  <si>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</si>
  <si>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</si>
  <si>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【NOTE before purchase】:This is a USB-C to USB-C cable, which means it has the same USB C plug on both ends, please be aware that this is not a USB-C to USB-A cable. Besides, you may need a USB C wall charger to charge your device.|【NYLON BRAIDED, EXTREME DURABILITY】: with a tested 20000+ bend lifespan, Synqe USB C charging cable with heavy duty braided and strong metal connections is far more durable|【3A Rapid Charging】 ：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</si>
  <si>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</si>
  <si>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</si>
  <si>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</si>
  <si>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</si>
  <si>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</si>
  <si>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</si>
  <si>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</si>
  <si>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</si>
  <si>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https://www.amazon.in/EYNK-Charging-Charger-Transfer-Smartphones/dp/B08G1RW2Q3/ref=sr_1_483?qid=1672909149&amp;s=electronics&amp;sr=1-483</t>
  </si>
  <si>
    <t>B08YXJJW8H</t>
  </si>
  <si>
    <t>LUNAGARIYA®,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</si>
  <si>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</si>
  <si>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https://www.amazon.in/LUNAGARIYA%C2%AE-Protective-Compatible-Control-Dimensions/dp/B08YXJJW8H/ref=sr_1_484?qid=1672909149&amp;s=electronics&amp;sr=1-484</t>
  </si>
  <si>
    <t>B09P8M18QM</t>
  </si>
  <si>
    <t>7SEVEN®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</si>
  <si>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</si>
  <si>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</si>
  <si>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</si>
  <si>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</si>
  <si>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</si>
  <si>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</si>
  <si>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</si>
  <si>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</si>
  <si>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</si>
  <si>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</si>
  <si>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</si>
  <si>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</si>
  <si>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</si>
  <si>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</si>
  <si>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</si>
  <si>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</si>
  <si>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</si>
  <si>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</si>
  <si>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</si>
  <si>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</si>
  <si>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</si>
  <si>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</si>
  <si>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</si>
  <si>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</si>
  <si>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💎[The Fastest Charge] - This iPhone USB C cable supports PD 3.0 fast charging, up to 20W with USB-C Power Delivery adapters such as 18W, 20W, 29W, 30W, 61W, or 87W. Charge your iPhone from 0% to 50% in just 25 mins, and data transfer speeds up to 480Mbps (1200 songs synced per minute)|💎[Amazing Durability] - With top-rated material and coated with premium TPE, Syncwire Apple USB C cable has exceptional durability to be bent at 90 degrees for 15000+ times and the connector is capable of holding up to 20kg of weight without falling off.|💎[Perfect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</si>
  <si>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</si>
  <si>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</si>
  <si>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</si>
  <si>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</si>
  <si>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</si>
  <si>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</si>
  <si>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</si>
  <si>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‘Get Product Support’ and schedule a service. For any other information, please contact Amazon customer support</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</si>
  <si>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</si>
  <si>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</si>
  <si>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</si>
  <si>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</si>
  <si>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</si>
  <si>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</si>
  <si>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</si>
  <si>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【NOTE before purchase】:This is a USB-C to USB-C cable, which means it has the same USB C plug on both ends, please be aware that this is not a USB-C to USB-A cable. Besides, you may need a USB C wall charger to charge your device.|【NYLON BRAIDED, SMALL SIZE】: With a tested 20000+ bend lifespan, Synqe USB C charging cable with heavy duty braided and strong metal connections is far more durable. Short size makes it comfortable to use with Power Banks and Android Auto.|【3A/60W Rapid Charging】：Built-in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</si>
  <si>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</si>
  <si>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</si>
  <si>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</si>
  <si>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</si>
  <si>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</si>
  <si>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</si>
  <si>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</si>
  <si>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</si>
  <si>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</si>
  <si>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</si>
  <si>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</si>
  <si>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“Accessory may not be supported” alert|Built to Last: the durable braided nylon casing ensures fewer tangles and more tensile strength than Apple’s official cables; aluminum cased plug heads ensure your cable won’t get damaged when plugging in and out|Compatibility: this USB-C to Lighting iPhone cable supports fast charging for iPhone 14/13/12/11/X/8/7/6 series, iPhone SE 3/2, iPad Pro 12.9 (1st and 2nd Gen), iPad 8th Gen, iPad Pro 10.5"; 18W or above USB-C PD adapter required</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</si>
  <si>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</si>
  <si>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</si>
  <si>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</si>
  <si>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</si>
  <si>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</si>
  <si>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</si>
  <si>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</si>
  <si>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</si>
  <si>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</si>
  <si>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</si>
  <si>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</si>
  <si>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</si>
  <si>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WearableTechnology</t>
  </si>
  <si>
    <t>SmartWatches</t>
  </si>
  <si>
    <t>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&amp; sync your phone’s contacts.|【1.83"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</si>
  <si>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</si>
  <si>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</si>
  <si>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</si>
  <si>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</si>
  <si>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https://www.amazon.in/Fire-Boltt-Phoenix-Bluetooth-Calling-Monitoring/dp/B0B3RRWSF6/ref=sr_1_4?qid=1672895748&amp;s=electronics&amp;sr=1-4</t>
  </si>
  <si>
    <t>B0B5B6PQCT</t>
  </si>
  <si>
    <t>boAt Wave Call Smart Watch, Smart Talk with Advanced Dedicated Bluetooth Calling Chip, 1.69”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</si>
  <si>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</si>
  <si>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</si>
  <si>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</si>
  <si>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</si>
  <si>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</si>
  <si>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Mobiles&amp;Accessories</t>
  </si>
  <si>
    <t>MobileAccessories</t>
  </si>
  <si>
    <t>Chargers</t>
  </si>
  <si>
    <t>PowerBanks</t>
  </si>
  <si>
    <t>20000mAh Lithium Polymer battery|18W Fast Charging|Triple port output|Dual input port (Micro-USB/USB-C, Charging Time : 6.9 hours|Power Delivery|Advanced 12 Layer chip protection|Smart power management|6 months domestic warranty</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</si>
  <si>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</si>
  <si>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</si>
  <si>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</si>
  <si>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</si>
  <si>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Smartphones&amp;BasicMobiles</t>
  </si>
  <si>
    <t>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</si>
  <si>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</si>
  <si>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</si>
  <si>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</si>
  <si>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</si>
  <si>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</si>
  <si>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</si>
  <si>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</si>
  <si>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</si>
  <si>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</si>
  <si>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https://www.amazon.in/OnePlus-Nord-Shadow-128GB-Storage/dp/B0B3CQBRB4/ref=sr_1_9?qid=1672895748&amp;s=electronics&amp;sr=1-9</t>
  </si>
  <si>
    <t>B0BBN56J5H</t>
  </si>
  <si>
    <t>Redmi A1 (Black, 2GB RAM, 32GB Storage) | Segment Best AI Dual Cam | 5000mAh Battery | Leather Texture Design | Android 12</t>
  </si>
  <si>
    <t>https://www.amazon.in/Redmi-Storage-Segment-5000mAh-Battery/dp/B0BBN56J5H/ref=sr_1_10?qid=1672895748&amp;s=electronics&amp;sr=1-10</t>
  </si>
  <si>
    <t>B0BBN3WF7V</t>
  </si>
  <si>
    <t>Redmi A1 (Light Green, 2GB RAM 32GB ROM) | Segment Best AI Dual Cam | 5000mAh Battery | Leather Texture Design | Android 12</t>
  </si>
  <si>
    <t>https://www.amazon.in/Redmi-Segment-5000mAh-Battery-Leather/dp/B0BBN3WF7V/ref=sr_1_11?qid=1672895748&amp;s=electronics&amp;sr=1-11</t>
  </si>
  <si>
    <t>B0BDRVFDKP</t>
  </si>
  <si>
    <t>SanDisk Ultra® microSDXC™ UHS-I Card, 64GB, 140MB/s R, 10 Y Warranty, for Smartphones</t>
  </si>
  <si>
    <t>Electronics|Accessories|MemoryCards|MicroSD</t>
  </si>
  <si>
    <t>MemoryCards</t>
  </si>
  <si>
    <t>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</si>
  <si>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</si>
  <si>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</si>
  <si>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</si>
  <si>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</si>
  <si>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 choose from 150 cloud-based &amp; customised watch faces.|100 sports modes with auto sports detection: Stay active and track all that you are doing with auto sports detection mode.</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</si>
  <si>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</si>
  <si>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</si>
  <si>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</si>
  <si>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</si>
  <si>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BasicMobiles</t>
  </si>
  <si>
    <t>All-new redesigned Nokia mobile which is familiar and easy to use|Island style keypad phone with white key lettering|High quality 1.77” screen|Pre-loaded games including the classic keypad mobile phone game - Snake|Enjoy all-new wireless FM radio|Save 2,000 contacts and up to 500 SMS on your Nokia 105 mobile phone</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</si>
  <si>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</si>
  <si>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</si>
  <si>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</si>
  <si>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</si>
  <si>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</si>
  <si>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</si>
  <si>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</si>
  <si>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</si>
  <si>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Headphones,Earbuds&amp;Accessories</t>
  </si>
  <si>
    <t>Headphones</t>
  </si>
  <si>
    <t>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</si>
  <si>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</si>
  <si>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</si>
  <si>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</si>
  <si>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</si>
  <si>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</si>
  <si>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</si>
  <si>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</si>
  <si>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</si>
  <si>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</si>
  <si>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</si>
  <si>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</si>
  <si>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</si>
  <si>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</si>
  <si>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</si>
  <si>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</si>
  <si>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</si>
  <si>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</si>
  <si>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</si>
  <si>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</si>
  <si>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</si>
  <si>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</si>
  <si>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</si>
  <si>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</si>
  <si>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https://www.amazon.in/Boat-BassHeads-100-Inspired-Earphones/dp/B07GPXXNNG/ref=sr_1_21?qid=1672895748&amp;s=electronics&amp;sr=1-21</t>
  </si>
  <si>
    <t>B0BDYVC5TD</t>
  </si>
  <si>
    <t>SanDisk Ultra® microSDXC™ UHS-I Card, 128GB, 140MB/s R, 10 Y Warranty, for Smartphones</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</si>
  <si>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</si>
  <si>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</si>
  <si>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</si>
  <si>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</si>
  <si>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</si>
  <si>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</si>
  <si>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</si>
  <si>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</si>
  <si>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</si>
  <si>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</si>
  <si>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</si>
  <si>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</si>
  <si>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</si>
  <si>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</si>
  <si>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</si>
  <si>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AutomobileAccessories</t>
  </si>
  <si>
    <t>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</si>
  <si>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</si>
  <si>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</si>
  <si>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</si>
  <si>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</si>
  <si>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</si>
  <si>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</si>
  <si>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</si>
  <si>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</si>
  <si>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</si>
  <si>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</si>
  <si>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</si>
  <si>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</si>
  <si>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</si>
  <si>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</si>
  <si>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</si>
  <si>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</si>
  <si>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</si>
  <si>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</si>
  <si>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</si>
  <si>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</si>
  <si>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</si>
  <si>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</si>
  <si>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</si>
  <si>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</si>
  <si>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</si>
  <si>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</si>
  <si>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</si>
  <si>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https://www.amazon.in/Samsung-Galaxy-Storage-6000mAh-Battery/dp/B0B4F2XCK3/ref=sr_1_32?qid=1672895755&amp;s=electronics&amp;sr=1-32</t>
  </si>
  <si>
    <t>B0BF54972T</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</si>
  <si>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</si>
  <si>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</si>
  <si>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</si>
  <si>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</si>
  <si>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【Bluetooth Calling Watch】- Fire-Boltt Talk 2 enables you to make and receive calls directly from your watch via the built-in speaker and microphone. This smartwatch features a dial pad, option to access recent calls &amp;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</si>
  <si>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</si>
  <si>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</si>
  <si>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</si>
  <si>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</si>
  <si>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</si>
  <si>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</si>
  <si>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</si>
  <si>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</si>
  <si>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https://www.amazon.in/iQOO-Chromatic-Storage-Snapdragon-Processor/dp/B07WGMMQGP/ref=sr_1_36?qid=1672895755&amp;s=electronics&amp;sr=1-36</t>
  </si>
  <si>
    <t>B0BF563HB4</t>
  </si>
  <si>
    <t>https://www.amazon.in/Fire-Boltt-Bluetooth-Calling-Assistance-Resolution/dp/B0BF563HB4/ref=sr_1_37?qid=1672895755&amp;s=electronics&amp;sr=1-37</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</si>
  <si>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</si>
  <si>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</si>
  <si>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</si>
  <si>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</si>
  <si>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</si>
  <si>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</si>
  <si>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</si>
  <si>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</si>
  <si>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https://www.amazon.in/Redmi-9A-Sport-Octa-core-Processor/dp/B09GFLXVH9/ref=sr_1_40?qid=1672895755&amp;s=electronics&amp;sr=1-40</t>
  </si>
  <si>
    <t>B0BF4YBLPX</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</si>
  <si>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</si>
  <si>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</si>
  <si>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</si>
  <si>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</si>
  <si>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</si>
  <si>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</si>
  <si>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</si>
  <si>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</si>
  <si>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Cables&amp;Adapters</t>
  </si>
  <si>
    <t>OTGAdapters</t>
  </si>
  <si>
    <t>Multipurpose Functions|High Speed USB 3.0|Charge and Sync on the go|Power Sharing Function|Metal Body</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</si>
  <si>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</si>
  <si>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</si>
  <si>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</si>
  <si>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contacts.;【1.78" AMOLED Display】 - Fire-Boltt Visionary has a premium 368*448 Pixel Resolution and 1.78" AMOLED Display which comes with the Always On feature.|【Over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</si>
  <si>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</si>
  <si>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</si>
  <si>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</si>
  <si>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t>
  </si>
  <si>
    <t>https://www.amazon.in/Noise-ColorFit-Bluetooth-Fully-Functional-Brightness/dp/B09ZQK9X8G/ref=sr_1_45?qid=1672895755&amp;s=electronics&amp;sr=1-45</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</si>
  <si>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</si>
  <si>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</si>
  <si>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</si>
  <si>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</si>
  <si>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https://www.amazon.in/iQOO-Stellar-Snapdragon-Purchased-Separately/dp/B07WJV6P1R/ref=sr_1_47?qid=1672895755&amp;s=electronics&amp;sr=1-47</t>
  </si>
  <si>
    <t>【 Fast Charger&amp; Data Sync】-With built-in safety proctections and four-core copper wires promote maximum signal quality and strength and enhance charging &amp; data transfer speed with up to 480 mb/s transferring speed.|【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</si>
  <si>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https://www.amazon.in/Sounce-iPhone-Charging-Compatible-Devices/dp/B096MSW6CT/ref=sr_1_48?qid=1672895755&amp;s=electronics&amp;sr=1-48</t>
  </si>
  <si>
    <t>B0BF54LXW6</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</si>
  <si>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</si>
  <si>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</si>
  <si>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</si>
  <si>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</si>
  <si>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</si>
  <si>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</si>
  <si>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</si>
  <si>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</si>
  <si>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</si>
  <si>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</si>
  <si>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</si>
  <si>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</si>
  <si>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</si>
  <si>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</si>
  <si>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</si>
  <si>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Photo&amp;VideoAccessories</t>
  </si>
  <si>
    <t>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</si>
  <si>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</si>
  <si>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https://www.amazon.in/WeCool-Bluetooth-Extendable-Multifunctional-Compatible/dp/B08ZN4B121/ref=sr_1_53?qid=1672895762&amp;s=electronics&amp;sr=1-53</t>
  </si>
  <si>
    <t>B0B3RSDSZ3</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</si>
  <si>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</si>
  <si>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</si>
  <si>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</si>
  <si>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</si>
  <si>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</si>
  <si>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</si>
  <si>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</si>
  <si>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</si>
  <si>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</si>
  <si>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</si>
  <si>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</si>
  <si>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</si>
  <si>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</si>
  <si>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</si>
  <si>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</si>
  <si>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</si>
  <si>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</si>
  <si>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</si>
  <si>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</si>
  <si>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</si>
  <si>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‎Smartwatch, Magnetic Charger, User Manual, Warranty Card; Item Type Name: Smartwatch</t>
  </si>
  <si>
    <t>https://www.amazon.in/Noise-ColorFit-Display-Monitoring-Smartwatches/dp/B09PNKXSKF/ref=sr_1_59?qid=1672895762&amp;s=electronics&amp;sr=1-59</t>
  </si>
  <si>
    <t>B0B5DDJNH4</t>
  </si>
  <si>
    <t>boAt Wave Call Smart Watch, Smart Talk with Advanced Dedicated Bluetooth Calling Chip, 1.69” HD Display with 550 NITS &amp; 70% Color Gamut, 150+ Watch Faces, Multi-Sport Modes, HR, SpO2, IP68(Mauve)</t>
  </si>
  <si>
    <t>https://www.amazon.in/boAt-Wave-Call-Dedicated-Multi-Sport/dp/B0B5DDJNH4/ref=sr_1_60?qid=1672895762&amp;s=electronics&amp;sr=1-60</t>
  </si>
  <si>
    <t>https://www.amazon.in/Deuce-300-Resistant-Tangle-Free-Transmission/dp/B08HDJ86NZ/ref=sr_1_61?qid=1672895762&amp;s=electronics&amp;sr=1-61</t>
  </si>
  <si>
    <t>https://www.amazon.in/Portronics-Konnect-POR-1080-Charging-Function/dp/B08CF3B7N1/ref=sr_1_62?qid=1672895762&amp;s=electronics&amp;sr=1-62</t>
  </si>
  <si>
    <t>B07WDKLDRX</t>
  </si>
  <si>
    <t>iQOO Neo 6 5G (Dark Nova, 8GB RAM, 128GB Storage) | Snapdragon®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</si>
  <si>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</si>
  <si>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https://www.amazon.in/iQOO-128GB-Storage-Snapdragon%C2%AE-FlashCharge/dp/B07WDKLDRX/ref=sr_1_63?qid=1672895762&amp;s=electronics&amp;sr=1-63</t>
  </si>
  <si>
    <t>B09MQSCJQ1</t>
  </si>
  <si>
    <t>boAt Xtend Smartwatch with Alexa Built-in, 1.69”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</si>
  <si>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</si>
  <si>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</si>
  <si>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</si>
  <si>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</si>
  <si>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</si>
  <si>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</si>
  <si>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</si>
  <si>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</si>
  <si>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</si>
  <si>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</si>
  <si>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</si>
  <si>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</si>
  <si>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</si>
  <si>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</si>
  <si>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adaptor’s strong, ABS Plastic built makes it safe to use even in clumsy hands. This charger with a built-in protection can protect your equipment from excessive current, overheating and overcharging.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</si>
  <si>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</si>
  <si>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</si>
  <si>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</si>
  <si>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</si>
  <si>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</si>
  <si>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</si>
  <si>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</si>
  <si>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16Ω,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</si>
  <si>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</si>
  <si>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</si>
  <si>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</si>
  <si>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</si>
  <si>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</si>
  <si>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</si>
  <si>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</si>
  <si>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</si>
  <si>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https://www.amazon.in/Fire-Boltt-Gladiator-Bluetooth-Assistant-Interactions/dp/B0BP18W8TM/ref=sr_1_71?qid=1672895762&amp;s=electronics&amp;sr=1-71</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</si>
  <si>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</si>
  <si>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</si>
  <si>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</si>
  <si>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</si>
  <si>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</si>
  <si>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</si>
  <si>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</si>
  <si>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</si>
  <si>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</si>
  <si>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</si>
  <si>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</si>
  <si>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</si>
  <si>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</si>
  <si>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</si>
  <si>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</si>
  <si>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</si>
  <si>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</si>
  <si>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</si>
  <si>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</si>
  <si>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</si>
  <si>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</si>
  <si>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</si>
  <si>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</si>
  <si>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</si>
  <si>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</si>
  <si>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</si>
  <si>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</si>
  <si>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</si>
  <si>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</si>
  <si>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</si>
  <si>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</si>
  <si>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</si>
  <si>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</si>
  <si>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</si>
  <si>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</si>
  <si>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</si>
  <si>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</si>
  <si>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ofﬁce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</si>
  <si>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</si>
  <si>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</si>
  <si>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</si>
  <si>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</si>
  <si>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https://www.amazon.in/Ambrane-Multi-Layer-Protection-Li-Polymer-Stylo-10k/dp/B0993BB11X/ref=sr_1_82?qid=1672895770&amp;s=electronics&amp;sr=1-82</t>
  </si>
  <si>
    <t>B09V2PZDX8</t>
  </si>
  <si>
    <t>Nokia 105 Single SIM, Keypad Mobile Phone with Wireless FM Radio | Blue</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</si>
  <si>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</si>
  <si>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</si>
  <si>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</si>
  <si>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</si>
  <si>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https://www.amazon.in/Tangent-Lite-Magnetic-Bluetooth-Headphones/dp/B085W8CFLH/ref=sr_1_84?qid=1672895770&amp;s=electronics&amp;sr=1-84</t>
  </si>
  <si>
    <t>B09MT6XSFW</t>
  </si>
  <si>
    <t>Samsung EVO Plus 64GB microSDXC UHS-I U1 130MB/s Full HD &amp; 4K UHD Memory Card with Adapter (MB-MC64KA), Blue</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</si>
  <si>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</si>
  <si>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</si>
  <si>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</si>
  <si>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 4.6 times, Samsung M11 – 2.6 times, iPad – 1.4 times|20W Fast charging output–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 The powerbank itself can get charged in 7 to 8 hours as it has Power Delivery Technology that supports 20W fast charging input via Type C port.|Charge 3 devices – With 2 USB ports and 1 Type C port for output, it can charge 3 devices at the same time &amp; It comes with a 6 months warranty against manufacturing defects.</t>
  </si>
  <si>
    <t>https://www.amazon.in/Ambrane-20000mAh-Lithium-Polymer-Stylo-20K/dp/B07RD611Z8/ref=sr_1_86?qid=1672895770&amp;s=electronics&amp;sr=1-86</t>
  </si>
  <si>
    <t>https://www.amazon.in/boAt-Micro-USB-Tangle-Free-Transmission/dp/B08WRWPM22/ref=sr_1_87?qid=1672895770&amp;s=electronics&amp;sr=1-87</t>
  </si>
  <si>
    <t>B0B4F52B5X</t>
  </si>
  <si>
    <t>Samsung Galaxy M13 (Midnight Blue, 4GB, 64GB Storage) | 6000mAh Battery | Upto 8GB RAM with RAM Plus</t>
  </si>
  <si>
    <t>https://www.amazon.in/Samsung-Midnight-Storage-6000mAh-Battery/dp/B0B4F52B5X/ref=sr_1_88?qid=1672895770&amp;s=electronics&amp;sr=1-88</t>
  </si>
  <si>
    <t>B096VF5YYF</t>
  </si>
  <si>
    <t>boAt Xtend Smartwatch with Alexa Built-in, 1.69” HD Display, Multiple Watch Faces, Stress Monitor, Heart &amp; SpO2 Monitoring, 14 Sports Modes, Sleep Monitor, 5 ATM &amp; 7 Days Battery(Pitch Black)</t>
  </si>
  <si>
    <t>https://www.amazon.in/boAt-Smartwatch-Multiple-Monitoring-Resistance/dp/B096VF5YYF/ref=sr_1_89?qid=1672895770&amp;s=electronics&amp;sr=1-89</t>
  </si>
  <si>
    <t>B0B5D39BCD</t>
  </si>
  <si>
    <t>boAt Wave Call Smart Watch, Smart Talk with Advanced Dedicated Bluetooth Calling Chip, 1.69” HD Display with 550 NITS &amp; 70% Color Gamut, 150+ Watch Faces, Multi-Sport Modes, HR, SpO2, IP68(Deep Blue)</t>
  </si>
  <si>
    <t>https://www.amazon.in/boAt-Wave-Call-Dedicated-Multi-Sport/dp/B0B5D39BCD/ref=sr_1_90?qid=1672895770&amp;s=electronics&amp;sr=1-90</t>
  </si>
  <si>
    <t>https://www.amazon.in/MI-MTCY001IN-USB-Type-C-Cable/dp/B08DDRGWTJ/ref=sr_1_91?qid=1672895770&amp;s=electronics&amp;sr=1-91</t>
  </si>
  <si>
    <t>https://www.amazon.in/Ambrane-Unbreakable-Charging-Braided-Android/dp/B082LZGK39/ref=sr_1_92?qid=1672895770&amp;s=electronics&amp;sr=1-92</t>
  </si>
  <si>
    <t>B09XBJ1CTN</t>
  </si>
  <si>
    <t>MI Xiaomi 22.5W Fast USB Type C Charger Combo for Tablets - White</t>
  </si>
  <si>
    <t>22.5W Universal Fast Charging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</si>
  <si>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</si>
  <si>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</si>
  <si>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</si>
  <si>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</si>
  <si>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</si>
  <si>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Electronics|Mobiles&amp;Accessories|MobileAccessories|Décor</t>
  </si>
  <si>
    <t>Décor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</si>
  <si>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</si>
  <si>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https://www.amazon.in/GIZGA-Protector-Charging-Protective-G55/dp/B08MTCKDYN/ref=sr_1_95?qid=1672895770&amp;s=electronics&amp;sr=1-95</t>
  </si>
  <si>
    <t>B09QS8V5N8</t>
  </si>
  <si>
    <t>Redmi Note 11 (Space Black, 4GB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</si>
  <si>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</si>
  <si>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</si>
  <si>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</si>
  <si>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</si>
  <si>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</si>
  <si>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</si>
  <si>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</si>
  <si>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</si>
  <si>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</si>
  <si>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【Dual Port USB Wall Charger Adapter】Oraimo USB Charger with dual ports allow you to charge 2 devices at the same time with the total output of 2.4A current. Single port allows Max 2.4A current when connecting only one device. Much more convenient and save your time effectively.|【Safe Charging】With the intelligent chip inside, dual USB wall charger matches the current as your device's need automatically. Over-current, over-voltage and short-circuit protection also effectively protect your smartphones from damage|【Multi-Protection】 Internal protection mechanisms offers multiple Protection against short-circuit, over-temperature, over-current, over-voltage and more|【Wide Compatibility】Wall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devices|【Durable Design】 Robust textured casing and premium internal components ensure perfect performance regardless of scrapes, bumps, or drops.</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</si>
  <si>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</si>
  <si>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</si>
  <si>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</si>
  <si>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</si>
  <si>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</si>
  <si>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</si>
  <si>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</si>
  <si>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</si>
  <si>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https://www.amazon.in/WeCool-C1-Technology-Windshield-Extendable/dp/B09P858DK8/ref=sr_1_104?qid=1672895777&amp;s=electronics&amp;sr=1-104</t>
  </si>
  <si>
    <t>B07DJLFMPS</t>
  </si>
  <si>
    <t>HP 32GB Class 10 MicroSD Memory Card (U1 TF Card 32GB)</t>
  </si>
  <si>
    <t>HP 32GB Class 10 MicroSD Memory Card (U1 TF Card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</si>
  <si>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</si>
  <si>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</si>
  <si>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</si>
  <si>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</si>
  <si>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</si>
  <si>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</si>
  <si>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</si>
  <si>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</si>
  <si>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</si>
  <si>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</si>
  <si>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</si>
  <si>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</si>
  <si>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</si>
  <si>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</si>
  <si>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32Ω,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</si>
  <si>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https://www.amazon.in/Boat-Bassheads-242-Earphones-Resistance/dp/B07S9S86BF/ref=sr_1_110?qid=1672895777&amp;s=electronics&amp;sr=1-110</t>
  </si>
  <si>
    <t>B07N8RQ6W7</t>
  </si>
  <si>
    <t>Portronics MODESK POR-122 Universal Mobile Tabletop Holder (Black)</t>
  </si>
  <si>
    <t>MoDesk - a Premium Quality Mobile Holders for your Ofﬁce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</si>
  <si>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</si>
  <si>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</si>
  <si>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</si>
  <si>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</si>
  <si>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</si>
  <si>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</si>
  <si>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</si>
  <si>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</si>
  <si>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</si>
  <si>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</si>
  <si>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</si>
  <si>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</si>
  <si>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</si>
  <si>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</si>
  <si>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</si>
  <si>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https://www.amazon.in/iQOO-Raven-Black-128GB-Storage/dp/B07WGPKTS4/ref=sr_1_118?qid=1672895777&amp;s=electronics&amp;sr=1-118</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</si>
  <si>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</si>
  <si>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</si>
  <si>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</si>
  <si>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</si>
  <si>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https://www.amazon.in/Ambrane-Multi-Layer-Protection-Li-Polymer-Stylo-10k/dp/B09MZCQYHZ/ref=sr_1_120?qid=1672895777&amp;s=electronics&amp;sr=1-120</t>
  </si>
  <si>
    <t>B0B4F2ZWL3</t>
  </si>
  <si>
    <t>Samsung Galaxy M13 (Stardust Brown, 6GB, 128GB Storage) | 6000mAh Battery | Upto 12GB RAM with RAM Plus</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</si>
  <si>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</si>
  <si>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</si>
  <si>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</si>
  <si>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</si>
  <si>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</si>
  <si>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</si>
  <si>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</si>
  <si>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</si>
  <si>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Maintenance,Upkeep&amp;Repairs</t>
  </si>
  <si>
    <t>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</si>
  <si>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</si>
  <si>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</si>
  <si>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</si>
  <si>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</si>
  <si>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</si>
  <si>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</si>
  <si>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</si>
  <si>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</si>
  <si>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</si>
  <si>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</si>
  <si>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</si>
  <si>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</si>
  <si>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</si>
  <si>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</si>
  <si>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</si>
  <si>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</si>
  <si>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</si>
  <si>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</si>
  <si>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</si>
  <si>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</si>
  <si>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</si>
  <si>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</si>
  <si>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</si>
  <si>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</si>
  <si>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</si>
  <si>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</si>
  <si>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</si>
  <si>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</si>
  <si>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</si>
  <si>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https://www.amazon.in/Motorola-keypad-Mobile-Expandable-Battery/dp/B09JS562TP/ref=sr_1_125?qid=1672895784&amp;s=electronics&amp;sr=1-125</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</si>
  <si>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</si>
  <si>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</si>
  <si>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</si>
  <si>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https://www.amazon.in/boAt-Wave-Lite-Smartwatch-Multiple/dp/B09V17S2BG/ref=sr_1_127?qid=1672895784&amp;s=electronics&amp;sr=1-127</t>
  </si>
  <si>
    <t>B0B5CGTBKV</t>
  </si>
  <si>
    <t>boAt Wave Call Smart Watch, Smart Talk with Advanced Dedicated Bluetooth Calling Chip, 1.69” HD Display with 550 NITS &amp; 70% Color Gamut, 150+ Watch Faces, Multi-Sport Modes,HR,SpO2(Caribbean Green)</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</si>
  <si>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</si>
  <si>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</si>
  <si>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</si>
  <si>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</si>
  <si>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</si>
  <si>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</si>
  <si>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</si>
  <si>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</si>
  <si>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</si>
  <si>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</si>
  <si>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</si>
  <si>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</si>
  <si>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</si>
  <si>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</si>
  <si>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</si>
  <si>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</si>
  <si>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</si>
  <si>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</si>
  <si>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</si>
  <si>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</si>
  <si>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</si>
  <si>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</si>
  <si>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https://www.amazon.in/PTron-Force-Bluetooth-Smartwatch-Waterproof/dp/B0B53QFZPY/ref=sr_1_134?qid=1672895784&amp;s=electronics&amp;sr=1-134</t>
  </si>
  <si>
    <t>https://www.amazon.in/Mi-Braided-USB-Type-C-Cable/dp/B083342NKJ/ref=sr_1_135?qid=1672895784&amp;s=electronics&amp;sr=1-135</t>
  </si>
  <si>
    <t>B07WJWRNVK</t>
  </si>
  <si>
    <t>iQOO vivo Z6 5G (Dynamo Black, 6GB RAM, 128GB Storage) | Snapdragon 695-6nm Processor | 120Hz FHD+ Display | 5000mAh Battery</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</si>
  <si>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</si>
  <si>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</si>
  <si>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</si>
  <si>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</si>
  <si>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https://www.amazon.in/Samsung-Original-EHS64AVFWECINU-Stereo-Headset/dp/B01F25X6RQ/ref=sr_1_137?qid=1672895784&amp;s=electronics&amp;sr=1-137</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</si>
  <si>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</si>
  <si>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</si>
  <si>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</si>
  <si>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</si>
  <si>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</si>
  <si>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</si>
  <si>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</si>
  <si>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</si>
  <si>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</si>
  <si>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</si>
  <si>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</si>
  <si>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</si>
  <si>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</si>
  <si>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</si>
  <si>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https://www.amazon.in/SWAPKART-Flexible-Desktop-Foldable-Smartphones/dp/B092JHPL72/ref=sr_1_142?qid=1672895784&amp;s=electronics&amp;sr=1-142</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</si>
  <si>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</si>
  <si>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</si>
  <si>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</si>
  <si>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</si>
  <si>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</si>
  <si>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</si>
  <si>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</si>
  <si>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&amp;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&amp;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&amp; Smart Controls】 -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</si>
  <si>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</si>
  <si>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</si>
  <si>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</si>
  <si>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</si>
  <si>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Cases&amp;Covers</t>
  </si>
  <si>
    <t>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</si>
  <si>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</si>
  <si>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</si>
  <si>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</si>
  <si>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</si>
  <si>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</si>
  <si>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</si>
  <si>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</si>
  <si>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</si>
  <si>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</si>
  <si>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https://www.amazon.in/Tecno-Spark-Storage-Expandable-Processor/dp/B0B56YRBNT/ref=sr_1_153?qid=1672895791&amp;s=electronics&amp;sr=1-153</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</si>
  <si>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</si>
  <si>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</si>
  <si>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</si>
  <si>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</si>
  <si>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</si>
  <si>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</si>
  <si>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</si>
  <si>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 7mm Plastic Tip with Conductive material compatible with iPhones, iPad, Android Phones, Android Tabs, Microsoft Surface etc|DIMENSIONS - 168mm Length. Comes with 6 Months Warranty</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</si>
  <si>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</si>
  <si>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</si>
  <si>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</si>
  <si>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</si>
  <si>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</si>
  <si>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_x0096_ 7mm Plastic Tip with Conductive material compatible with iPhones, iPad, Android Phones, Android Tabs, Microsoft Surface etc.|DIMENSIONS - 168mm Length. Comes with 6 Months</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</si>
  <si>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</si>
  <si>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</si>
  <si>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</si>
  <si>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</si>
  <si>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https://www.amazon.in/10W-Charger-Cable-Meter-Black/dp/B085CZ3SR1/ref=sr_1_164?qid=1672895791&amp;s=electronics&amp;sr=1-164</t>
  </si>
  <si>
    <t>B09YV3K34W</t>
  </si>
  <si>
    <t>【Bluetooth Calling Watch】- Fire-Boltt Talk 2 smart watch enables you to make and receive calls directly from your watch via the built-in speaker and microphone. This smartwatch features a dial pad, option to access recent calls &amp; sync your phone’s contacts.;【Dual Button Technology】- This smart watch with call function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</si>
  <si>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</si>
  <si>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</si>
  <si>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</si>
  <si>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</si>
  <si>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</si>
  <si>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</si>
  <si>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</si>
  <si>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</si>
  <si>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</si>
  <si>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</si>
  <si>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</si>
  <si>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</si>
  <si>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</si>
  <si>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</si>
  <si>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</si>
  <si>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</si>
  <si>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</si>
  <si>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</si>
  <si>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</si>
  <si>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</si>
  <si>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</si>
  <si>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</si>
  <si>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</si>
  <si>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</si>
  <si>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</si>
  <si>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‎Smartwatch, Magnetic Charger, User Manual, Warranty Card; Connectivity Technology: Usb</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</si>
  <si>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</si>
  <si>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</si>
  <si>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</si>
  <si>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</si>
  <si>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</si>
  <si>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</si>
  <si>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</si>
  <si>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</si>
  <si>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</si>
  <si>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</si>
  <si>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</si>
  <si>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</si>
  <si>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</si>
  <si>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</si>
  <si>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</si>
  <si>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</si>
  <si>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</si>
  <si>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</si>
  <si>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</si>
  <si>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</si>
  <si>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</si>
  <si>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</si>
  <si>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</si>
  <si>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</si>
  <si>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</si>
  <si>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</si>
  <si>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</si>
  <si>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</si>
  <si>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</si>
  <si>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</si>
  <si>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</si>
  <si>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</si>
  <si>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</si>
  <si>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</si>
  <si>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</si>
  <si>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</si>
  <si>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</si>
  <si>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</si>
  <si>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</si>
  <si>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</si>
  <si>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</si>
  <si>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</si>
  <si>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https://www.amazon.in/Noise-Advanced-Bluetooth-Brightness-Smartwatch/dp/B0B6BLTGTT/ref=sr_1_202?qid=1672895806&amp;s=electronics&amp;sr=1-202</t>
  </si>
  <si>
    <t>https://www.amazon.in/A400-Type-C-Cable-Meter-Black/dp/B077Z65HSD/ref=sr_1_204?qid=1672895806&amp;s=electronics&amp;sr=1-204</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</si>
  <si>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</si>
  <si>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</si>
  <si>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</si>
  <si>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down:We’ve custom engineered our OnePlus Warp Charge 30 Power Adapter to be surprisingly clever. Integrated circuits are built into the adapter itself, so heat is dissipated before it ever reaches your phone.|FASTER AND SAFER:This means faster, safer, and cooler charging that never slows down – even while you’re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</si>
  <si>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</si>
  <si>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</si>
  <si>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</si>
  <si>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</si>
  <si>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https://www.amazon.in/PTron-Force-Bluetooth-Smartwatch-Waterproof/dp/B0B53QLB9H/ref=sr_1_209?qid=1672895806&amp;s=electronics&amp;sr=1-209</t>
  </si>
  <si>
    <t>B0BDYW3RN3</t>
  </si>
  <si>
    <t>SanDisk Ultra® microSDXC™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</si>
  <si>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</si>
  <si>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https://www.amazon.in/SanDisk-Ultra%C2%AE-microSDXCTM-Warranty-Smartphones/dp/B0BDYW3RN3/ref=sr_1_210?qid=1672895806&amp;s=electronics&amp;sr=1-210</t>
  </si>
  <si>
    <t>B0B3RS9DNF</t>
  </si>
  <si>
    <t>https://www.amazon.in/Fire-Boltt-Phoenix-Bluetooth-Calling-Monitoring/dp/B0B3RS9DNF/ref=sr_1_214?qid=1672895806&amp;s=electronics&amp;sr=1-214</t>
  </si>
  <si>
    <t>B09QS9X16F</t>
  </si>
  <si>
    <t>Redmi Note 11 (Space Black, 6GB RAM, 64GB Storage) | 90Hz FHD+ AMOLED Display | Qualcomm® Snapdragon™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</si>
  <si>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</si>
  <si>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</si>
  <si>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</si>
  <si>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</si>
  <si>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</si>
  <si>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</si>
  <si>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</si>
  <si>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</si>
  <si>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</si>
  <si>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</si>
  <si>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</si>
  <si>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 HD display: Get a clearer picture with the premium 1.85”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</si>
  <si>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https://www.amazon.in/Boult-Bluetooth-Smartwatch-Brightness-Waterproof/dp/B0BMVWKZ8G/ref=sr_1_230?qid=1672895814&amp;s=electronics&amp;sr=1-230</t>
  </si>
  <si>
    <t>B0BD92GDQH</t>
  </si>
  <si>
    <t>OnePlus Nord Watch with 1.78” AMOLED Display, 60 Hz Refresh Rate, 105 Fitness Modes, 10 Days Battery, SPO2, Heart Rate, Stress Monitor, Women Health Tracker &amp; Multiple Watch Face [Midnight Black]</t>
  </si>
  <si>
    <t>【1.78" AMOLED display】500nit peak brightness &amp; 368*448 resolution with 326 PPI. The display content of the screen can be clearly seen even under strong sunlight.|【60 Hz Refresh Rate】Fast &amp; Smooth Experience with 60Hz smoothest smart watch refresh rate &amp; minimalist round 2.5D. Reduces motion blur and makes action feel smoother, can make the picture appear sharper, and can make smartwatches feel more responsive and speedy.|【N Health App Integration】: Download this mobile application on your smartphone &amp; connect with your Nord Smartwatch. You can easily check insights of your health stats. 【105 fitness modes with 2 automatically detect modes】Choose your own exercise mode from a long list including Yoga, Meditation, Cricket &amp; various others.|【Enhanced Battery Life】Long-lasting 30 days standby time with 10 days of battery life. Call &amp; message notification and Music &amp; camera control. 【IP68 waterproof &amp; dust resistant】 【Metal watch case】with OnePlus watch Sporty strap – Fashionable smartwatch|【One Tap Measurement】Smart health monitoring technology – SpO2 Blood Oxygen, 24 hour heart-rate, Sleep tracking, All day stress tracking and many more. 【Women health tracking】- Tracking menstrual cycles digitally for early prediction of periods.  【Bluetooth 5.2 】- Helps highly reduce the power consumption of the watch and brings better stable and fast transmission Android &amp; IOS compatible ( Android 6.0 &amp; IOS 11.0 and above).</t>
  </si>
  <si>
    <t>https://www.amazon.in/OnePlus-Display-Refresh-Multiple-Midnight/dp/B0BD92GDQH/ref=sr_1_231?qid=1672895814&amp;s=electronics&amp;sr=1-231</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</si>
  <si>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</si>
  <si>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</si>
  <si>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</si>
  <si>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</si>
  <si>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</si>
  <si>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</si>
  <si>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</si>
  <si>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</si>
  <si>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</si>
  <si>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</si>
  <si>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</si>
  <si>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</si>
  <si>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https://www.amazon.in/Fire-Boltt-Smartwatch-Sports-Tracking-Silver/dp/B09YV463SW/ref=sr_1_242?qid=1672895821&amp;s=electronics&amp;sr=1-242</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</si>
  <si>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</si>
  <si>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</si>
  <si>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</si>
  <si>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</si>
  <si>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</si>
  <si>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</si>
  <si>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</si>
  <si>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</si>
  <si>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</si>
  <si>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</si>
  <si>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</si>
  <si>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</si>
  <si>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</si>
  <si>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</si>
  <si>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</si>
  <si>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</si>
  <si>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</si>
  <si>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</si>
  <si>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</si>
  <si>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</si>
  <si>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</si>
  <si>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</si>
  <si>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</si>
  <si>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</si>
  <si>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</si>
  <si>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</si>
  <si>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</si>
  <si>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</si>
  <si>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</si>
  <si>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</si>
  <si>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</si>
  <si>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</si>
  <si>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</si>
  <si>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</si>
  <si>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</si>
  <si>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</si>
  <si>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【PERFECT FOR ANY PLACES】: Perfect for watching movies &amp; enjoying music in the bedroom, cooking in the kitchen, exercising in the gym and working in the office. Fine details and craftsmanship, make life easier. Lazy bracket for you, free your hands.|【HEAVY DUTY &amp; STURDY HOLDER】: Large Base for Stable Mounting without Vibrations, tight and bendy arm, secures your smart phone, iPad or tablet and other electronic devices tightly to prevent the unit from falling or moving around.|【360 º ROTATION】: Designed with flexible long arms clamp, working at 360-degrees, making holder adjustable to view your device at any angle.|【COMPATIBILITY】: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Switch.|【QUALITY GUARANTEE】: If there is any quality problem of the product itself, do not hesitate to contact us immediately. We will solve the issue to your satisfaction. Customer service is our business philosophy.</t>
  </si>
  <si>
    <t>https://www.amazon.in/Sounce-Adjustable-Universal-Flexible-Gooseneck/dp/B096TWZRJC/ref=sr_1_269?qid=1672895828&amp;s=electronics&amp;sr=1-269</t>
  </si>
  <si>
    <t>B09GP6FBZT</t>
  </si>
  <si>
    <t>OpenTech®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</si>
  <si>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</si>
  <si>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</si>
  <si>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</si>
  <si>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</si>
  <si>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</si>
  <si>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</si>
  <si>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</si>
  <si>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</si>
  <si>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</si>
  <si>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</si>
  <si>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</si>
  <si>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</si>
  <si>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</si>
  <si>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</si>
  <si>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</si>
  <si>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</si>
  <si>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</si>
  <si>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</si>
  <si>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</si>
  <si>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</si>
  <si>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</si>
  <si>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</si>
  <si>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</si>
  <si>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</si>
  <si>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</si>
  <si>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</si>
  <si>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</si>
  <si>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</si>
  <si>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 TruViewTM display : See the clear, bigger picture on the 1.75’’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</si>
  <si>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</si>
  <si>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</si>
  <si>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</si>
  <si>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</si>
  <si>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</si>
  <si>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</si>
  <si>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</si>
  <si>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</si>
  <si>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</si>
  <si>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</si>
  <si>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</si>
  <si>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</si>
  <si>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</si>
  <si>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 20W Fast Charger with Cable: Fast Charger equipped with 20W PD 3.0 USB Type C power delivery with cable, PD 3.0 Quick-Charge USB C port provides Max 20W output power, charge your device up to 3x.|✅ Wide Compatibility: Fast charger for iPhone 13 / 13 Mini / 13 Pro / 13 Pro Max / 12 / 12 Mini / 12 Pro / 12 Pro Max, iPhone SE, iPhone 11 / 11 Pro / 11 Pro Max, iPhone XS / XS Max / XR / X, iPad Pro 12.9 / 11 / iPad Air 3 / iPad Mini(2019).|✅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 Compact &amp; Lightweight: Extremely compact size &amp; travel-friendly design fits into your pocket or bag easily without occupying too much space and ensures incredible portability wherever you go. Handy for home, office, and vacations.|✅Sales Package: 1 x 20w C-Type Adapter, 1 x C to Lightning Cable (1 Meter)</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</si>
  <si>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</si>
  <si>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</si>
  <si>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</si>
  <si>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</si>
  <si>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LaptopAccessories</t>
  </si>
  <si>
    <t>CameraPrivacyCovers</t>
  </si>
  <si>
    <t>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</si>
  <si>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https://www.amazon.in/LIRAMARK-Webcam-Blocker-Computer-MacBook/dp/B08BQ947H3/ref=sr_1_317?qid=1672895842&amp;s=electronics&amp;sr=1-317</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</si>
  <si>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</si>
  <si>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</si>
  <si>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</si>
  <si>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</si>
  <si>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</si>
  <si>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</si>
  <si>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</si>
  <si>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</si>
  <si>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</si>
  <si>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</si>
  <si>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</si>
  <si>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</si>
  <si>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</si>
  <si>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</si>
  <si>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</si>
  <si>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</si>
  <si>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https://www.amazon.in/iQOO-Sunset-Storage-Qualcomm-Snapdragon/dp/B07WHS7MZ1/ref=sr_1_336?qid=1672895842&amp;s=electronics&amp;sr=1-336</t>
  </si>
  <si>
    <t>B0BBVKRP7B</t>
  </si>
  <si>
    <t>SHREENOVA ID116 Plus Bluetooth Fitness Smart Watch for Men Women and Kids Activity Tracker (Black)</t>
  </si>
  <si>
    <t>✅ All-day activity tracking: Track steps, distance, calories burned, active minutes, you can check daily activity and time on OLED display or APP|✅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</si>
  <si>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</si>
  <si>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</si>
  <si>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</si>
  <si>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</si>
  <si>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</si>
  <si>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</si>
  <si>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</si>
  <si>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</si>
  <si>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</si>
  <si>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</si>
  <si>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</si>
  <si>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</si>
  <si>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</si>
  <si>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</si>
  <si>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</si>
  <si>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</si>
  <si>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https://www.amazon.in/10WERUN-Bluetooth-Smartwatch-Wireless-Fitness/dp/B09RFB2SJQ/ref=sr_1_367?qid=1672895857&amp;s=electronics&amp;sr=1-367</t>
  </si>
  <si>
    <t>B0B82YGCF6</t>
  </si>
  <si>
    <t>Tokdis MX-1 Pro Bluetooth Calling Smartwatch - 1.69” LCD Display, Multiple Watch Faces, Sleep Monitor, Heart &amp; SpO2 Monitoring, Multiple Sports Modes, Water Resistant</t>
  </si>
  <si>
    <t>【Bluetooth Calling Watch】- Tokdis MX-1 Pro enables you to make and receive calls directly from your watch via the built-in speaker and microphone. This smartwatch features a dial pad, option to access recent calls &amp; manually sync your phone’s contacts.|【How to activate Bluetooth Calling】- To enable Bluetooth Calling Function, first connect it to the Fitpro app. Once connected, manually go to the phone's Bluetooth settings and pair this smartwatch. Upon pairing, you will get a notification.|【1.69 inch HD Full Touch】 - Large Display of 1.69 Inches Size 【Full Metal Body】 - This Watch features Sleek &amp; Fashionable Metal Body The one-click control mode and honey comb menu helps you quickly navigate|【Music Experience On The Go】 - Equipped with an inbuilt speaker, this smartwatch lets you play your favourite tracks on the Watch without having to take out your phone.|【Multiple Watch Faces &amp; Smart Controls】 - The Smartwatch has unlimited Watch Faces on cloud. It has Smart controls like Weather Forecast, Alarm and many more. Get a 6 Months assured warranty from Tokdis in case of any Manufacturing Defect (Just Contact our Customer Care).</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</si>
  <si>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</si>
  <si>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</si>
  <si>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</si>
  <si>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</si>
  <si>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</si>
  <si>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</si>
  <si>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</si>
  <si>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</si>
  <si>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</si>
  <si>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</si>
  <si>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</si>
  <si>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</si>
  <si>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 AMOLED Display: See everything that’s going on in your day on the big, bright Always On Display with 368*448 pixel resolution and 500 nits brightness|Noise Health Suite: Stay in the loop with what’s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</si>
  <si>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</si>
  <si>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</si>
  <si>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</si>
  <si>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</si>
  <si>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</si>
  <si>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</si>
  <si>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</si>
  <si>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</si>
  <si>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</si>
  <si>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🎁【18W Fast Charging- Always Speedy】Two ports pump out up to 18 watts of power, enabling simultaneous fast charging for two devices. 18W Type-C output port to give the latest devices a full-speed charge.|🎁【Universal Compatibility】Support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more.|🎁【PE2.0,PD 3.0 &amp; QC 3.0】: Equipped with a 18W Power Delivery,3.0 port, and an 18W Quick Charge 3.0 port, the charger allows for charging two devices simultaneously|🎁【Safe and Reliable】This UL-certified USB C charger With the built-in intelligent chip, the wall charger matches the current as your device needs automatically, ensure safety and protection for your devices. No matter how fast it charges, you won’t have to worry about your phone heating up at all. A combination of 6 safety features that work together to provide ultimate protection for you and your devices|🎁【 Ultra-Fast Type-C Cable Included】 Oraimo 18W fast charger adapter comes with a fast charging type-c cable, It enables full speed charging and syncing to new Type-C models in the market.</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</si>
  <si>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</si>
  <si>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</si>
  <si>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</si>
  <si>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Electronics|Mobiles&amp;Accessories|MobileAccessories|Décor|PhoneCharms</t>
  </si>
  <si>
    <t>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</si>
  <si>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</si>
  <si>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</si>
  <si>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</si>
  <si>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</si>
  <si>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</si>
  <si>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</si>
  <si>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</si>
  <si>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</si>
  <si>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</si>
  <si>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</si>
  <si>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</si>
  <si>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</si>
  <si>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</si>
  <si>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</si>
  <si>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</si>
  <si>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</si>
  <si>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</si>
  <si>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https://www.amazon.in/POPIO-Compatible-iPhone-Transparent-Installation/dp/B0B5YBGCKD/ref=sr_1_417?qid=1672895872&amp;s=electronics&amp;sr=1-417</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</si>
  <si>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</si>
  <si>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</si>
  <si>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</si>
  <si>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</si>
  <si>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https://www.amazon.in/Amozo-iPhone-13-Polycarbonate-Transparent/dp/B09MY4W73Q/ref=sr_1_419?qid=1672895872&amp;s=electronics&amp;sr=1-419</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</si>
  <si>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</si>
  <si>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</si>
  <si>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</si>
  <si>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</si>
  <si>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</si>
  <si>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</si>
  <si>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</si>
  <si>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</si>
  <si>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</si>
  <si>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</si>
  <si>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</si>
  <si>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【Compatibility】 This screen protector case is compatible with Samsung Galaxy Watch 4, 44mm. [NOTE: WATCH IS NOT INCLUDED]|【Shock-Absorbing】 Made of TPU Material, anti-scratch plastic, thin case cover the full front and curved edges of the watch ,offer full protection for your watch against scratches, drop and bump.|【Light Weight】 lightweight and Slim protective bumper case cover shell is perfect for your watch.|【Easy Installation】 Easy to install and make off, When charging your Watch, you do not need to remove the watch case.|【Touch Experience】 Case is High-Definition Transparent and gives you 99.99% HD clarity with true color reproduction and gives you the original touch experience.</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</si>
  <si>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</si>
  <si>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</si>
  <si>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</si>
  <si>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</si>
  <si>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https://www.amazon.in/Samsung-Galaxy-Cloud-128GB-Storage/dp/B08VB57558/ref=sr_1_434?qid=1672895879&amp;s=electronics&amp;sr=1-434</t>
  </si>
  <si>
    <t>https://www.amazon.in/Ambrane-ABDC-10-Charging-Transmission-Compatible/dp/B09CMP1SC8/ref=sr_1_439?qid=1672895879&amp;s=electronics&amp;sr=1-439</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</si>
  <si>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</si>
  <si>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</si>
  <si>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</si>
  <si>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</si>
  <si>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</si>
  <si>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</si>
  <si>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</si>
  <si>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</si>
  <si>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</si>
  <si>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</si>
  <si>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</si>
  <si>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‎Smartwatch, Magnetic Charger, User Manual, Warranty Card; Connectivity Technology: Usb; Item Type Name: Smartwatch; Compatible Devices: Smartphone</t>
  </si>
  <si>
    <t>https://www.amazon.in/Noise-ColorFit-Monitoring-Smartwatches-Electric/dp/B09NVPJ3P4/ref=sr_1_457?qid=1672895886&amp;s=electronics&amp;sr=1-457</t>
  </si>
  <si>
    <t>B0B3NDPCS9</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</si>
  <si>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Silicone|【1.78" AMOLED Display】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</si>
  <si>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</si>
  <si>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</si>
  <si>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</si>
  <si>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</si>
  <si>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</si>
  <si>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</si>
  <si>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</si>
  <si>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【HATE IT WHEN CARRY A HEAVY SELFIE STICK?】Yep, screwing a monopod selfie stick with a heavy tripod, is a pain. Our lightweight foldable selfie stick was designed to eliminate this to make a ordinary Selfie Stick lighter but more functional.|【HOW IS THE TRIPOD INTEGRATED AS ONE?】Gently slide the WIRELESS REMOTE from stick .It takes 3 seconds to make the TRIPOD appear just simply unfold the bottom part of the selfie stick. Ingenious design which makes the tripod open or close in one step. Fantastic way to start your selfie happiness.|【HOW DOES IT FIT VARIOUS OCCASIONS?】Extendable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situation|【Widely Compatible &amp; Perfect Match 】The Selfie Stick is suitable for Most Smart Phone in Market, IPhone x 8 6 7 Plus Android Samsung Galaxy S7 S8 Blackberry Huawei etc. No Need to Worry About Incompatibility Issues. Fits 3.5-6.2'' screen devices like iOS &amp; Android and Samsung.(no need to download extra APP.)|【Long Battery Life】Using With CR1632 (120mah) Replaceable Lithium Metal Cell for The Remote, Last Up 7500 photos can taken and Convenient Replace, also you can easily Buy This Battery in Market.</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</si>
  <si>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</si>
  <si>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</si>
  <si>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</si>
  <si>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 6.2 times, OnePlus Nord - 4.3 times.|20W Fast Charging Output – Thunderous 20 Watts PD and 3.0 QC output for boosted charging speed, so that you always thrive on high speed. It carries a substantial capacity to charge your mobile 50% in as quickly as 30 minutes on average.|20W Fast Charging Input – The powerbank itself can get charged in 12 to 13 hours as it has Power Delivery Technology which supports 20W fast charging input via Type C port.|Charge 3 Devices at once –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</si>
  <si>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</si>
  <si>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</si>
  <si>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</si>
  <si>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</si>
  <si>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</si>
  <si>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</si>
  <si>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</si>
  <si>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</si>
  <si>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</si>
  <si>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</si>
  <si>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</si>
  <si>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</si>
  <si>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</si>
  <si>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</si>
  <si>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https://www.amazon.in/Aluminium-Adjustable-Mobile-Foldable-Smartphones/dp/B088ZFJY82/ref=sr_1_493?qid=1672895894&amp;s=electronics&amp;sr=1-493</t>
  </si>
  <si>
    <t>B0B4F4QZ1H</t>
  </si>
  <si>
    <t>Samsung Galaxy M13 5G (Stardust Brown, 6GB, 128GB Storage) | 5000mAh Battery | Upto 12GB RAM with RAM Plus</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</si>
  <si>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</si>
  <si>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</si>
  <si>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</si>
  <si>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</si>
  <si>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</si>
  <si>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</si>
  <si>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</si>
  <si>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【2022 latest iPad Magnetic Charging】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worries|【Ultra-High-Precision 0-delay】KINGONE's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paper|【Excellent Easy of Use】This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applications|【Tilt Sensing &amp; Malfunction Prevention】KINGONE's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classmates!|【Compatible Models &amp; Warranty】Pay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</si>
  <si>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https://www.amazon.in/Wireless-Generation-Sensitive-Rejection-Compatible/dp/B0B9BD2YL4/ref=sr_1_500?qid=1672895894&amp;s=electronics&amp;sr=1-500</t>
  </si>
  <si>
    <t>B071Z8M4KX</t>
  </si>
  <si>
    <t>boAt BassHeads 100 in-Ear Wired Headphones with Mic (Black)</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</si>
  <si>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</si>
  <si>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</si>
  <si>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</si>
  <si>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 Pair technology that powers on these true wireless earbuds as soon as you open the case cover.|IP Rating- The earbuds' body comes protected with IPX4 rating for water and sweat resistance.</t>
  </si>
  <si>
    <t>https://www.amazon.in/Airdopes-141-Playtime-Resistance-Bluetooth/dp/B09N3ZNHTY/ref=sr_1_2?qid=1672902995&amp;s=computers&amp;sr=1-2</t>
  </si>
  <si>
    <t>https://www.amazon.in/Fire-Boltt-Phoenix-Bluetooth-Calling-Monitoring/dp/B0B3RRWSF6/ref=sr_1_3?qid=1672902995&amp;s=computers&amp;sr=1-3</t>
  </si>
  <si>
    <t>https://www.amazon.in/boAt-Wave-Call-Dedicated-Multi-Sport/dp/B0B5B6PQCT/ref=sr_1_4?qid=1672902995&amp;s=computers&amp;sr=1-4</t>
  </si>
  <si>
    <t>B005FYNT3G</t>
  </si>
  <si>
    <t>SanDisk Cruzer Blade 32GB USB Flash Drive</t>
  </si>
  <si>
    <t>Computers&amp;Accessories|ExternalDevices&amp;DataStorage|PenDrives</t>
  </si>
  <si>
    <t>ExternalDevices&amp;DataStorage</t>
  </si>
  <si>
    <t>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</si>
  <si>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</si>
  <si>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</si>
  <si>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</si>
  <si>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</si>
  <si>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</si>
  <si>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Keyboards,Mice&amp;InputDevices</t>
  </si>
  <si>
    <t>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</si>
  <si>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</si>
  <si>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</si>
  <si>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</si>
  <si>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</si>
  <si>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</si>
  <si>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</si>
  <si>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</si>
  <si>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</si>
  <si>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</si>
  <si>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</si>
  <si>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</si>
  <si>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</si>
  <si>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</si>
  <si>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</si>
  <si>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</si>
  <si>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Lapdesks</t>
  </si>
  <si>
    <t>&gt; ★ ★-------&gt;EASY TO FOLD OUT: Clever folding design allows the legs to fold flat so you can easily put it behind the door or the corner of home when not in use. No need to install everytime you use.|&gt;★★-------&gt;LARGE,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 ★-------&gt;MULTI-PURPOSE LAPTOP DESK: Laptop bed tray is perfect lap desks for work, games, reading, eating and school from the comfort of your bed, floor, sofa or couch. Great work from home gift &amp; bed accessories!|&gt; ★ ★-------&gt;NON-SLIP BOTTOM DESIGN: The steel feet are covered with black sponge for good anti-slip effect to keep your laptop safe without slipping when in tilted position. Also provides you a comfort and stability while using.|&gt;★ ★-------&gt;ENVIRONMENTAL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</si>
  <si>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https://www.amazon.in/SKE-Portable-Multifunction-Laptop-Table-Children/dp/B0B72BSW7K/ref=sr_1_9?qid=1672902995&amp;s=computers&amp;sr=1-9</t>
  </si>
  <si>
    <t>https://www.amazon.in/SanDisk-Ultra%C2%AE-microSDXCTM-Warranty-Smartphones/dp/B0BDRVFDKP/ref=sr_1_10?qid=1672902995&amp;s=computers&amp;sr=1-10</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</si>
  <si>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</si>
  <si>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</si>
  <si>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</si>
  <si>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</si>
  <si>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</si>
  <si>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</si>
  <si>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</si>
  <si>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</si>
  <si>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</si>
  <si>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 to 6.7”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</si>
  <si>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</si>
  <si>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</si>
  <si>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</si>
  <si>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Ω|Frequency response 20Hz-20kHz|Cable length 1.2m|Country of Origin: China</t>
  </si>
  <si>
    <t>https://www.amazon.in/Zebronics-Zeb-Bro-Wired-Earphone/dp/B07T5DKR5D/ref=sr_1_14?qid=1672902995&amp;s=computers&amp;sr=1-14</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</si>
  <si>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</si>
  <si>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</si>
  <si>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</si>
  <si>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</si>
  <si>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https://www.amazon.in/Rockerz-450-Wireless-Bluetooth-Headphone/dp/B07PR1CL3S/ref=sr_1_16?qid=1672902995&amp;s=computers&amp;sr=1-16</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</si>
  <si>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</si>
  <si>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</si>
  <si>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</si>
  <si>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 20 kHz. One-Button Universal Remote with Mic|Quick Launch Access to Google Assistant / Siri|Ultra Lightweight and Comfortable with 3 sizes of ear tips|High Fidelity Twin Cable|What's in the box : 1 pair JBL C50HI headphone, 3 sets of ear tips (S, M, L), 1 Warranty and safety card</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</si>
  <si>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</si>
  <si>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</si>
  <si>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</si>
  <si>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https://www.amazon.in/LAPSTER-Charger-Protectors-Charging-Protective/dp/B08W56G1K9/ref=sr_1_19?qid=1672902995&amp;s=computers&amp;sr=1-19</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</si>
  <si>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</si>
  <si>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</si>
  <si>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</si>
  <si>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</si>
  <si>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</si>
  <si>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</si>
  <si>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</si>
  <si>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</si>
  <si>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</si>
  <si>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</si>
  <si>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</si>
  <si>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don’t need to worry about its durability. With a life of over 30 lakhs clicks, this wireless mouse is highly durable and delivers optimal work quality to the users.</t>
  </si>
  <si>
    <t>https://www.amazon.in/Portronics-Wireless-Optical-Orientation-Adjustable/dp/B0B296NTFV/ref=sr_1_23?qid=1672902995&amp;s=computers&amp;sr=1-23</t>
  </si>
  <si>
    <t>https://www.amazon.in/Noise-ColorFit-Display-Monitoring-Smartwatches/dp/B09NVPSCQT/ref=sr_1_25?qid=1672902996&amp;s=computers&amp;sr=1-25</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</si>
  <si>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</si>
  <si>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</si>
  <si>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</si>
  <si>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</si>
  <si>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https://www.amazon.in/Boult-Audio-X1-Earphones-Cancellation/dp/B07TCN5VR9/ref=sr_1_28?qid=1672902996&amp;s=computers&amp;sr=1-28</t>
  </si>
  <si>
    <t>B00ZYLMQH0</t>
  </si>
  <si>
    <t>Dell KB216 Wired Multimedia USB Keyboard with Super Quite Plunger Keys with Spill-Resistant – Black</t>
  </si>
  <si>
    <t>Computers&amp;Accessories|Accessories&amp;Peripherals|Keyboards,Mice&amp;InputDevices|Keyboards</t>
  </si>
  <si>
    <t>Keyboards</t>
  </si>
  <si>
    <t>DEVICE TYPE: Keyboard|CONNECTIVITY TECHNOLOGY: Wired|INTERFACE: USB|HOT KEYS FUNCTION: Volume, Mute, Play/Pause, Backward, Forward|KEYS STYLE: Chiclet</t>
  </si>
  <si>
    <t>https://www.amazon.in/Dell-KB216-Wired-Multimedia-Keyboard/dp/B00ZYLMQH0/ref=sr_1_29?qid=1672902996&amp;s=computers&amp;sr=1-29</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</si>
  <si>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</si>
  <si>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</si>
  <si>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</si>
  <si>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</si>
  <si>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</si>
  <si>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</si>
  <si>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</si>
  <si>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</si>
  <si>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MusicalInstruments</t>
  </si>
  <si>
    <t>Microphones</t>
  </si>
  <si>
    <t>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</si>
  <si>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</si>
  <si>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https://www.amazon.in/Boya-Omnidirectional-Lavalier-Condenser-Microphone/dp/B076B8G5D8/ref=sr_1_32?qid=1672902996&amp;s=computers&amp;sr=1-32</t>
  </si>
  <si>
    <t>https://www.amazon.in/Wayona-Braided-WN3LG1-Syncing-Charging/dp/B07JW9H4J1/ref=sr_1_33?qid=1672902996&amp;s=computers&amp;sr=1-33</t>
  </si>
  <si>
    <t>B014SZO90Y</t>
  </si>
  <si>
    <t>Duracell Ultra Alkaline AA Battery, 8 Pcs</t>
  </si>
  <si>
    <t>Electronics|GeneralPurposeBatteries&amp;BatteryChargers|DisposableBatteries</t>
  </si>
  <si>
    <t>GeneralPurposeBatteries&amp;BatteryChargers</t>
  </si>
  <si>
    <t>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</si>
  <si>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</si>
  <si>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</si>
  <si>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</si>
  <si>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</si>
  <si>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</si>
  <si>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OfficeProducts</t>
  </si>
  <si>
    <t>OfficePaperProducts</t>
  </si>
  <si>
    <t>Paper</t>
  </si>
  <si>
    <t>Stationery</t>
  </si>
  <si>
    <t>Pens,Pencils&amp;WritingSupplies</t>
  </si>
  <si>
    <t>5 vibrant Neon body color|Smooth and fast writing|Japanese waterproof ink|Country of Origin: India</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</si>
  <si>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</si>
  <si>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</si>
  <si>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</si>
  <si>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</si>
  <si>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Home&amp;Kitchen</t>
  </si>
  <si>
    <t>CraftMaterials</t>
  </si>
  <si>
    <t>Scrapbooking</t>
  </si>
  <si>
    <t>Tape</t>
  </si>
  <si>
    <t>Sticks to most surfaces includingwalls, ceramic tiles and wood-surfacesthat are clean, dry and smooth#.|A no-mess alternative to glue forlight-duty attaching andmounting tasks.|Ideal for permanent mounting tasks.</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</si>
  <si>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</si>
  <si>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</si>
  <si>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</si>
  <si>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you’re a boAthead|Plug into convenience with the 3.5mm angled jack to begin your journey|1 year warranty from the date of purchase</t>
  </si>
  <si>
    <t>https://www.amazon.in/BassHeads-152-ToneSecure-Braided-Earphones/dp/B07KY3FNQP/ref=sr_1_37?qid=1672902996&amp;s=computers&amp;sr=1-37</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</si>
  <si>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</si>
  <si>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</si>
  <si>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</si>
  <si>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</si>
  <si>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</si>
  <si>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</si>
  <si>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</si>
  <si>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</si>
  <si>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</si>
  <si>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</si>
  <si>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</si>
  <si>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</si>
  <si>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</si>
  <si>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</si>
  <si>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</si>
  <si>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</si>
  <si>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</si>
  <si>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</si>
  <si>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</si>
  <si>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</si>
  <si>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</si>
  <si>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</si>
  <si>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</si>
  <si>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Cameras&amp;Photography</t>
  </si>
  <si>
    <t>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</si>
  <si>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</si>
  <si>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</si>
  <si>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</si>
  <si>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</si>
  <si>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</si>
  <si>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https://www.amazon.in/ZEBRONICS-Zeb-Dash-Wireless-Receiver-Buttons/dp/B08YDFX7Y1/ref=sr_1_46?qid=1672902996&amp;s=computers&amp;sr=1-46</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</si>
  <si>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</si>
  <si>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</si>
  <si>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</si>
  <si>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</si>
  <si>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</si>
  <si>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</si>
  <si>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</si>
  <si>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</si>
  <si>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Tripods&amp;Monopods</t>
  </si>
  <si>
    <t>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</si>
  <si>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</si>
  <si>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</si>
  <si>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</si>
  <si>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</si>
  <si>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 play-time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</si>
  <si>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https://www.amazon.in/Boult-Audio-Lightning-Environmental-Cancellation/dp/B0B31BYXQQ/ref=sr_1_50?qid=1672902997&amp;s=computers&amp;sr=1-50</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</si>
  <si>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</si>
  <si>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</si>
  <si>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</si>
  <si>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drive’s durable and stylish metal casing keeps your important files safe, while the included SanDisk SecureAccess software lets you password-protect and encrypt your sensitive files|Compatible with both USB 2.0 and 3.0 ports, Operating temperature32° – 95°F (0° – 35°C)|Country of Origin: Malaysia|9th Generation Intel Core i9 ProcessorsProducts formerly Coffee LakeDesktopLithography14 nmProcessor Base Frequency3.60 GHzTDP95 WIntel UHD Graphics 630350 MHz|BX80684I99900K</t>
  </si>
  <si>
    <t>https://www.amazon.in/SanDisk-Ultra-Flair-USB-64GB/dp/B07SLMR1K6/ref=sr_1_52?qid=1672902997&amp;s=computers&amp;sr=1-52</t>
  </si>
  <si>
    <t>https://www.amazon.in/boAt-Display-Multiple-Monitoring-Charcoal/dp/B09MQSCJQ1/ref=sr_1_53?qid=1672902997&amp;s=computers&amp;sr=1-53</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</si>
  <si>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</si>
  <si>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</si>
  <si>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</si>
  <si>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</si>
  <si>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https://www.amazon.in/boAt-Rockerz-330-Bluetooth-Assistant/dp/B092X94QNQ/ref=sr_1_55?qid=1672902997&amp;s=computers&amp;sr=1-55</t>
  </si>
  <si>
    <t>B0846D5CBP</t>
  </si>
  <si>
    <t>Casio FX-991ES Plus-2nd Edition Scientific Calculator, Black</t>
  </si>
  <si>
    <t>OfficeProducts|OfficeElectronics|Calculators|Scientific</t>
  </si>
  <si>
    <t>OfficeElectronics</t>
  </si>
  <si>
    <t>Calculators</t>
  </si>
  <si>
    <t>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</si>
  <si>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</si>
  <si>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</si>
  <si>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</si>
  <si>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</si>
  <si>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</si>
  <si>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</si>
  <si>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 For other installation related query, compatibility issue or any other queries call on toll free no 1800 2094 168 or write us at support.in@tp-link.com</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</si>
  <si>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</si>
  <si>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</si>
  <si>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</si>
  <si>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</si>
  <si>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https://www.amazon.in/boAt-Bassheads-242-Wired-Earphones/dp/B08H9Z3XQW/ref=sr_1_58?qid=1672902997&amp;s=computers&amp;sr=1-58</t>
  </si>
  <si>
    <t>B08LPJZSSW</t>
  </si>
  <si>
    <t>DIGITEK® (DTR 260 GT) Gorilla Tripod/Mini 33 cm (13 Inch) Tripod for Mobile Phone with Phone Mount &amp; Remote, Flexible Gorilla Stand for DSLR &amp; Action Cameras</t>
  </si>
  <si>
    <t>Electronics|Cameras&amp;Photography|Accessories|Tripods&amp;Monopods|TripodLegs</t>
  </si>
  <si>
    <t>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</si>
  <si>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</si>
  <si>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https://www.amazon.in/DIGITEK%C2%AE-DTR-260-GT-Flexible/dp/B08LPJZSSW/ref=sr_1_59?qid=1672902997&amp;s=computers&amp;sr=1-59</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</si>
  <si>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</si>
  <si>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</si>
  <si>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</si>
  <si>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</si>
  <si>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</si>
  <si>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Printers,Inks&amp;Accessories</t>
  </si>
  <si>
    <t>Inks,Toners&amp;Cartridges</t>
  </si>
  <si>
    <t>InkjetInkCartridges</t>
  </si>
  <si>
    <t>Cartridge color: Black|Yield: 120 pages|Ink type: Pigment-based ink cartridge|Compatible with printers: HP DeskJet Plus All-in-One (4121, 4122, 4123), HP DeskJet All-in-One (2720, 2721, 2722, 2723, 2729, 2332, 2330, 2331, 2333), HP DeskJet (1212, 1210, 1211, 1213)</t>
  </si>
  <si>
    <t>https://www.amazon.in/805-Black-Original-Ink-Cartridge/dp/B08CYPB15D/ref=sr_1_62?qid=1672902997&amp;s=computers&amp;sr=1-62</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</si>
  <si>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</si>
  <si>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</si>
  <si>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</si>
  <si>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</si>
  <si>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Keyboard&amp;MiceAccessories</t>
  </si>
  <si>
    <t>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</si>
  <si>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</si>
  <si>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</si>
  <si>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</si>
  <si>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</si>
  <si>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</si>
  <si>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</si>
  <si>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</si>
  <si>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</si>
  <si>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</si>
  <si>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</si>
  <si>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</si>
  <si>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</si>
  <si>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</si>
  <si>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</si>
  <si>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</si>
  <si>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</si>
  <si>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</si>
  <si>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https://www.amazon.in/Boult-Audio-PowerBuds-Wireless-Waterproof/dp/B08D11DZ2W/ref=sr_1_69?qid=1672902997&amp;s=computers&amp;sr=1-69</t>
  </si>
  <si>
    <t>B07Q7561HD</t>
  </si>
  <si>
    <t>Eveready 1015 Carbon Zinc AA Battery - 10 Pieces</t>
  </si>
  <si>
    <t>Eveready’s Zinc Carbon Battery are considered one of the best battery for remote controls, clocks, small toys, torches, etc.|Highly durable &amp; reliable technology|Available in wide range of sizes - AAA, AA, D, C and 9V sizes</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</si>
  <si>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</si>
  <si>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</si>
  <si>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</si>
  <si>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</si>
  <si>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PCGamingPeripherals</t>
  </si>
  <si>
    <t>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</si>
  <si>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</si>
  <si>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</si>
  <si>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</si>
  <si>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</si>
  <si>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</si>
  <si>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PaintingMaterials</t>
  </si>
  <si>
    <t>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</si>
  <si>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</si>
  <si>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</si>
  <si>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</si>
  <si>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</si>
  <si>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</si>
  <si>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MousePads</t>
  </si>
  <si>
    <t>9.4 Inches X 7.9 Inches) 240mm x 200mm x 2mm Size: This mouse pad is ideal for Gamers, Graphic Designers, Students, or anyone using mouse for long sessions. This helps to improve the gaming experience for gamers or the work efficiency in the office.</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</si>
  <si>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</si>
  <si>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</si>
  <si>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</si>
  <si>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</si>
  <si>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</si>
  <si>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</si>
  <si>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</si>
  <si>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</si>
  <si>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</si>
  <si>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</si>
  <si>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</si>
  <si>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</si>
  <si>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</si>
  <si>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</si>
  <si>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https://www.amazon.in/Boult-Audio-Curve-Sweatproof-Headphones/dp/B07LG59NPV/ref=sr_1_76?qid=1672902998&amp;s=computers&amp;sr=1-76</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</si>
  <si>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</si>
  <si>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</si>
  <si>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</si>
  <si>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</si>
  <si>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</si>
  <si>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</si>
  <si>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</si>
  <si>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</si>
  <si>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</si>
  <si>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Flashes</t>
  </si>
  <si>
    <t>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</si>
  <si>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</si>
  <si>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</si>
  <si>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</si>
  <si>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</si>
  <si>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</si>
  <si>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</si>
  <si>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</si>
  <si>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</si>
  <si>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</si>
  <si>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</si>
  <si>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</si>
  <si>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</si>
  <si>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</si>
  <si>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</si>
  <si>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Routers</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</si>
  <si>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TP-Link Tether app|In an unlikely case of product quality related issue, we may ask you to reach out to brand’s customer service support and seek resolution. We will require brand proof of issue to process replacement request;Control Method: Touch;Security Protocol: 64/128-Bit Wep,Wpa / Wpa2,Wpa-Psk/ Wpa2-Psk Encryption|Operating System: Windows 10linuxmac Oswindows</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</si>
  <si>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</si>
  <si>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</si>
  <si>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</si>
  <si>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</si>
  <si>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</si>
  <si>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</si>
  <si>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</si>
  <si>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</si>
  <si>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</si>
  <si>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32Ω ; Rated power: 5mW|Customer Service: 1800 103 6286, Service is available from 9 a.m. to 9 p.m. local time.</t>
  </si>
  <si>
    <t>https://www.amazon.in/Mi-Earphones-Basic-Mic-Black/dp/B07CD2BN46/ref=sr_1_87?qid=1672902998&amp;s=computers&amp;sr=1-87</t>
  </si>
  <si>
    <t>B07PLHTTB4</t>
  </si>
  <si>
    <t>Zodo 8. 5 inch LCD E-Writer Electronic Writing Pad/Tablet Drawing Board (Paperless Memo Digital Tablet)</t>
  </si>
  <si>
    <t>Size: 8. 5 inch|Good grade</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</si>
  <si>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</si>
  <si>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</si>
  <si>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</si>
  <si>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</si>
  <si>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</si>
  <si>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</si>
  <si>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</si>
  <si>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</si>
  <si>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</si>
  <si>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</si>
  <si>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</si>
  <si>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</si>
  <si>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32Ω.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</si>
  <si>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</si>
  <si>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</si>
  <si>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</si>
  <si>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</si>
  <si>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</si>
  <si>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</si>
  <si>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https://www.amazon.in/ZEBRONICS-Zeb-Astra-20-Wireless-Rechargeable/dp/B0B12K5BPM/ref=sr_1_93?qid=1672902998&amp;s=computers&amp;sr=1-93</t>
  </si>
  <si>
    <t>https://www.amazon.in/GIZGA-Protector-Charging-Protective-G55/dp/B08MTCKDYN/ref=sr_1_94?qid=1672902998&amp;s=computers&amp;sr=1-94</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</si>
  <si>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</si>
  <si>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</si>
  <si>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</si>
  <si>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</si>
  <si>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</si>
  <si>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https://www.amazon.in/Panasonic-Lithium-CR2032-5BE-Battery/dp/B00LVMTA2A/ref=sr_1_97?qid=1672903000&amp;s=computers&amp;sr=1-97</t>
  </si>
  <si>
    <t>B07TR5HSR9</t>
  </si>
  <si>
    <t>MemeHo®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</si>
  <si>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</si>
  <si>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</si>
  <si>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</si>
  <si>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</si>
  <si>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</si>
  <si>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https://www.amazon.in/SanDisk-Ultra-Drive-Pendrive-Mobile/dp/B0819ZZK5K/ref=sr_1_99?qid=1672903000&amp;s=computers&amp;sr=1-99</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</si>
  <si>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</si>
  <si>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</si>
  <si>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9.4”x 7.9”,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</si>
  <si>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</si>
  <si>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</si>
  <si>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</si>
  <si>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</si>
  <si>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</si>
  <si>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</si>
  <si>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</si>
  <si>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</si>
  <si>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Ω|Call Function: Enjoy online conference, online classes, calls hands-free with a built in mic on the headphone|Multi Connectivity Options: Be spoilt for choice with multi-connectivity options like like BT, 3.5mm AUX input, FM and MicroSD card|Country of Origin: China</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</si>
  <si>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</si>
  <si>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</si>
  <si>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</si>
  <si>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It’s also lightweight and easy to carry around. It’s designed in a way to keep your hand in a restful typing position.|NOISELESS KEYS: The keyboard has soft-touch keys which go all the way down when pressed. Moreover, it doesn’t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</si>
  <si>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</si>
  <si>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</si>
  <si>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</si>
  <si>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</si>
  <si>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</si>
  <si>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</si>
  <si>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</si>
  <si>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</si>
  <si>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</si>
  <si>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</si>
  <si>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</si>
  <si>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</si>
  <si>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</si>
  <si>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Notebooks,WritingPads&amp;Diaries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</si>
  <si>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</si>
  <si>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</si>
  <si>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</si>
  <si>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</si>
  <si>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</si>
  <si>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</si>
  <si>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</si>
  <si>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https://www.amazon.in/HP-150-Ambidextrous-Wireless-Mouse/dp/B09GB5B4BK/ref=sr_1_113?qid=1672903000&amp;s=computers&amp;sr=1-113</t>
  </si>
  <si>
    <t>B015ZXUDD0</t>
  </si>
  <si>
    <t>Duracell Rechargeable AA 1300mAh Batteries, 4Pcs</t>
  </si>
  <si>
    <t>Electronics|GeneralPurposeBatteries&amp;BatteryChargers|RechargeableBatteries</t>
  </si>
  <si>
    <t>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</si>
  <si>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</si>
  <si>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</si>
  <si>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</si>
  <si>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</si>
  <si>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</si>
  <si>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</si>
  <si>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</si>
  <si>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</si>
  <si>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</si>
  <si>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</si>
  <si>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BluetoothAdapters</t>
  </si>
  <si>
    <t>Bluetooth 5.0 —— Applies the latest Bluetooth 5.0 technology, backward compatible with Bluetooth V4.0/3.0/2.1/2.0/1.1|Wireless Connectivity —— Provides stable and convenient communication between Bluetooth devices and your PC or laptop|Nano-Sized —— Ultra-small for convenient portability with reliable high performance, Supported Operating System – Windows 11/10/8.1/7|In an unlikely case of product quality related issue, we may ask you to reach out to brand’s customer service support and seek resolution. We will require brand proof of issue to process replacement request.</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</si>
  <si>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</si>
  <si>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</si>
  <si>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</si>
  <si>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</si>
  <si>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</si>
  <si>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https://www.amazon.in/SanDisk-Ultra-Drive-Flash-128GB/dp/B084PJSSQ1/ref=sr_1_119?qid=1672903000&amp;s=computers&amp;sr=1-119</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</si>
  <si>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</si>
  <si>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</si>
  <si>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</si>
  <si>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</si>
  <si>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USBtoUSBAdapters</t>
  </si>
  <si>
    <t>【WIDER COMPATIBILITY】This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❌IMPORTANT NOTE: This product is NOT compatible with Mag-safe wireless charger due to the incompatibility of charging protocols.|【FULL FUNCTIONALITY】The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port.|【CHARGING AND DATA TRANSFER】This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❌NOTE:NOT support video signal transmission.|【2 PACK COMPACT DESIGN】Comes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spaces.|【SAFER USING】USB C and USB A connector is made of premium aluminum alloy on the ends, designed for frequent plugging &amp; unplugging and heat dissipation, which is safer compared to other plastic adapters. Every USB adapter has built-in 56KΩ resistor ensure safety during charging. Just plug and charge your devices with assurance.</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</si>
  <si>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</si>
  <si>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</si>
  <si>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</si>
  <si>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</si>
  <si>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</si>
  <si>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</si>
  <si>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</si>
  <si>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you’re ready to talk.|SYSTEM COMPATIBILTY:Computers/ smartphones/tablets Windows/Mac/Chrome OS + more</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</si>
  <si>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</si>
  <si>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</si>
  <si>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</si>
  <si>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</si>
  <si>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</si>
  <si>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</si>
  <si>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https://www.amazon.in/Digitek-DTR-550-LW-Tripod/dp/B074CWD7MS/ref=sr_1_124?qid=1672903001&amp;s=computers&amp;sr=1-124</t>
  </si>
  <si>
    <t>1M Long Cable. Usb 2.0 (Type A)|Braided Usb Type C Cable|Toughened Joints|Strong And Sturdy|Country Of Origin: China|6 Months Warranty</t>
  </si>
  <si>
    <t>https://www.amazon.in/Mi-Braided-USB-Type-C-Cable/dp/B083342NKJ/ref=sr_1_125?qid=1672903001&amp;s=computers&amp;sr=1-125</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</si>
  <si>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</si>
  <si>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</si>
  <si>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</si>
  <si>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</si>
  <si>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</si>
  <si>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</si>
  <si>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</si>
  <si>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</si>
  <si>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</si>
  <si>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</si>
  <si>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</si>
  <si>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</si>
  <si>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</si>
  <si>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</si>
  <si>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</si>
  <si>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https://www.amazon.in/Fujifilm-Instax-Instant-Fuji-Cameras/dp/B00R1P3B4O/ref=sr_1_129?qid=1672903001&amp;s=computers&amp;sr=1-129</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</si>
  <si>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</si>
  <si>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</si>
  <si>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</si>
  <si>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‎Galaxy Watch::Watch Strap::Wireless Charger::Quick Start Quide</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</si>
  <si>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</si>
  <si>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</si>
  <si>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</si>
  <si>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</si>
  <si>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</si>
  <si>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</si>
  <si>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</si>
  <si>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</si>
  <si>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</si>
  <si>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</si>
  <si>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</si>
  <si>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</si>
  <si>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</si>
  <si>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</si>
  <si>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</si>
  <si>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</si>
  <si>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</si>
  <si>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</si>
  <si>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</si>
  <si>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</si>
  <si>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</si>
  <si>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</si>
  <si>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USBGadgets</t>
  </si>
  <si>
    <t>Lamps</t>
  </si>
  <si>
    <t>Portable, easy to use|LED lights for maximum illumination|Plugs into any USB port|Multipurpose Energy Use|4Pcs of USB light.</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</si>
  <si>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</si>
  <si>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</si>
  <si>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</si>
  <si>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</si>
  <si>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</si>
  <si>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</si>
  <si>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</si>
  <si>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3Ω|Frequency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</si>
  <si>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https://www.amazon.in/Zebronics-Zeb-County-Bluetooth-Speaker-Function/dp/B07YNTJ8ZM/ref=sr_1_138?qid=1672903001&amp;s=computers&amp;sr=1-138</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</si>
  <si>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</si>
  <si>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</si>
  <si>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</si>
  <si>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</si>
  <si>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</si>
  <si>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</si>
  <si>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</si>
  <si>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</si>
  <si>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 20 kHz ; Impedance 20 ohm ; Sensitivity 118 dB SPL@ 1kHz 1mW ; Microphone sensitivity -25 dBV/Pa @1kHz|With 3 Button remote, access Hands free calling or enable Voice Assistance activation on your mobile device</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</si>
  <si>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</si>
  <si>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</si>
  <si>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</si>
  <si>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</si>
  <si>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Cleaners</t>
  </si>
  <si>
    <t>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</si>
  <si>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</si>
  <si>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</si>
  <si>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</si>
  <si>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</si>
  <si>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</si>
  <si>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</si>
  <si>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</si>
  <si>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</si>
  <si>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</si>
  <si>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SecurityCameras</t>
  </si>
  <si>
    <t>DomeCameras</t>
  </si>
  <si>
    <t>High-Definition Video —— Records every image in crystal-clear 1080p definition;Pan and Tilt —— 360º horizontal and 114º vertical range; Advanced Night Vision —— Provides a visual distance of up to 30 ft;Motion Detection and Notifications —— Notifies you when the camera detects movement|Sound and Light Alarm —— Trigger light and sound effects to frighten away unwanted visitors.;Two-Way Audio —— Enables communication through a built-in microphone and speaker|Safe Storage —— Locally stores up to 128 GB on a microSD card, equal to 384 hours (16 days) of footage. (Based on laboratory conditions)|Voice Control —— Free Up Your Hands with Voice Control ——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</si>
  <si>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</si>
  <si>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</si>
  <si>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</si>
  <si>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</si>
  <si>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</si>
  <si>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</si>
  <si>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</si>
  <si>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</si>
  <si>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https://www.amazon.in/Duracell-AAA-750mAh-Rechargeable-Batteries/dp/B003B00484/ref=sr_1_148?qid=1672903002&amp;s=computers&amp;sr=1-148</t>
  </si>
  <si>
    <t>https://www.amazon.in/Adapter-Projector-Computer-Laptop-Projectors/dp/B085194JFL/ref=sr_1_149?qid=1672903002&amp;s=computers&amp;sr=1-149</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</si>
  <si>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</si>
  <si>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</si>
  <si>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</si>
  <si>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</si>
  <si>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</si>
  <si>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</si>
  <si>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</si>
  <si>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‎Smartwatch, Magnetic Charger, User Manual, Warranty Card; Compatible Devices: Smartphone</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</si>
  <si>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</si>
  <si>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</si>
  <si>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</si>
  <si>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</si>
  <si>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</si>
  <si>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</si>
  <si>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</si>
  <si>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</si>
  <si>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</si>
  <si>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</si>
  <si>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</si>
  <si>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</si>
  <si>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</si>
  <si>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</si>
  <si>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</si>
  <si>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</si>
  <si>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input|What’s in the box: 1 x JBL GO 2, 1 x Micro USB cable for charging, 1 x Safety Sheet, 1 x Quick Start Guide, 1 x Warranty Card</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</si>
  <si>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</si>
  <si>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</si>
  <si>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</si>
  <si>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</si>
  <si>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</si>
  <si>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TabletAccessories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</si>
  <si>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</si>
  <si>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</si>
  <si>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</si>
  <si>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</si>
  <si>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</si>
  <si>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</si>
  <si>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</si>
  <si>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</si>
  <si>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</si>
  <si>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</si>
  <si>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ease—thanks to the contoured design with soft rubber grips. And your mouse is easy to slip into a bag when you want to take it with you.|You’ll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mice—plus a three-year limited hardware warranty.</t>
  </si>
  <si>
    <t>https://www.amazon.in/Logitech-M235-Wireless-Mouse-Grey/dp/B004IO5BMQ/ref=sr_1_163?qid=1672903002&amp;s=computers&amp;sr=1-163</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</si>
  <si>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</si>
  <si>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</si>
  <si>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</si>
  <si>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 300Mbps wireless speed ideal for interruption sensitive applications like HD video streaming. Power: 9 V ⎓ 0.6 A;Antenna — Three antennas greatly increase the wireless robustness and stability|Encryption — Easy wireless security encryption at a push of WPS button;Bandwidth Control — IP based bandwidth control allows administrators to determine how much bandwidth is allotted to each PC;IPv6 Compatible — Compatible with IPv6 -the more recent Internet Protocol version;Working Modes — Router Mode/ Access Point Mode/ Range Extender Mode/WISP Mode|Easy Management — TP-LINK Tether App allows quick installation and easy management using any mobile device. WiFi Range: 2 Bedroom Houses3× Fixed Antennas Multiple antennas form a signal-boosting array to cover more directions and large areas|In an unlikely case of product quality related issue, we may ask you to reach out to brand’s customer service support and seek resolution. We will require brand proof of issue to process replacement request.;Security Protocol: 64/128/152-Bit Wep / Wpa / Wpa2,Wpa-Psk / Wpa2-Psk|Operating System: Windows</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</si>
  <si>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</si>
  <si>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</si>
  <si>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</si>
  <si>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</si>
  <si>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</si>
  <si>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</si>
  <si>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</si>
  <si>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【WATCH, PLAY, STUDY - WITHOUT LEAVING THE BED! 】- Are you an avid lover of comfy bed? or now you're recovering from a past surgery,what you need most is here! It perfectly fits a small size laptop,or tablet &amp; phone, also read or do arts and crafts while sitting on the sofa or having breakfast in bed.|【MUTI-FUNCTIONAL DESK】 – Callas Bed Table Built-in iPad stand groove for holding ipad or kindle.And desk comes with a table cup holder to store cups well. The Anti-Slip Sponge can keep your laptop safe while tilted, and provide you comfort and stability while using.|【PORTABLE AND CONVENIENT】 – The metal legs are foldable, easily fold flat for convenient storage when you don't need it.There are handles on the table, you can easily take the table to any place you want to use it.It is very lightweight, easy to carry and play.Go out camping is also an ideal choice.|【ERGONOMIC DESIGN】–Curved desktop edge, scientific design, protective layer around the desktop, so you can feel comfortable when using. The W-legs are stable and flexible, which are anti-slip and can be folded to save space.|【LARGE SIZE】 - 23.64(L) x 15.72(W) x 10.4Inch(H). Callas Lap Desk perfectly fits nearly all size laptop,or tablet &amp; phone, also can put a mouse and books.And there is ample space to work, study, eat breakfast or dessert on the bed table. Package Contain : 1 Laptop Table.</t>
  </si>
  <si>
    <t>https://www.amazon.in/Callas-Multipurpose-Breakfast-Ergonomic-WA-27-Black/dp/B08MZQBFLN/ref=sr_1_167?qid=1672903002&amp;s=computers&amp;sr=1-167</t>
  </si>
  <si>
    <t>B0752LL57V</t>
  </si>
  <si>
    <t>Casio MJ-12D 150 Steps Check and Correct Desktop Calculator</t>
  </si>
  <si>
    <t>OfficeProducts|OfficeElectronics|Calculators|Basic</t>
  </si>
  <si>
    <t>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</si>
  <si>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</si>
  <si>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https://www.amazon.in/Casio-MJ-12D-Desktop-Calculator-Grey/dp/B0752LL57V/ref=sr_1_168?qid=1672903002&amp;s=computers&amp;sr=1-168</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</si>
  <si>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</si>
  <si>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</si>
  <si>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</si>
  <si>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</si>
  <si>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</si>
  <si>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</si>
  <si>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</si>
  <si>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👍【USB C TO USB ADAPTER】-This is a USB C FEMALE to USB MALE adapter, used to turn all you USB-A ports of laptops, chargers or other devices into a USB-C port. Gives you the ability to connect USB-C peripherals to devices with USB-A ports.|👍【HIGH-SPEED-TRANSMISSION 】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devices!|👍【DATA SYNC AND CHARGING】USB 3.0 (USB 3.1 Gen 1)port, up to 3A, enables up to sync and display movies or music in real time thanks to a 5Gbps transfer speed, approx 10x than USB 2.0; Also, you can edit video in camera directly via port instead of downloading files|👍【SUPERRIOR DURABILITY】Made of Premium aluminum alloy housing with specular precision process, enables plug in/out again and again. Tested and inspected meet USB Standards, fit for USB 3.0 / USB 2.0 devices, built-in 56KΩ pull-up resistor protects your devices from damage. Internal PCMA adopts EMI proof process, more stable performance.|👍【 EASY OPERATION AND PORTABILITY】-Easy to use,just PLUG and PLAY, no driver required. This USB C TO USB 3.0 adapter has the advantages of SIMPLE STRUCTURE ultra COMPACT,LIGHTWEIGHT and PORTABILITY, small enough to leave it in the USB port or anywhere in your package, take it anywhere you want!</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</si>
  <si>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</si>
  <si>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</si>
  <si>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</si>
  <si>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</si>
  <si>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</si>
  <si>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</si>
  <si>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</si>
  <si>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</si>
  <si>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USBHubs</t>
  </si>
  <si>
    <t>4-Port USB 2.0 Hub. Cable length 50 cm|Useful for Laptops, PC &amp; Computers, Mac book|Pocket Sized, Easy to Carry|Plug &amp; Play</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</si>
  <si>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</si>
  <si>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</si>
  <si>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</si>
  <si>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</si>
  <si>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</si>
  <si>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</si>
  <si>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</si>
  <si>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</si>
  <si>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</si>
  <si>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</si>
  <si>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</si>
  <si>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</si>
  <si>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</si>
  <si>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</si>
  <si>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</si>
  <si>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</si>
  <si>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Audio&amp;VideoAccessories</t>
  </si>
  <si>
    <t>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</si>
  <si>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</si>
  <si>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https://www.amazon.in/JBL-Commercial-Omnidirectional-Microphone-Recording/dp/B08SCCG9D4/ref=sr_1_179?qid=1672903004&amp;s=computers&amp;sr=1-179</t>
  </si>
  <si>
    <t>B0972BQ2RS</t>
  </si>
  <si>
    <t>Fire-Boltt India's No 1 Smartwatch Brand Ring Bluetooth Calling with SpO2 &amp; 1.7” Metal Body with Blood Oxygen Monitoring, Continuous Heart Rate, Full Touch &amp; Multiple Watch Faces</t>
  </si>
  <si>
    <t>Fire-Boltt is India' No 1 Wearable Watch Brand Q122 by IDC Worldwide quarterly wearable device tracker Q122.【Bluetooth Calling Watch】- Fire-Boltt Ring bluetooth calling smart watch enables you to make and receive calls directly from your watch via the built-in speaker and microphone. This smartwatch features a dial pad, option to access recent calls &amp; sync your phone’s contacts.;|【SPo2 &amp; Heart Rate Tracking】 - The Smart watch tracks your real time Blood Oxygen Spo2 and has 24*7 Heart Rate Tracking. It also has Sleep and Fitness Tracking.; 【1.7 inch HD Full Touch】 - Industry Best Display of 1.7 Inches Size 【Full Metal Body with Changeable Strap】 - Sleek &amp; Fashionable Metal Body best smart watch. The one-click control mode and honey comb menu helps you quickly navigate 【 Battery Life】- The watch can work for 24 Hours with Bluetooth Calling ( Normal Usage )*, 8 Days without Bluetooth Calling. System requirements: Bluetooth version 5.0 and above. IOS 7.0 and above, Android version 4.4 and above.|【Music Experience On The Go】 - Equipped with an inbuilt speaker, this smartwatch lets you play your favourite tracks on the Watch without having to take out your phone.|【Multiple Watch Faces &amp; Smart Controls】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Silicone|【How to activate Bluetooth Calling】-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</si>
  <si>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</si>
  <si>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</si>
  <si>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</si>
  <si>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</si>
  <si>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</si>
  <si>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</si>
  <si>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</si>
  <si>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</si>
  <si>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</si>
  <si>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</si>
  <si>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</si>
  <si>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manufacturer’s warranty.</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</si>
  <si>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</si>
  <si>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</si>
  <si>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</si>
  <si>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</si>
  <si>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</si>
  <si>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</si>
  <si>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</si>
  <si>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</si>
  <si>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</si>
  <si>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</si>
  <si>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Bags&amp;Sleeves</t>
  </si>
  <si>
    <t>LaptopSleeves&amp;Slipcases</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</si>
  <si>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</si>
  <si>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</si>
  <si>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</si>
  <si>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</si>
  <si>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</si>
  <si>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</si>
  <si>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</si>
  <si>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</si>
  <si>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</si>
  <si>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</si>
  <si>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 Simultaneous 2.4GHz 300Mbps and 5GHz 433Mbps connections for 733Mbps of total available bandwidth. WiFi Range : 2 Bedroom Houses (3× Fixed Antennas);Antennas —— 3 external antennas provide stable omnidirectional signal and superior wireless coverage|Working Modes —— Router Mode, Access Point Mode, Range Extender Mode.;Wireless Standards —— IEEE 802.11ac/n/a 5 GHz, IEEE 802.11n/b/g 2.4 GHz|Interface —— 1× 10/100 Mbps WAN Port, 4× 10/100 Mbps LAN Ports;Guest Access —— Simple Class Wireless Access for guests without release the local network|In an unlikely case of product quality related issue, we may ask you to reach out to brand’s customer service support and seek resolution. We will require brand proof of issue to process replacement request.;Control Method: Application;Security Protocol: Wepwpa-Pskwpa2-Psk|Operating System: Windows</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</si>
  <si>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</si>
  <si>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</si>
  <si>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</si>
  <si>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</si>
  <si>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</si>
  <si>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</si>
  <si>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</si>
  <si>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</si>
  <si>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 durable enough to support up to 44 lbs (20kg).|Portable - Foldable and easy to place. Convenient to carry and use at home, the office or somewhere else.|Hollow design - Reduce the contact area with the desktop, which provides a cavity and is more conducive to heat dissipation.</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</si>
  <si>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</si>
  <si>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</si>
  <si>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</si>
  <si>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</si>
  <si>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https://www.amazon.in/Logitech-MK215-Wireless-Keyboard-Mouse/dp/B012MQS060/ref=sr_1_190?qid=1672903004&amp;s=computers&amp;sr=1-190</t>
  </si>
  <si>
    <t>B01MF8MB65</t>
  </si>
  <si>
    <t>boAt Bassheads 225 in Ear Wired Earphones with Mic(Blue)</t>
  </si>
  <si>
    <t>Has a PVC cable which is durable and tangle free. Impedance 16Ω,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</si>
  <si>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</si>
  <si>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</si>
  <si>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</si>
  <si>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</si>
  <si>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</si>
  <si>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https://www.amazon.in/Luxor-Subject-Single-Ruled-Notebook/dp/B00LHZWD0C/ref=sr_1_193?qid=1672903005&amp;s=computers&amp;sr=1-193</t>
  </si>
  <si>
    <t>B08QDPB1SL</t>
  </si>
  <si>
    <t>Duracell Chhota Power AA Battery Set of 10 Pcs</t>
  </si>
  <si>
    <t>Duracell AA Chota Power Batteries|Alkaline LR03/MN2400|Pack of 10</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</si>
  <si>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</si>
  <si>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</si>
  <si>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</si>
  <si>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</si>
  <si>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</si>
  <si>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</si>
  <si>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</si>
  <si>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</si>
  <si>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</si>
  <si>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</si>
  <si>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</si>
  <si>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</si>
  <si>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</si>
  <si>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https://www.amazon.in/Parker-Classic-Gold-Ball-Pen/dp/B00LM4W1N2/ref=sr_1_197?qid=1672903005&amp;s=computers&amp;sr=1-197</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</si>
  <si>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</si>
  <si>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</si>
  <si>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</si>
  <si>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✅【Smart Design - 2021 Model】This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table.|✅【High-Quality Materials &amp; Premium Looks】Our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support.|✅【Multi Functional】The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holder.|✅【Foldable &amp; Easy to use】The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great|✅【More Comfortable Craft】The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</si>
  <si>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https://www.amazon.in/Tarkan-Portable-Folding-Laptop-Lapdesk/dp/B08YD264ZS/ref=sr_1_200?qid=1672903005&amp;s=computers&amp;sr=1-200</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</si>
  <si>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</si>
  <si>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</si>
  <si>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</si>
  <si>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</si>
  <si>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</si>
  <si>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</si>
  <si>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</si>
  <si>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</si>
  <si>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</si>
  <si>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</si>
  <si>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</si>
  <si>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</si>
  <si>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</si>
  <si>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</si>
  <si>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</si>
  <si>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</si>
  <si>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</si>
  <si>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</si>
  <si>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</si>
  <si>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</si>
  <si>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</si>
  <si>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</si>
  <si>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</si>
  <si>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</si>
  <si>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</si>
  <si>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</si>
  <si>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</si>
  <si>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</si>
  <si>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</si>
  <si>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Components</t>
  </si>
  <si>
    <t>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</si>
  <si>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</si>
  <si>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</si>
  <si>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</si>
  <si>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</si>
  <si>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</si>
  <si>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</si>
  <si>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</si>
  <si>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https://www.amazon.in/APC-BX600C-600VA-230V-Back/dp/B016XVRKZM/ref=sr_1_211?qid=1672903005&amp;s=computers&amp;sr=1-211</t>
  </si>
  <si>
    <t>B00LHZW3XY</t>
  </si>
  <si>
    <t>Luxor 5 Subject Single Ruled Notebook - A5 Size, 70 GSM, 300 Pages</t>
  </si>
  <si>
    <t>Twin wiro binding|Paper color: White|Paper density: 70 gsm</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</si>
  <si>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</si>
  <si>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</si>
  <si>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</si>
  <si>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</si>
  <si>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https://www.amazon.in/Zebronics-Zeb-Jaguar-Wireless-Precision-Ambidextrous/dp/B098JYT4SY/ref=sr_1_214?qid=1672903005&amp;s=computers&amp;sr=1-214</t>
  </si>
  <si>
    <t>B08CFCK6CW</t>
  </si>
  <si>
    <t>Boult Audio Truebuds with 30H Playtime, IPX7 Waterproof, Lightning Boult™ Type C Fast Charging (10 Min=100Mins), BoomX™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</si>
  <si>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</si>
  <si>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https://www.amazon.in/Boult-Audio-TrueBuds-Wireless-Waterproof/dp/B08CFCK6CW/ref=sr_1_215?qid=1672903005&amp;s=computers&amp;sr=1-215</t>
  </si>
  <si>
    <t>B09P564ZTJ</t>
  </si>
  <si>
    <t>Wembley LCD Writing Pad/Tab | Writing, Drawing, Reusable, Portable Pad with Colorful Letters | 9 Inch Graphic Tablet (Assorted)</t>
  </si>
  <si>
    <t>✅Don't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on.|✅One-touch Erase Button &amp; Lock Function: Slide the lock button on the back of the tablet to prevents accidental clearing, protect your creation! .: Tablet displays your notes until you erase them with the touch of a button.One-touch button erases notes instantly.|✅Eco-friendly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</si>
  <si>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</si>
  <si>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</si>
  <si>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</si>
  <si>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</si>
  <si>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</si>
  <si>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</si>
  <si>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</si>
  <si>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</si>
  <si>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https://www.amazon.in/DASITON-Flexible-Ambient-Portable-Outdoor/dp/B09N6TTHT6/ref=sr_1_218?qid=1672903006&amp;s=computers&amp;sr=1-218</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</si>
  <si>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</si>
  <si>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</si>
  <si>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</si>
  <si>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</si>
  <si>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</si>
  <si>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</si>
  <si>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</si>
  <si>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</si>
  <si>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</si>
  <si>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</si>
  <si>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</si>
  <si>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</si>
  <si>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</si>
  <si>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</si>
  <si>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</si>
  <si>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</si>
  <si>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</si>
  <si>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</si>
  <si>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</si>
  <si>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</si>
  <si>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https://www.amazon.in/SanDisk-Ultra-UHS-I-Memory-SDSDUN4-032G-GN6IN/dp/B08GYG6T12/ref=sr_1_223?qid=1672903006&amp;s=computers&amp;sr=1-223</t>
  </si>
  <si>
    <t>B09BN2NPBD</t>
  </si>
  <si>
    <t>DIGITEK®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</si>
  <si>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</si>
  <si>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Flashes&amp;SelfieLights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</si>
  <si>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‎Light Stand, Mini Tripod, Ring light body, ‎Hot shoe mount, Smart phone mount|For any product related queries contact our Service Customer Support / Toll Free number 1800-123-544-444 with 12 lines to assist customer from morning 10 am to 6.30 pm Monday to Saturday except Govt. Holidays</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</si>
  <si>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</si>
  <si>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</si>
  <si>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</si>
  <si>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</si>
  <si>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</si>
  <si>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</si>
  <si>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</si>
  <si>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</si>
  <si>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</si>
  <si>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</si>
  <si>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</si>
  <si>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</si>
  <si>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</si>
  <si>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</si>
  <si>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</si>
  <si>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</si>
  <si>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</si>
  <si>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</si>
  <si>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</si>
  <si>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</si>
  <si>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Webcams&amp;VoIPEquipment</t>
  </si>
  <si>
    <t>Webcams</t>
  </si>
  <si>
    <t>Crisp HD 720p/30 fps video calls with diagonal 55° field of view and auto light correction. Compatible with popular platforms including Skype and Zoom.|The built-in noise-reducing mic makes sure your voice comes across clearly up to 1.5 meters away, even if you’re in busy surroundings.|C270’s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You’re always ready for your next video call.|Ideal for laptop or tablet: Compatible with Windows 10 or later, Windows 8, Windows 7, Mac OS 10.10 or later, and Chrome OS via the USB port</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</si>
  <si>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</si>
  <si>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</si>
  <si>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</si>
  <si>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manufacturer’s warranty.</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</si>
  <si>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</si>
  <si>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</si>
  <si>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</si>
  <si>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</si>
  <si>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</si>
  <si>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</si>
  <si>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</si>
  <si>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</si>
  <si>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</si>
  <si>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</si>
  <si>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</si>
  <si>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</si>
  <si>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</si>
  <si>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</si>
  <si>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</si>
  <si>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</si>
  <si>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</si>
  <si>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you’re good to go|The USB receiver fits conveniently inside the mouse, for effortless portability|Supports Windows Vista/7/8/10 and USB port available</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</si>
  <si>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</si>
  <si>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</si>
  <si>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</si>
  <si>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</si>
  <si>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</si>
  <si>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</si>
  <si>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</si>
  <si>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</si>
  <si>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(21.25â?_x009d_) Max-73cm (28.75â?_x009d_) surely accommodate all age group. Quick and effortless 3 angles adjustment of top, no tool required to assemble or adjust height and angles</t>
  </si>
  <si>
    <t>https://www.amazon.in/TABLE-MAGIC-Midnight-Adjustable-Multiple/dp/B086394NY5/ref=sr_1_238?qid=1672903006&amp;s=computers&amp;sr=1-238</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</si>
  <si>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</si>
  <si>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</si>
  <si>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</si>
  <si>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</si>
  <si>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</si>
  <si>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</si>
  <si>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</si>
  <si>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</si>
  <si>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4Ω,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</si>
  <si>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</si>
  <si>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</si>
  <si>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</si>
  <si>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</si>
  <si>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HomeImprovement</t>
  </si>
  <si>
    <t>Electrical</t>
  </si>
  <si>
    <t>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</si>
  <si>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</si>
  <si>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</si>
  <si>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</si>
  <si>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</si>
  <si>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</si>
  <si>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</si>
  <si>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</si>
  <si>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</si>
  <si>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</si>
  <si>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</si>
  <si>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</si>
  <si>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</si>
  <si>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</si>
  <si>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Copy&amp;PrintingPaper</t>
  </si>
  <si>
    <t>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</si>
  <si>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</si>
  <si>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</si>
  <si>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</si>
  <si>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</si>
  <si>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</si>
  <si>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</si>
  <si>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</si>
  <si>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</si>
  <si>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</si>
  <si>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</si>
  <si>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it’s 45x more energy efficient than a typical hard drive and it can operate in an input voltage of 4.5V.</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</si>
  <si>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</si>
  <si>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</si>
  <si>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</si>
  <si>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</si>
  <si>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</si>
  <si>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</si>
  <si>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</si>
  <si>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</si>
  <si>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</si>
  <si>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</si>
  <si>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</si>
  <si>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</si>
  <si>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</si>
  <si>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</si>
  <si>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</si>
  <si>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</si>
  <si>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https://www.amazon.in/INOVERA-Extended-Rubber-Stitched-Computer/dp/B09MZ6WZ6V/ref=sr_1_251?qid=1672903007&amp;s=computers&amp;sr=1-251</t>
  </si>
  <si>
    <t>B094QZLJQ6</t>
  </si>
  <si>
    <t>Seagate One Touch 2TB External HDD with Password Protection –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</si>
  <si>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</si>
  <si>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</si>
  <si>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</si>
  <si>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</si>
  <si>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</si>
  <si>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</si>
  <si>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</si>
  <si>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</si>
  <si>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</si>
  <si>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</si>
  <si>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</si>
  <si>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</si>
  <si>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</si>
  <si>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</si>
  <si>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</si>
  <si>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</si>
  <si>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</si>
  <si>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</si>
  <si>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</si>
  <si>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</si>
  <si>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</si>
  <si>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</si>
  <si>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</si>
  <si>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you’re done, dock the receiver in the mouse itself|Long hours are no match for this well-designed mouse. The Lenovo 400 Wireless Mouse is ergonomically sculpted to keep you comfortable even on days you’re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you’re burning the midnight oil</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</si>
  <si>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</si>
  <si>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</si>
  <si>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</si>
  <si>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</si>
  <si>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https://www.amazon.in/Logitech-Multi-Device-Bluetooth-Keyboard-Black/dp/B00MUTWLW4/ref=sr_1_259?qid=1672903007&amp;s=computers&amp;sr=1-259</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</si>
  <si>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</si>
  <si>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</si>
  <si>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</si>
  <si>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</si>
  <si>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</si>
  <si>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</si>
  <si>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</si>
  <si>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</si>
  <si>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</si>
  <si>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</si>
  <si>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</si>
  <si>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【MULTI-PURPOSE LAPTOP DESK】-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bed.|【USER FRIENDLY | COMFORTABLE | NON-SLIP DESIGN】- With scientific engineering design and curved sturdy edges makes this table very strong and durable.|【CUP HOLDER &amp; TABLET SLOT】- OFIXO lap desk is designed with a solid cup holder for possible cup tipping, avoiding soiling your bed or couch. The long slot on the lap desk serves as a holder for smartphone, tablet and pen, making the table helpful for work and entertainment.|【BUILT-TO-LAST】-The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floor.|【FOLD OUT DESIGN |SAVING SPACES| FOLDING SIZE】-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</si>
  <si>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</si>
  <si>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</si>
  <si>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</si>
  <si>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Q122.|【Bluetooth Calling Watch】- Fire-Boltt Ninja Calling smart watch enables you to make and receive calls directly from your watch. This smartwatch features a dial pad, option to access recent calls &amp; sync your phone’s contacts|【SpO2 &amp; Heart Rate Tracking】- Track Real Time Heart Rate on the go on this smart watch. Featuring Blood Oxygen Tracking (SpO2) with optical sensors that give almost acurate results|【1.69 inch HD Full Touch】- Best in class HD Full Touch Screen with a 240*280 pixel HQ Resolution smart watch with call function . Smooth functioning and easy swipes making life better.;|【Built In Speaker】- Listen to your favourite songs on the watch itself, with the built in speaker talk while you walk and even enjoy songs on the run|【AI Voice Assistance】- Command your watch and let the magic happen. This special technology is in the Fire-Boltt Ninja Calling Smartwatch|【30 Sports Mode】- Fire-Boltt Ninja Calling best Smart watch comes with 30 sports tracking feature. Track each acitivity with true efficiency and crown that medal.|【Socially Active】- Activate your social life while you balance your work culture. Never miss out on any event, meeting, birthday or trends, allow all the notifications to be displayed on the smartwatch and rock each party</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</si>
  <si>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</si>
  <si>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</si>
  <si>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</si>
  <si>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</si>
  <si>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</si>
  <si>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</si>
  <si>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</si>
  <si>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</si>
  <si>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</si>
  <si>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</si>
  <si>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</si>
  <si>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</si>
  <si>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</si>
  <si>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</si>
  <si>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</si>
  <si>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</si>
  <si>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https://www.amazon.in/Logitech-Wireless-mk270r-Keyboard-Mouse/dp/B00CEQEGPI/ref=sr_1_268?qid=1672903008&amp;s=computers&amp;sr=1-268</t>
  </si>
  <si>
    <t>B08B6XWQ1C</t>
  </si>
  <si>
    <t>DIGITEK®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</si>
  <si>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</si>
  <si>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</si>
  <si>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</si>
  <si>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</si>
  <si>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✔️HIGH-PERFORMANCE INTERNET CABLE IS CAT6 RATED - The Ethernet cord with 24 AWG CCA wire provides universal connectivity for LAN network components such as PCs, computer servers, printers, routers, switch boxes, TV, Gaming Devices, network media players, NAS, VoIP phones, PoE devices, and more.|✔️UPTO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cables|✔️FLEXIBLE AND DURABLE - RJ45 cable with high bandwidth of up to 550 MHz guarantees high-speed data transfer for server applications, cloud computing, video surveillance, and online high-definition video streaming|✔️LIFETIME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replacement|✔️QUALITY CONTROL - Each Cat 6 internet cable goes through rigorous testing to ensure a secure wired internet connection with exceptional speed and reliability.</t>
  </si>
  <si>
    <t>https://www.amazon.in/Technotech-Ethernet-Network-Patch-Cable/dp/B01DGVKBC6/ref=sr_1_270?qid=1672903008&amp;s=computers&amp;sr=1-270</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</si>
  <si>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</si>
  <si>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</si>
  <si>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</si>
  <si>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</si>
  <si>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</si>
  <si>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</si>
  <si>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</si>
  <si>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</si>
  <si>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https://www.amazon.in/Duracell-Ultra-5000688-Rechargeable-Batteries/dp/B00E3DVQFS/ref=sr_1_274?qid=1672903008&amp;s=computers&amp;sr=1-274</t>
  </si>
  <si>
    <t>https://www.amazon.in/pTron-3-5Amps-Charging-480Mbps-Smartphones/dp/B0B4HJNPV4/ref=sr_1_275?qid=1672903008&amp;s=computers&amp;sr=1-275</t>
  </si>
  <si>
    <t>B00BN5SNF0</t>
  </si>
  <si>
    <t>ENVIE®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</si>
  <si>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</si>
  <si>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</si>
  <si>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</si>
  <si>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</si>
  <si>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</si>
  <si>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https://www.amazon.in/Zebronics-Zeb-Buds-30-Multifunction-Lightweight/dp/B09SGGRKV8/ref=sr_1_278?qid=1672903008&amp;s=computers&amp;sr=1-278</t>
  </si>
  <si>
    <t>https://www.amazon.in/AmazonBasics-Apple-Certified-Lightning-Charging/dp/B07XLCFSSN/ref=sr_1_279?qid=1672903008&amp;s=computers&amp;sr=1-279</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</si>
  <si>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</si>
  <si>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</si>
  <si>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</si>
  <si>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</si>
  <si>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</si>
  <si>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</si>
  <si>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</si>
  <si>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</si>
  <si>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https://www.amazon.in/Portronics-Ruffpad-Re-Writable-Writing-Battery/dp/B09VC2D2WG/ref=sr_1_283?qid=1672903008&amp;s=computers&amp;sr=1-283</t>
  </si>
  <si>
    <t>B09163Q5CD</t>
  </si>
  <si>
    <t>Verilux®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</si>
  <si>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</si>
  <si>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</si>
  <si>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</si>
  <si>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</si>
  <si>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</si>
  <si>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</si>
  <si>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≥60dB|USB Powered. Frequency response: 100Hz-18kHz</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</si>
  <si>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</si>
  <si>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</si>
  <si>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</si>
  <si>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 get clicking seamlessly with 3 handy buttons and built-in scrolling.|In it for the long run - enjoy 3-years manufacturer warranty on the device from the date of purchase.|Operating System: Windows 10</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</si>
  <si>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</si>
  <si>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</si>
  <si>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</si>
  <si>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</si>
  <si>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</si>
  <si>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</si>
  <si>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</si>
  <si>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</si>
  <si>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Batteries&amp;Chargers</t>
  </si>
  <si>
    <t>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</si>
  <si>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</si>
  <si>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</si>
  <si>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</si>
  <si>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</si>
  <si>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</si>
  <si>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Bags,Cases&amp;Sleeves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</si>
  <si>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</si>
  <si>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</si>
  <si>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</si>
  <si>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</si>
  <si>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</si>
  <si>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</si>
  <si>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</si>
  <si>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</si>
  <si>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</si>
  <si>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</si>
  <si>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https://www.amazon.in/Linc-Ball-Point-Pentonic-Multicolor/dp/B07SBGFDX9/ref=sr_1_291?qid=1672903010&amp;s=computers&amp;sr=1-291</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</si>
  <si>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</si>
  <si>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</si>
  <si>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</si>
  <si>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</si>
  <si>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</si>
  <si>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</si>
  <si>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</si>
  <si>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</si>
  <si>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</si>
  <si>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DrawingMaterials</t>
  </si>
  <si>
    <t>DrawingMedia</t>
  </si>
  <si>
    <t>Pencils</t>
  </si>
  <si>
    <t>Extra dark writing pencils|No. 1 recommended stationary by teachers for children|Designed to aid legibility</t>
  </si>
  <si>
    <t>https://www.amazon.in/Apsara-Platinum-Pencils-Value-Pack/dp/B00VA7YYUO/ref=sr_1_296?qid=1672903010&amp;s=computers&amp;sr=1-296</t>
  </si>
  <si>
    <t>B07L9FW9GF</t>
  </si>
  <si>
    <t>Zebronics Zeb-Power Wired USB Mouse, 3-Button, 1200 DPI Optical Sensor, Plug &amp; Play, for Windows/Mac</t>
  </si>
  <si>
    <t>If you’re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</si>
  <si>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</si>
  <si>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</si>
  <si>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</si>
  <si>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 Ant Esports GM 320 with symmetrical &amp; streamlined provides a comfortable claw-grip design, long-term use without fatigue. Top choice for computer game players. Excellent wired PC gaming mouse for casual gamers.|Reliable quality – Ant Esports gaming mouse, 20 million clicks lifespan, buttons with neat rebound and good feedback. Ant Esports Gaming mouse comes with 1 year warranty</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</si>
  <si>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</si>
  <si>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</si>
  <si>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</si>
  <si>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</si>
  <si>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</si>
  <si>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https://www.amazon.in/Pilot-Liquid-Roller-Ball-Black/dp/B00LOD70SC/ref=sr_1_300?qid=1672903010&amp;s=computers&amp;sr=1-300</t>
  </si>
  <si>
    <t>B09X76VL5L</t>
  </si>
  <si>
    <t>boAt Airdopes 191G True Wireless Earbuds with ENx™ Tech Equipped Quad Mics, Beast™ Mode(Low Latency- 65ms) for Gaming, 2x6mm Dual Drivers, 30H Playtime, IPX5, IWP™,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</si>
  <si>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</si>
  <si>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</si>
  <si>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</si>
  <si>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</si>
  <si>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</si>
  <si>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</si>
  <si>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</si>
  <si>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</si>
  <si>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</si>
  <si>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</si>
  <si>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</si>
  <si>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</si>
  <si>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 display with 320x385 px; 100 sports modes: Choose from 100 sports modes and get on the right side of fitness.;Productivity suite: Be your most productive self and stay well aware of what’s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 display with 320x385 px|100 sports modes: Choose from 100 sports modes and get on the right side of fitness.;Productivity suite: Be your most productive self and stay well aware of what’s happening around you.|Connectivity Technology: Usb; Included Components: ‎Smartwatch, Magnetic Charger, User Manual, Warranty Card</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</si>
  <si>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</si>
  <si>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</si>
  <si>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</si>
  <si>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</si>
  <si>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</si>
  <si>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</si>
  <si>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</si>
  <si>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</si>
  <si>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</si>
  <si>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</si>
  <si>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https://www.amazon.in/SanDisk-Extreme-Video-Mirrorless-Cameras/dp/B09X7DY7Q4/ref=sr_1_307?qid=1672903010&amp;s=computers&amp;sr=1-307</t>
  </si>
  <si>
    <t>B09YV575RK</t>
  </si>
  <si>
    <t>Fire-Boltt Ring Pro Bluetooth Calling, 1.75” 320*385px High Res, IP68 &amp; SpO2 Monitoring, Pin Code Locking Functionality &amp; Split Screen Access, Built in Mic &amp; Speaker for HD Calls, Black, Free Size</t>
  </si>
  <si>
    <t>【Bluetooth Calling Watch】- Fire-Boltt Ring Pro enables you to make and receive calls directly from your watch via the built-in speaker and microphone. This smartwatch features a dial pad, option to access recent calls &amp; sync your phone’s contacts.;【1.75” Best HD Display with 320*385 Pixels】- This smartwatch comes with an Industry’s best 1.75” Display and has a super quality resolution of 320*385 Pixels providing you a smooth touch experience 【IP68 Water Resistant】- This smartwatch can withstand dust, spills, raindrops and is sweatproof too.Band Width:20 millimeters.Water resistance depth:1 meters|【Unique Rotating Multi-Functional Button】- Fire-Boltt Ring Pro has a unique menu viewing style and watch face changing style, you can simply rotate the button to changes watch faces and view the list menu without scrolling;【Pincode Locking System】- Just like a smartphone pin lock, this smartwatch also has a pin lock. Secure your smartwatch by setting up a pin lock on it. 【Built In Mic &amp; Speaker】- Fire-Boltt Ring Pro comes with a Mic and Speaker for best calling experience. Clear HD calls via the watch is now available 【Play Games on Your Wrist】|【Split Display Easy Access】- This smartwatch provides you a split screen display where you can easily in one click land on any function without the need to search it from the menu;【SPo2 Monitoring】- Monitor your blood oxygen levels any time anywhere. 【360 Health Ecosystem】- With this watch track your heart rate, calorie, step count and multiple sports modes with easy touch【Quick Charge Technology】- Within 100 minutes full charge your watch and you are on the go again. System requirements: IOS 7.0 and above, Android version 4.4 and above, Bluetooth version 5.0 or above.|【Smart Notification】- Get all your mobile phone notifications on the watch and stay updates about trends, meeting emails and much more. 【Remotely access smartphone features】- Click pictures, change music tracks on the watch with a single touch.;【How to activate Bluetooth Calling】-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</si>
  <si>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</si>
  <si>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</si>
  <si>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</si>
  <si>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</si>
  <si>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</si>
  <si>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</si>
  <si>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</si>
  <si>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</si>
  <si>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</si>
  <si>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</si>
  <si>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</si>
  <si>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https://www.amazon.in/Classmate-Pulse-Spiral-Notebook-Unruled/dp/B00P93X6EK/ref=sr_1_311?qid=1672903010&amp;s=computers&amp;sr=1-311</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</si>
  <si>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</si>
  <si>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</si>
  <si>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</si>
  <si>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</si>
  <si>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</si>
  <si>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</si>
  <si>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</si>
  <si>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</si>
  <si>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</si>
  <si>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</si>
  <si>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</si>
  <si>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</si>
  <si>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</si>
  <si>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</si>
  <si>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</si>
  <si>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</si>
  <si>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</si>
  <si>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</si>
  <si>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</si>
  <si>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</si>
  <si>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</si>
  <si>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</si>
  <si>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</si>
  <si>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</si>
  <si>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</si>
  <si>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800×300×3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</si>
  <si>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</si>
  <si>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</si>
  <si>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</si>
  <si>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</si>
  <si>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</si>
  <si>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</si>
  <si>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</si>
  <si>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</si>
  <si>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https://www.amazon.in/Lenovo-Megapixel-Ultra-Wide-Rotation-Plug-n-Play/dp/B09P22HXH6/ref=sr_1_323?qid=1672903011&amp;s=computers&amp;sr=1-323</t>
  </si>
  <si>
    <t>B00LM4X3XE</t>
  </si>
  <si>
    <t>Parker Quink Ink Bottle (Black)</t>
  </si>
  <si>
    <t>Black Colour is washable in nature.|30ml Bottle|High quality ink</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</si>
  <si>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</si>
  <si>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</si>
  <si>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</si>
  <si>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</si>
  <si>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</si>
  <si>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</si>
  <si>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</si>
  <si>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</si>
  <si>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https://www.amazon.in/Zebronics-ZEB-NC3300-Powered-Laptop-Cooling/dp/B07YWS9SP9/ref=sr_1_326?qid=1672903011&amp;s=computers&amp;sr=1-326</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</si>
  <si>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</si>
  <si>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</si>
  <si>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</si>
  <si>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</si>
  <si>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</si>
  <si>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</si>
  <si>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</si>
  <si>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</si>
  <si>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</si>
  <si>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</si>
  <si>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</si>
  <si>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</si>
  <si>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</si>
  <si>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</si>
  <si>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</si>
  <si>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</si>
  <si>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</si>
  <si>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https://www.amazon.in/Logitech-Silent-Wireless-Mouse-Black/dp/B01MQ2A86A/ref=sr_1_333?qid=1672903011&amp;s=computers&amp;sr=1-333</t>
  </si>
  <si>
    <t>B00KIE28X0</t>
  </si>
  <si>
    <t>Camel Artist Acrylic Color Box - 9ml Tubes, 12 Shades</t>
  </si>
  <si>
    <t>Set of 12 assorted Shades in 9 ml tubes</t>
  </si>
  <si>
    <t>https://www.amazon.in/Camel-Camlin-Kokuyo-Acrylic-Color/dp/B00KIE28X0/ref=sr_1_334?qid=1672903011&amp;s=computers&amp;sr=1-334</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</si>
  <si>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</si>
  <si>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</si>
  <si>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</si>
  <si>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</si>
  <si>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</si>
  <si>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</si>
  <si>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</si>
  <si>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</si>
  <si>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</si>
  <si>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</si>
  <si>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</si>
  <si>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</si>
  <si>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</si>
  <si>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</si>
  <si>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</si>
  <si>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</si>
  <si>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</si>
  <si>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</si>
  <si>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</si>
  <si>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</si>
  <si>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</si>
  <si>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</si>
  <si>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</si>
  <si>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</si>
  <si>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</si>
  <si>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Pens</t>
  </si>
  <si>
    <t>10 Rich colours with silver and gold options|Comforatble writing grip|Stylish sculpted design</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</si>
  <si>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</si>
  <si>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</si>
  <si>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</si>
  <si>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</si>
  <si>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</si>
  <si>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</si>
  <si>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</si>
  <si>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</si>
  <si>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https://www.amazon.in/Logitech-G102-Customizable-Lighting-Programmable/dp/B08LT9BMPP/ref=sr_1_347?qid=1672903012&amp;s=computers&amp;sr=1-347</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</si>
  <si>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</si>
  <si>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</si>
  <si>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</si>
  <si>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</si>
  <si>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</si>
  <si>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</si>
  <si>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</si>
  <si>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</si>
  <si>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</si>
  <si>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</si>
  <si>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</si>
  <si>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</si>
  <si>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</si>
  <si>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</si>
  <si>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</si>
  <si>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</si>
  <si>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</si>
  <si>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</si>
  <si>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</si>
  <si>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</si>
  <si>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</si>
  <si>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</si>
  <si>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</si>
  <si>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</si>
  <si>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</si>
  <si>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</si>
  <si>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</si>
  <si>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</si>
  <si>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</si>
  <si>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</si>
  <si>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</si>
  <si>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</si>
  <si>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</si>
  <si>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</si>
  <si>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</si>
  <si>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</si>
  <si>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</si>
  <si>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</si>
  <si>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</si>
  <si>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</si>
  <si>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</si>
  <si>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</si>
  <si>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https://www.amazon.in/Redragon-K617-Keyboard-Mechanical-Supported/dp/B09BVCVTBC/ref=sr_1_362?qid=1672903013&amp;s=computers&amp;sr=1-362</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</si>
  <si>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</si>
  <si>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</si>
  <si>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</si>
  <si>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</si>
  <si>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</si>
  <si>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</si>
  <si>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</si>
  <si>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 TruViewTM display: See the clear, bigger picture on the 1.75’’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</si>
  <si>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</si>
  <si>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</si>
  <si>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</si>
  <si>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</si>
  <si>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</si>
  <si>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6ΩSoundbar 4ΩFrequency response 55Hz-20kHz|Line input 3.5mm, Coaxial IN, HDMI (ARC)Max. supported memory size (USB) 32GBBT name ZEB-JUKE BAR 3900BT version 5.0</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</si>
  <si>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</si>
  <si>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</si>
  <si>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</si>
  <si>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journey.|That’s elegant, convenient and easy on the eye, travel your city with the surrounding propped up by a perfect length cable made for you to stroll through the streets with ease|1 year warranty from the date of purchase</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</si>
  <si>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</si>
  <si>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</si>
  <si>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</si>
  <si>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</si>
  <si>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</si>
  <si>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</si>
  <si>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</si>
  <si>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</si>
  <si>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</si>
  <si>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</si>
  <si>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</si>
  <si>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</si>
  <si>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</si>
  <si>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</si>
  <si>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</si>
  <si>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</si>
  <si>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</si>
  <si>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</si>
  <si>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</si>
  <si>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time|What’s Included: 2 tempered-glass screen protectors, instruction manual, alignment frame, and 2 cleaning kits</t>
  </si>
  <si>
    <t>https://www.amazon.in/ESR-iPad-Screen-Protector-Scratch-Resistant/dp/B07TMCXRFV/ref=sr_1_372?qid=1672903013&amp;s=computers&amp;sr=1-372</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</si>
  <si>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</si>
  <si>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</si>
  <si>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</si>
  <si>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</si>
  <si>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</si>
  <si>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</si>
  <si>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</si>
  <si>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</si>
  <si>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</si>
  <si>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</si>
  <si>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</si>
  <si>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</si>
  <si>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</si>
  <si>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</si>
  <si>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</si>
  <si>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</si>
  <si>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</si>
  <si>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</si>
  <si>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</si>
  <si>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</si>
  <si>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</si>
  <si>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</si>
  <si>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</si>
  <si>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</si>
  <si>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</si>
  <si>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</si>
  <si>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</si>
  <si>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</si>
  <si>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Toys&amp;Games</t>
  </si>
  <si>
    <t>Arts&amp;Crafts</t>
  </si>
  <si>
    <t>Drawing&amp;PaintingSupplies</t>
  </si>
  <si>
    <t>ColouringPens&amp;Markers</t>
  </si>
  <si>
    <t>Simply draw and color or clip these pens together to construct interesting models|Contains 40% more ink and lasts longer|Child safe-food-grade ink</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</si>
  <si>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</si>
  <si>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</si>
  <si>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</si>
  <si>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</si>
  <si>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</si>
  <si>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https://www.amazon.in/Zinq-Technologies-ZQ-6600-Intercom-Set-top/dp/B08FGNPQ9X/ref=sr_1_383?qid=1672903013&amp;s=computers&amp;sr=1-383</t>
  </si>
  <si>
    <t>B07NTKGW45</t>
  </si>
  <si>
    <t>SaleOn™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</si>
  <si>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</si>
  <si>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https://www.amazon.in/SaleOnTM-Portable-Organizer-Earphone-Assorted/dp/B07NTKGW45/ref=sr_1_384?qid=1672903013&amp;s=computers&amp;sr=1-384</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</si>
  <si>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</si>
  <si>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</si>
  <si>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</si>
  <si>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 7, 8, 8.1 and 10 + PS3 | dual vibration | Note: to switch from Direct to X-input mode, press and hold the "home" Button|This gamepad has 10 digital keys, 2 Analog sticks, 2 Analog sensitive triggers, 1.7 meter USB cable. X and D input compatible.|Connection: USB 2.0 high speed ​​(Wired) | vibration effects through dual vibration function (rumble effect) ensure even more realistic gaming environment.|Easy installation through plug &amp; play | ergonomic shape/ compact design | light weight</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</si>
  <si>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</si>
  <si>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</si>
  <si>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</si>
  <si>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</si>
  <si>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</si>
  <si>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</si>
  <si>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</si>
  <si>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Fantastic：The LCD writing tablet adopts 2021 LCD pressure-sensitive technology and 10-inch LCD colorful screen. This toddler doodle board without radiation, no glare, safe and comfortable even use for a long time, offers enough space for graffiti and easy viewing, free child’s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</si>
  <si>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</si>
  <si>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</si>
  <si>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</si>
  <si>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</si>
  <si>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</si>
  <si>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</si>
  <si>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</si>
  <si>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</si>
  <si>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</si>
  <si>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</si>
  <si>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https://www.amazon.in/Robustrion-Anti-Scratch-Samsung-Tab-Lite/dp/B08CTQP51L/ref=sr_1_390?qid=1672903014&amp;s=computers&amp;sr=1-390</t>
  </si>
  <si>
    <t>B0BG62HMDJ</t>
  </si>
  <si>
    <t>Cablet 2.5 Inch SATA USB 3.0 HDD/SSD Portable External Enclosure for 7mm and 9.5mm, Tool-Free Design, Supports UASP Max 6TB</t>
  </si>
  <si>
    <t>【Ideal Drive Enclosure for Work】- The CABLET 2.5 Inch USB 3.0 Enclosure with durable strip appearance and classic black colour with the advantage of easy to clean. Hold the 2.5” enclosure in the office, just connect your PC, Desktop, Mobile and other devices, plug and play.|【Wide Compatibility Enclosure】- The 2.5” HDD/SSD Enclosure can support 2.5 inch 7-9.5mm HDD/SSD up to 6TB for any brand hard drive with SATA I/II/III port. Also compatible with Windows, Linux and Mac OS systems, compatible with WD, Seagate, Samsung, PS4, TV, and other devices.|【USB3.0 5Gbps Enclosure】- Adopting with USB 3.0 interface and UASP accelerated transmission protocol supported, the 2.5” HDD/SSD Enclosure can help with the data transfer rate up to 5Gbps, about 20% faster than traditional USB data port, transfers 1G file in 3 seconds, no data delay.|【Easy to Use, Plug and Play】-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loss.]|【Shock-proof Performance】- Enclosed with a shock-proof sponge pad, enhance the protection of the hard drive effectively and keep it steady.</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</si>
  <si>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</si>
  <si>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</si>
  <si>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</si>
  <si>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</si>
  <si>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</si>
  <si>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</si>
  <si>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</si>
  <si>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</si>
  <si>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</si>
  <si>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</si>
  <si>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</si>
  <si>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</si>
  <si>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</si>
  <si>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</si>
  <si>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</si>
  <si>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</si>
  <si>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</si>
  <si>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</si>
  <si>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</si>
  <si>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</si>
  <si>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</si>
  <si>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</si>
  <si>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</si>
  <si>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</si>
  <si>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</si>
  <si>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</si>
  <si>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</si>
  <si>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</si>
  <si>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</si>
  <si>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</si>
  <si>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</si>
  <si>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</si>
  <si>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</si>
  <si>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</si>
  <si>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</si>
  <si>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https://www.amazon.in/Redgear-Cloak-Gaming-Headphones-Microphone/dp/B07T9FV9YP/ref=sr_1_400?qid=1672903014&amp;s=computers&amp;sr=1-400</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</si>
  <si>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</si>
  <si>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</si>
  <si>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</si>
  <si>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⚡【65W High Speed Charging】: Output power up to 20V 3.25A, which is ensured by high-speed safe charging, and the USB 2.0 supports data transfer speed can reach 40~60MB/S (480Mbps). NOTE: This product DO NOT support video output.|💪【Military grade material】:Strong military fiber, the most flexible, powerful and durable material, makes tensile force increased by 200%. Special Strain Relief design, can bear 10000+ bending test. Premium Aluminum housing makes the cable more durable|📢【NOTE before purchase】:This is a USB-C to USB-C cable, which means it has the same USB C plug on both ends, please be aware that this is not a USB-C to USB-A cable. Besides, you may need a USB C wall charger to charge your device.|【What you get】:We provide this 1meter/3ft Type C to Type C Cable and 24/7 customer service, if you have any questions,we will resolve your issue within 24 hours.|【Compatibility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</si>
  <si>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</si>
  <si>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</si>
  <si>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</si>
  <si>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</si>
  <si>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https://www.amazon.in/Amazfit-Version-Always-Display-Monitoring/dp/B09TBCVJS3/ref=sr_1_403?qid=1672903014&amp;s=computers&amp;sr=1-403</t>
  </si>
  <si>
    <t>B08TR61BVK</t>
  </si>
  <si>
    <t>Tabelito® Polyester Foam, Nylon Hybrid laptopss Bag Sleeve Case Cover Pouch for laptopss Apple/Dell/Lenovo/ Asus/ Hp/Samsung/Mi/MacBook/Ultrabook/Thinkpad/Ideapad/Surfacepro (15.6 inches /39.6cm, Blue) laptopsss</t>
  </si>
  <si>
    <t>Compatible Devices - Internal dimensions: 15.6 x 11 x 0.8 inches​​,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</si>
  <si>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</si>
  <si>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</si>
  <si>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</si>
  <si>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</si>
  <si>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</si>
  <si>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</si>
  <si>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</si>
  <si>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</si>
  <si>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‘Clear’ button conveniently erases the content on the LCD Writing tablet, instantly. Keep that trash empty, and your content safe. Also protects your vision by being radiation-free, has no glowing colors or glares, and is fit for long hours- extra safe for your kids too!</t>
  </si>
  <si>
    <t>https://www.amazon.in/Portronics-Ruffpad-Re-Writable-15-inch-Handwriting/dp/B08XNL93PL/ref=sr_1_407?qid=1672903014&amp;s=computers&amp;sr=1-407</t>
  </si>
  <si>
    <t>B088GXTJM3</t>
  </si>
  <si>
    <t>DIGITEK®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</si>
  <si>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</si>
  <si>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PhotoStudio&amp;Lighting</t>
  </si>
  <si>
    <t>PhotoBackgroundAccessories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</si>
  <si>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</si>
  <si>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</si>
  <si>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</si>
  <si>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</si>
  <si>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</si>
  <si>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https://www.amazon.in/Classmate-Pulse-Subject-Notebook-Single/dp/B099S26HWG/ref=sr_1_409?qid=1672903016&amp;s=computers&amp;sr=1-409</t>
  </si>
  <si>
    <t>B08461VC1Z</t>
  </si>
  <si>
    <t>Scarters Mouse Pad, Desk Mat Extended for Work from Home/Office/Gaming | Vegan PU Leather | Anti-Skid, Anti-Slip, Reversible Splash-Proof – Deskspread ~ Navy Blue &amp; Yellow</t>
  </si>
  <si>
    <t>Dimensions: 90 cm X 45 cm | Reversible Use - Navy Blue &amp; Yellow Ochre | Material –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</si>
  <si>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</si>
  <si>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</si>
  <si>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</si>
  <si>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</si>
  <si>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</si>
  <si>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</si>
  <si>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https://www.amazon.in/Casio-MJ-120D-Electronic-Calculator/dp/B00K32PEW4/ref=sr_1_411?qid=1672903016&amp;s=computers&amp;sr=1-411</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</si>
  <si>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</si>
  <si>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</si>
  <si>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</si>
  <si>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Ultrabook’s, Maximum Fit Size, and easy to use, practical design and exquisite workmanship.|External Dimension: 28 cm X 38 cm X 3.5 cm, Light Weight: 146 Grams</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</si>
  <si>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</si>
  <si>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</si>
  <si>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</si>
  <si>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</si>
  <si>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</si>
  <si>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</si>
  <si>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</si>
  <si>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the TP-Link Tether app.</t>
  </si>
  <si>
    <t>https://www.amazon.in/TP-Link-Archer-A6-Wireless-Internet/dp/B07W9KYT62/ref=sr_1_415?qid=1672903016&amp;s=computers&amp;sr=1-415</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</si>
  <si>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</si>
  <si>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</si>
  <si>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</si>
  <si>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</si>
  <si>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https://www.amazon.in/HP-DeskJet-2723-Wireless-Printer/dp/B08D9MNH4B/ref=sr_1_418?qid=1672903016&amp;s=computers&amp;sr=1-418</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</si>
  <si>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</si>
  <si>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</si>
  <si>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</si>
  <si>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</si>
  <si>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https://www.amazon.in/Dualband-1200Mbps-Frequency-Directional-app-Parental/dp/B09MKG4ZCM/ref=sr_1_420?qid=1672903016&amp;s=computers&amp;sr=1-420</t>
  </si>
  <si>
    <t>B07RZZ1QSW</t>
  </si>
  <si>
    <t>SLOVIC®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</si>
  <si>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</si>
  <si>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https://www.amazon.in/SLOVIC%C2%AE-Adapter-Smartphone-Clipper-Pictures/dp/B07RZZ1QSW/ref=sr_1_421?qid=1672903016&amp;s=computers&amp;sr=1-421</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</si>
  <si>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</si>
  <si>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</si>
  <si>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</si>
  <si>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</si>
  <si>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</si>
  <si>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</si>
  <si>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</si>
  <si>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</si>
  <si>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</si>
  <si>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</si>
  <si>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</si>
  <si>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</si>
  <si>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</si>
  <si>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</si>
  <si>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</si>
  <si>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</si>
  <si>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</si>
  <si>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</si>
  <si>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</si>
  <si>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</si>
  <si>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</si>
  <si>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</si>
  <si>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</si>
  <si>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</si>
  <si>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It’s luxurious noise-isolating memory foam ear pads and adjustable split headband which reduces pressure and provides optimal comfort for long gaming sessions|Noise Cancellation: Redgear Cosmo 7.1 provides you a passive noise cancelling experience. It’s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</si>
  <si>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</si>
  <si>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</si>
  <si>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</si>
  <si>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</si>
  <si>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PowerAccessories</t>
  </si>
  <si>
    <t>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</si>
  <si>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</si>
  <si>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</si>
  <si>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</si>
  <si>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</si>
  <si>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</si>
  <si>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https://www.amazon.in/Classmate-Long-Book-Unruled-Pages/dp/B086PXQ2R4/ref=sr_1_431?qid=1672903016&amp;s=computers&amp;sr=1-431</t>
  </si>
  <si>
    <t>B07L1N3TJX</t>
  </si>
  <si>
    <t>Artis AR-45W-MG2 45 Watts MG2 Laptop Adapter/Charger Compatible with MB Air 13” &amp; MB Air 11”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</si>
  <si>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</si>
  <si>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</si>
  <si>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</si>
  <si>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</si>
  <si>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 – 122001|Included Components: 1 Camera, 1 Power Adapter, 1 Power Cable, 1 Mounting Plate, 1 Quick Service Guide, 3 Sets Of Screw; Specific Uses For Product: Surveillance</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</si>
  <si>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</si>
  <si>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</si>
  <si>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</si>
  <si>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</si>
  <si>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</si>
  <si>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</si>
  <si>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</si>
  <si>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</si>
  <si>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</si>
  <si>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</si>
  <si>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</si>
  <si>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</si>
  <si>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</si>
  <si>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</si>
  <si>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17–20,000 Hz (-10 dB),Microphone sensitivity -42 dBv (1 kHz),Impedance 28 Ω</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</si>
  <si>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</si>
  <si>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</si>
  <si>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</si>
  <si>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</si>
  <si>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https://www.amazon.in/HB-Adjustable-Aluminum-Foldable-Adjustment/dp/B0BHVPTM2C/ref=sr_1_439?qid=1672903017&amp;s=computers&amp;sr=1-439</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</si>
  <si>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</si>
  <si>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</si>
  <si>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</si>
  <si>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</si>
  <si>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</si>
  <si>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</si>
  <si>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</si>
  <si>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</si>
  <si>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</si>
  <si>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</si>
  <si>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</si>
  <si>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</si>
  <si>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CordManagement</t>
  </si>
  <si>
    <t>Gizga Essentials Reusable Cable Ties are re-usable and does not lose it’s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</si>
  <si>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</si>
  <si>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</si>
  <si>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</si>
  <si>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</si>
  <si>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</si>
  <si>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</si>
  <si>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</si>
  <si>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</si>
  <si>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</si>
  <si>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</si>
  <si>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</si>
  <si>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</si>
  <si>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</si>
  <si>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</si>
  <si>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</si>
  <si>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</si>
  <si>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</si>
  <si>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</si>
  <si>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</si>
  <si>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</si>
  <si>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</si>
  <si>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</si>
  <si>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</si>
  <si>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</si>
  <si>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</si>
  <si>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https://www.amazon.in/PC-SQUARE-Adjustable-Ergonomic-Compatible/dp/B09B9SPC7F/ref=sr_1_453?qid=1672903017&amp;s=computers&amp;sr=1-453</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</si>
  <si>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</si>
  <si>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</si>
  <si>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</si>
  <si>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It’s easy to get more done when you don’t have to waste time untangling messy cables or searching the office for new batteries. Its compact size makes it the perfect companion no matter what the occasion. Slide it into your pocket, backpack or laptop bag, and you’re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</si>
  <si>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https://www.amazon.in/Lenovo-Optical-Compact-Mouse-Black/dp/B099SD8PRP/ref=sr_1_455?qid=1672903017&amp;s=computers&amp;sr=1-455</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</si>
  <si>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</si>
  <si>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</si>
  <si>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</si>
  <si>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</si>
  <si>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 If pen is exposed to temperature that reaches 140℉, the ink will be colorless when writing. To restore color, cool to at least 14℉ in freezer and the ink will again write in color.|Eraser is at the top of the pen, tip is retractable by pressing clip down</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</si>
  <si>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</si>
  <si>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</si>
  <si>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</si>
  <si>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</si>
  <si>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</si>
  <si>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</si>
  <si>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</si>
  <si>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</si>
  <si>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</si>
  <si>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</si>
  <si>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</si>
  <si>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</si>
  <si>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https://www.amazon.in/Clublaptop-Reversible-15-6-inch-Laptop-Sleeve/dp/B00C3GBCIS/ref=sr_1_460?qid=1672903018&amp;s=computers&amp;sr=1-460</t>
  </si>
  <si>
    <t>B00URH5E34</t>
  </si>
  <si>
    <t>Inventis 5V 1.2W Portable Flexible USB LED Light Lamp (Colors may vary)</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</si>
  <si>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</si>
  <si>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</si>
  <si>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</si>
  <si>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 1 x 10/100mbps RJ45 Ethernet port|Works with Any Wi-Fi Router|In an unlikely case of product quality related issue, we may ask you to reach out to brand’s customer service support and seek resolution. We will require brand proof of issue to process replacement request.</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</si>
  <si>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</si>
  <si>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</si>
  <si>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</si>
  <si>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</si>
  <si>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https://www.amazon.in/boAt-Stone-250-Playback-Hours/dp/B08SMJT55F/ref=sr_1_464?qid=1672903018&amp;s=computers&amp;sr=1-464</t>
  </si>
  <si>
    <t>https://www.amazon.in/SWAPKART-Charging-Compatible-iPhone-Devices/dp/B0B2DJDCPX/ref=sr_1_465?qid=1672903018&amp;s=computers&amp;sr=1-465</t>
  </si>
  <si>
    <t>B08Y7MXFMK</t>
  </si>
  <si>
    <t>Offbeat® - DASH 2.4GHz Wireless + Bluetooth 5.1 Mouse, Multi-Device Dual Mode Slim Rechargeable Silent Click Buttons Wireless Bluetooth Mouse, 3 Adjustable DPI, Works on 2 devices at the same time with a switch button for Windows/Mac/Android/Ipad/Smart TV</t>
  </si>
  <si>
    <t>► 【2.4G WIRELESS DUAL MODE AND BLUETOOTH 5.1】The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 【 RECHARGEABLE AND ENERGY SAVING】 : The mouse built-in rechargeable battery, with a charging cable. No need to change batteries. To save power and for long-term usage, the mouse will automatically enter into the sleep mode after 11 minutes of inactivity, it can be waken up by clicking any button.|► 【PLUG/PLAY AND ADJUSTABLE DPI】No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 【SILENT CLICK &amp; ERGONOMIC DESIGN】Silent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</si>
  <si>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</si>
  <si>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</si>
  <si>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</si>
  <si>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</si>
  <si>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</si>
  <si>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</si>
  <si>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</si>
  <si>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</si>
  <si>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</si>
  <si>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</si>
  <si>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</si>
  <si>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</si>
  <si>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</si>
  <si>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</si>
  <si>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</si>
  <si>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</si>
  <si>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</si>
  <si>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https://www.amazon.in/Camlin-Elegante-Fountain-Pen-Black/dp/B00LY17RHI/ref=sr_1_476?qid=1672903018&amp;s=computers&amp;sr=1-476</t>
  </si>
  <si>
    <t>B07W14CHV8</t>
  </si>
  <si>
    <t>CARECASE® Optical Bay 2nd Hard Drive Caddy, 9.5 mm CD/DVD Drive Slot for SSD and HDD</t>
  </si>
  <si>
    <t>Computers&amp;Accessories|Accessories&amp;Peripherals|HardDriveAccessories|Caddies</t>
  </si>
  <si>
    <t>HardDriveAccessories</t>
  </si>
  <si>
    <t>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</si>
  <si>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</si>
  <si>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https://www.amazon.in/Optical-Drive-Caddy-Universal-9-5mm/dp/B07W14CHV8/ref=sr_1_483?qid=1672903019&amp;s=computers&amp;sr=1-483</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</si>
  <si>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</si>
  <si>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</si>
  <si>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</si>
  <si>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</si>
  <si>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</si>
  <si>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</si>
  <si>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</si>
  <si>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generation⁴|Dynamic write acceleration. Multistep data integrity algorithm.</t>
  </si>
  <si>
    <t>https://www.amazon.in/Crucial-500GB-PCIe-NAND-3500MB/dp/B0B25LQQPC/ref=sr_1_486?qid=1672903019&amp;s=computers&amp;sr=1-486</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</si>
  <si>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</si>
  <si>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</si>
  <si>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</si>
  <si>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âgo storing!|Offers a sleek and slim way to store and share your music, photos, files and more.|For product related query contact brand customer support for faster resolution</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</si>
  <si>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</si>
  <si>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</si>
  <si>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</si>
  <si>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</si>
  <si>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https://www.amazon.in/Duracell-Alkaline-Battery-Duralock-Technology/dp/B014SZPBM4/ref=sr_1_490?qid=1672903019&amp;s=computers&amp;sr=1-490</t>
  </si>
  <si>
    <t>B08CZHGHKH</t>
  </si>
  <si>
    <t>BESTOR®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</si>
  <si>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</si>
  <si>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</si>
  <si>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</si>
  <si>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</si>
  <si>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</si>
  <si>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Laptops</t>
  </si>
  <si>
    <t>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</si>
  <si>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</si>
  <si>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</si>
  <si>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</si>
  <si>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</si>
  <si>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</si>
  <si>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</si>
  <si>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</si>
  <si>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</si>
  <si>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</si>
  <si>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https://www.amazon.in/ZEBRONICS-Zeb-Astra-Wireless-Portable-Function/dp/B08S74GTBT/ref=sr_1_495?qid=1672903019&amp;s=computers&amp;sr=1-495</t>
  </si>
  <si>
    <t>https://www.amazon.in/Wireless-Generation-Sensitive-Rejection-Compatible/dp/B0B9BD2YL4/ref=sr_1_496?qid=1672903019&amp;s=computers&amp;sr=1-496</t>
  </si>
  <si>
    <t>https://www.amazon.in/Lapster-compatible-OnePlus-charging-Compatible/dp/B0BMXMLSMM/ref=sr_1_497?qid=1672903019&amp;s=computers&amp;sr=1-497</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</si>
  <si>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</si>
  <si>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</si>
  <si>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</si>
  <si>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</si>
  <si>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</si>
  <si>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</si>
  <si>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</si>
  <si>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manufacturer’s warranty</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</si>
  <si>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</si>
  <si>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</si>
  <si>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</si>
  <si>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</si>
  <si>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Kitchen&amp;HomeAppliances</t>
  </si>
  <si>
    <t>SmallKitchenAppliances</t>
  </si>
  <si>
    <t>Kettles&amp;HotWaterDispensers</t>
  </si>
  <si>
    <t>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</si>
  <si>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</si>
  <si>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</si>
  <si>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</si>
  <si>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</si>
  <si>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</si>
  <si>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Heating,Cooling&amp;AirQuality</t>
  </si>
  <si>
    <t>RoomHeaters</t>
  </si>
  <si>
    <t>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</si>
  <si>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</si>
  <si>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</si>
  <si>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</si>
  <si>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</si>
  <si>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</si>
  <si>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</si>
  <si>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</si>
  <si>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</si>
  <si>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</si>
  <si>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</si>
  <si>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</si>
  <si>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Vacuum,Cleaning&amp;Ironing</t>
  </si>
  <si>
    <t>Irons,Steamers&amp;Accessories</t>
  </si>
  <si>
    <t>LintShavers</t>
  </si>
  <si>
    <t>✅REJUVENATE FABRICS &amp; KEEP TIDY - Restore your clothes and fabrics to a fresh new look! Powerful engine can easily and gently remove fluffs, lints, pilling, fuzzes and bobbles from fabrics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fabrics and make them look good as new.|✅ERGONOMIC DESIGN WITH A BATTERY POWERED MOTOR: Specially designed and lightweight with a 180° handle so it's easy to grip while you efforlessly defuzz your fabrics at any angle. The motor generates a strong suction when the blades are rotating for maximum effect.|✅EASY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</si>
  <si>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</si>
  <si>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</si>
  <si>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</si>
  <si>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</si>
  <si>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DigitalKitchenScales</t>
  </si>
  <si>
    <t>✅ [LCD Screen] : A wide LCD screen display makes this scale easy to read, and it automatically locks its reading when the data is stable.|✅ [Multiple Features] : There are multiple features on the scale, such as an ON/OFF mode, a tare function, a unit exchange function, and an overload indicator.|✅ [Salient Features] : BeatXP kitchen weighing has Wide Screen Display, Automatic Data Locking, Low Power Consumption, Low Battery Indicator, High Precision Sensor, When the scale is overloaded, the scale will appear O/C.|✅ [Flat Surface] : To ensure accurate measurements, place the Kitchen weighing scale on a flat surface.|✅ [Color] : This scale is white in color and made from PVC</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</si>
  <si>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</si>
  <si>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</si>
  <si>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</si>
  <si>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</si>
  <si>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</si>
  <si>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</si>
  <si>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</si>
  <si>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</si>
  <si>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Kitchen&amp;Dining</t>
  </si>
  <si>
    <t>KitchenTools</t>
  </si>
  <si>
    <t>ManualChoppers&amp;Chippers</t>
  </si>
  <si>
    <t>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</si>
  <si>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</si>
  <si>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</si>
  <si>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</si>
  <si>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</si>
  <si>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</si>
  <si>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</si>
  <si>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</si>
  <si>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</si>
  <si>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</si>
  <si>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</si>
  <si>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</si>
  <si>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</si>
  <si>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</si>
  <si>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</si>
  <si>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</si>
  <si>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</si>
  <si>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</si>
  <si>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</si>
  <si>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</si>
  <si>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</si>
  <si>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</si>
  <si>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</si>
  <si>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</si>
  <si>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</si>
  <si>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</si>
  <si>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</si>
  <si>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</si>
  <si>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</si>
  <si>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</si>
  <si>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</si>
  <si>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</si>
  <si>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</si>
  <si>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</si>
  <si>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</si>
  <si>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</si>
  <si>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HandBlenders</t>
  </si>
  <si>
    <t>✅【Get Creamy Froth Quickly】With a higher speed motor, this milk frother spins quickly and smoothly. It makes best creamy froth with milk heated . Enjoy your favorite coffee with foam topping in seconds.|✅【For Perfect Froth】This coffee frother is powered by 2 AA batteries, it brings creamy froth instantly. Within 1 minute, you get a glass filled with milk foam for your coffee.|✅【Enjoy Your Latte Anywhere】Missing your morning latte when travelling? Just take this portable frother on the road. Small yet effective, easily to make your cafe style cappuccino|✅【100% Satisfaction] We aim to provide high quality product, and stand behind it with a full replacement service. In case you have any issues, just contact us and we will make it right for you, at any time!</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</si>
  <si>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</si>
  <si>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</si>
  <si>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</si>
  <si>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</si>
  <si>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Irons</t>
  </si>
  <si>
    <t>R.D. &amp; COMPANY Majesty DX 6 1000-Watt Dry Iron (White)</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</si>
  <si>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</si>
  <si>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</si>
  <si>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</si>
  <si>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</si>
  <si>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</si>
  <si>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</si>
  <si>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</si>
  <si>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</si>
  <si>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</si>
  <si>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</si>
  <si>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WaterHeaters&amp;Geysers</t>
  </si>
  <si>
    <t>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</si>
  <si>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</si>
  <si>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</si>
  <si>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</si>
  <si>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</si>
  <si>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</si>
  <si>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</si>
  <si>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</si>
  <si>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</si>
  <si>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</si>
  <si>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</si>
  <si>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</si>
  <si>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</si>
  <si>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</si>
  <si>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</si>
  <si>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</si>
  <si>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</si>
  <si>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</si>
  <si>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</si>
  <si>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Kettle&amp;ToasterSets</t>
  </si>
  <si>
    <t>Power - 2000 W|Capacity - 1.8 L|Durable and Long-lasting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</si>
  <si>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</si>
  <si>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</si>
  <si>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</si>
  <si>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</si>
  <si>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StorageWaterHeaters</t>
  </si>
  <si>
    <t>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</si>
  <si>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</si>
  <si>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</si>
  <si>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</si>
  <si>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</si>
  <si>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</si>
  <si>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</si>
  <si>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</si>
  <si>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</si>
  <si>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</si>
  <si>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</si>
  <si>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</si>
  <si>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</si>
  <si>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</si>
  <si>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</si>
  <si>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</si>
  <si>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</si>
  <si>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</si>
  <si>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</si>
  <si>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</si>
  <si>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</si>
  <si>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</si>
  <si>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</si>
  <si>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</si>
  <si>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</si>
  <si>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</si>
  <si>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</si>
  <si>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</si>
  <si>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</si>
  <si>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</si>
  <si>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</si>
  <si>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</si>
  <si>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</si>
  <si>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</si>
  <si>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</si>
  <si>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</si>
  <si>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</si>
  <si>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</si>
  <si>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</si>
  <si>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</si>
  <si>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</si>
  <si>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</si>
  <si>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</si>
  <si>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DeepFatFryers</t>
  </si>
  <si>
    <t>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</si>
  <si>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</si>
  <si>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</si>
  <si>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</si>
  <si>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</si>
  <si>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</si>
  <si>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HomeStorage&amp;Organization</t>
  </si>
  <si>
    <t>LaundryOrganization</t>
  </si>
  <si>
    <t>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</si>
  <si>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</si>
  <si>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</si>
  <si>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</si>
  <si>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</si>
  <si>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</si>
  <si>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</si>
  <si>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</si>
  <si>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</si>
  <si>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</si>
  <si>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</si>
  <si>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</si>
  <si>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</si>
  <si>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</si>
  <si>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</si>
  <si>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</si>
  <si>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</si>
  <si>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</si>
  <si>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</si>
  <si>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</si>
  <si>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</si>
  <si>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</si>
  <si>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</si>
  <si>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JuicerMixerGrinders</t>
  </si>
  <si>
    <t>Make Smoothies and Juices within seconds.|Also suitable for dry grinding, chutneys and dips|Powerful 500 W copper motor can grind almost any food.|Best in the segment customer support and quality|Includes easy to make and carry sipper jar</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</si>
  <si>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</si>
  <si>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</si>
  <si>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</si>
  <si>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</si>
  <si>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</si>
  <si>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</si>
  <si>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</si>
  <si>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</si>
  <si>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</si>
  <si>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</si>
  <si>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</si>
  <si>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</si>
  <si>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Vacuums&amp;FloorCare</t>
  </si>
  <si>
    <t>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</si>
  <si>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</si>
  <si>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</si>
  <si>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</si>
  <si>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</si>
  <si>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Asia’s most trusted brand(As per Research by ibrands360 &amp; WCRCINT. Category: Home Appliances.)</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</si>
  <si>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</si>
  <si>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</si>
  <si>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</si>
  <si>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</si>
  <si>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</si>
  <si>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</si>
  <si>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</si>
  <si>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</si>
  <si>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</si>
  <si>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</si>
  <si>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</si>
  <si>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</si>
  <si>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</si>
  <si>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</si>
  <si>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</si>
  <si>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</si>
  <si>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</si>
  <si>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</si>
  <si>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</si>
  <si>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</si>
  <si>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</si>
  <si>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</si>
  <si>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</si>
  <si>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</si>
  <si>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</si>
  <si>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</si>
  <si>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</si>
  <si>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</si>
  <si>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</si>
  <si>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 with plug-in facility|Capacity: 1.5 L|Embedded optimal power-consuming technology; Wattage:1500 Watts|Heat-resistant and cool-touch plastic handle; energy-efficient, affordable and long-lasting kettle|Care instructions: Do not immerse the product in water. Do not touch the stainless steel body during and after boiling. Keep the kettle away from children</t>
  </si>
  <si>
    <t>https://www.amazon.in/Amazon-Basics-Electric-Kettle-Stainless/dp/B0B2DZ5S6R/ref=sr_1_63?qid=1672923593&amp;s=kitchen&amp;sr=1-63</t>
  </si>
  <si>
    <t>B07S851WX5</t>
  </si>
  <si>
    <t>Prestige Sandwich Maker PGMFD 01, Black</t>
  </si>
  <si>
    <t>Home&amp;Kitchen|Kitchen&amp;HomeAppliances|SmallKitchenAppliances|SandwichMakers</t>
  </si>
  <si>
    <t>SandwichMakers</t>
  </si>
  <si>
    <t>New designs, Durable die cast aluminum grill plates|Heat Resistant, Bakelite body, User Friendly.Cord length 1.5 m|German Technology Greblon Non stick coating for oil free toasting|Power Indicators for easy of use|800 watts power, Voltage(V): 230 Volts|Easy to clean|Warranty: 1 year warranty provided by the manufacturer from date of purchase</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</si>
  <si>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</si>
  <si>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</si>
  <si>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</si>
  <si>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</si>
  <si>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</si>
  <si>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</si>
  <si>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</si>
  <si>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</si>
  <si>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</si>
  <si>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</si>
  <si>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</si>
  <si>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</si>
  <si>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</si>
  <si>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</si>
  <si>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</si>
  <si>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You’ll love how it delivers the seamless removing of lint on coat and sweater.|NOTE - Use fast charging adaptor (&gt;30W) to completely charge device within 2 Hours.|1 year manufacturer’s warranty</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</si>
  <si>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</si>
  <si>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</si>
  <si>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</si>
  <si>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</si>
  <si>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</si>
  <si>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</si>
  <si>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</si>
  <si>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</si>
  <si>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</si>
  <si>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</si>
  <si>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</si>
  <si>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</si>
  <si>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</si>
  <si>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</si>
  <si>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</si>
  <si>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</si>
  <si>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</si>
  <si>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</si>
  <si>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</si>
  <si>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 for storing and sprinkling come with the product|Trademark Design: 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 Also buy Spares &amp; Accessories here.</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</si>
  <si>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</si>
  <si>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</si>
  <si>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</si>
  <si>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fabric|180⁰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</si>
  <si>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</si>
  <si>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</si>
  <si>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</si>
  <si>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</si>
  <si>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</si>
  <si>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</si>
  <si>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</si>
  <si>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</si>
  <si>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</si>
  <si>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</si>
  <si>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</si>
  <si>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</si>
  <si>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MiniFoodProcessors&amp;Choppers</t>
  </si>
  <si>
    <t>Material: Plastic Body- Plastic Bowl- SS Blades|Contents: 1N Motor Unit- 1N Chopping Container- 1 Blade set- 1N Rubber Lid &amp; 1 User Manual</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</si>
  <si>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</si>
  <si>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</si>
  <si>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</si>
  <si>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</si>
  <si>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</si>
  <si>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</si>
  <si>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</si>
  <si>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</si>
  <si>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</si>
  <si>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</si>
  <si>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</si>
  <si>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</si>
  <si>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</si>
  <si>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</si>
  <si>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</si>
  <si>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</si>
  <si>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</si>
  <si>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</si>
  <si>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 Chef-Mate KS 40</t>
  </si>
  <si>
    <t>Home&amp;Kitchen|Kitchen&amp;HomeAppliances|SmallKitchenAppliances|DigitalKitchenScales|DigitalScales</t>
  </si>
  <si>
    <t>DigitalScales</t>
  </si>
  <si>
    <t>Precise Measurements: Built with high precision sensors to quickly deliver accurate results and ensure your healthy recipe is deliciously perfect. Measures in grams / ml / lb:oz / fl’oz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</si>
  <si>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</si>
  <si>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</si>
  <si>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</si>
  <si>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</si>
  <si>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</si>
  <si>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</si>
  <si>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</si>
  <si>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</si>
  <si>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</si>
  <si>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</si>
  <si>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</si>
  <si>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✔[ACCURATE WEIGHT]: Made with 4 Japanese-precision sensors, this digital kitchen scale will give you accurate weight every single time. Don’t settle for other scales with low-quality materials. We use food grade 304 stainless steel, while others are made from plastic.|✔[SUPER SMART FEATURES]: Bulfyss new scale comes with tare and instant unit conversion for 6 UNITS. It has a feather-light build, a gorgeous backlit LCD display, and anti-fingerprint technology. Plus, it turns off automatically after 2 minutes in case you left it on. (g, kg, lb, oz, ml, milk ml)|✔[SLEEK, UPGRADED DESIGN]: Our new thinner version is a breeze to clean and looks beautiful sitting on your kitchen counter. The sleek petite build eliminates the clutter and gives you easy storage. It is made with lightweight materials, so you can carry it around.|✔[TRUSTED BY PROS]: Our food scale is used and endorsed by celebrity chefs around the world. This means you get the same amazing service and quality assurance that we dedicate to them. If they trust it, so can you. Measures max 5 Kg and Minimum - 1g.|✔[SHOP WITH CONFIDENCE]: You can have peace of mind that this product has great quality &amp; it’s warranted for 2 year. Batteries are included for your convenience.</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</si>
  <si>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</si>
  <si>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</si>
  <si>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</si>
  <si>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</si>
  <si>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</si>
  <si>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</si>
  <si>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</si>
  <si>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</si>
  <si>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</si>
  <si>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</si>
  <si>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Fans</t>
  </si>
  <si>
    <t>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</si>
  <si>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</si>
  <si>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</si>
  <si>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</si>
  <si>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</si>
  <si>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</si>
  <si>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</si>
  <si>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</si>
  <si>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</si>
  <si>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</si>
  <si>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</si>
  <si>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</si>
  <si>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</si>
  <si>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</si>
  <si>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</si>
  <si>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</si>
  <si>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</si>
  <si>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</si>
  <si>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</si>
  <si>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</si>
  <si>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</si>
  <si>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</si>
  <si>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</si>
  <si>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</si>
  <si>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</si>
  <si>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</si>
  <si>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</si>
  <si>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</si>
  <si>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</si>
  <si>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</si>
  <si>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</si>
  <si>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</si>
  <si>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</si>
  <si>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</si>
  <si>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</si>
  <si>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</si>
  <si>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</si>
  <si>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</si>
  <si>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</si>
  <si>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</si>
  <si>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</si>
  <si>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</si>
  <si>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</si>
  <si>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</si>
  <si>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</si>
  <si>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</si>
  <si>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</si>
  <si>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</si>
  <si>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</si>
  <si>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</si>
  <si>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</si>
  <si>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</si>
  <si>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</si>
  <si>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</si>
  <si>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</si>
  <si>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</si>
  <si>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</si>
  <si>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</si>
  <si>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</si>
  <si>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</si>
  <si>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</si>
  <si>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</si>
  <si>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</si>
  <si>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</si>
  <si>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</si>
  <si>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</si>
  <si>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</si>
  <si>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</si>
  <si>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</si>
  <si>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</si>
  <si>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</si>
  <si>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Pop-upToasters</t>
  </si>
  <si>
    <t>Frequency: 50-60 Hz, Wattage: 830 W, Integrated cord storage,operating Voltage: 220 - 240 volts. Power : 760-900 W</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</si>
  <si>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</si>
  <si>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</si>
  <si>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</si>
  <si>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décor|High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</si>
  <si>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</si>
  <si>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</si>
  <si>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</si>
  <si>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</si>
  <si>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HeatConvectors</t>
  </si>
  <si>
    <t>Meant for Spot Heating|Ideal for a small room only, i.e., up to 12 sq. ft|Twin Turbo Design for fast &amp; efficient heating|Side Vents to draw in air easily|ISI Mark|Inbuilt fan ensure instant heating|Customer Care Number: 18133111</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</si>
  <si>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</si>
  <si>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</si>
  <si>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</si>
  <si>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</si>
  <si>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</si>
  <si>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</si>
  <si>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</si>
  <si>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</si>
  <si>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</si>
  <si>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</si>
  <si>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</si>
  <si>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</si>
  <si>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https://www.amazon.in/Lifelong-LLMG93-Stainless-Liquidizing-Warranty/dp/B09GYBZPHF/ref=sr_1_118?qid=1672923596&amp;s=kitchen&amp;sr=1-118</t>
  </si>
  <si>
    <t>B0B4KPCBSH</t>
  </si>
  <si>
    <t>IKEA Frother for Milk</t>
  </si>
  <si>
    <t>Home&amp;Kitchen|Kitchen&amp;HomeAppliances|Coffee,Tea&amp;Espresso|CoffeeGrinders|ElectricGrinders</t>
  </si>
  <si>
    <t>Coffee,Tea&amp;Espresso</t>
  </si>
  <si>
    <t>CoffeeGrinders</t>
  </si>
  <si>
    <t>ElectricGrinders</t>
  </si>
  <si>
    <t>BATTERIES ARE SOLD SEPARATELY|2AA Batteries are recommended|New Batteries are recommended to work properly|Frothes milk up in 15-20 seconds.|Can be used for both cold and hot milk.</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</si>
  <si>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</si>
  <si>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</si>
  <si>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(‎ACGRH- INSTACOMFORT)</t>
  </si>
  <si>
    <t>Two heat setting|Adjustable Thermostat|Over heat protection|Thermal cut off|Vertical &amp; horizontal mounting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</si>
  <si>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</si>
  <si>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</si>
  <si>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</si>
  <si>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</si>
  <si>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</si>
  <si>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</si>
  <si>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</si>
  <si>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</si>
  <si>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</si>
  <si>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</si>
  <si>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</si>
  <si>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✅REJUVENATE FABRICS &amp; KEEP TIDY - Restore your clothes and fabrics to a fresh new look! The powerful engine can quickly and gently remove fluffs, pilling, fuzzes, and bobbles from materials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materials and make them look good as new.|✅ERGONOMIC DESIGN WITH A BATTERY POWERED MOTOR: Specially designed and lightweight with a 180° handle so it's easy to grip while you effortlessly your fabrics at any angle. The motor generates a strong suction when the blades are rotating for maximum effect.|✅EASY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</si>
  <si>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</si>
  <si>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</si>
  <si>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</si>
  <si>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</si>
  <si>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</si>
  <si>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</si>
  <si>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</si>
  <si>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</si>
  <si>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</si>
  <si>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</si>
  <si>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</si>
  <si>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</si>
  <si>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</si>
  <si>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</si>
  <si>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</si>
  <si>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</si>
  <si>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</si>
  <si>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</si>
  <si>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</si>
  <si>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</si>
  <si>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</si>
  <si>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</si>
  <si>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</si>
  <si>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</si>
  <si>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</si>
  <si>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</si>
  <si>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</si>
  <si>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</si>
  <si>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</si>
  <si>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</si>
  <si>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</si>
  <si>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</si>
  <si>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WaterPurifiers&amp;Accessories</t>
  </si>
  <si>
    <t>WaterPurifierAccessories</t>
  </si>
  <si>
    <t>Compatible only for Pureit Classic 23 Liter water purifier|Germkill Kit (GKK) Capacity - 1500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</si>
  <si>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</si>
  <si>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</si>
  <si>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</si>
  <si>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</si>
  <si>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WaterCartridges</t>
  </si>
  <si>
    <t>Compatible only for Pureit Classic 23 Liter water purifier|Germkill Kit (GKK) Capacity - 3000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</si>
  <si>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</si>
  <si>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</si>
  <si>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</si>
  <si>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</si>
  <si>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</si>
  <si>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</si>
  <si>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</si>
  <si>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</si>
  <si>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</si>
  <si>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</si>
  <si>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</si>
  <si>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</si>
  <si>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</si>
  <si>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</si>
  <si>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</si>
  <si>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</si>
  <si>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</si>
  <si>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</si>
  <si>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</si>
  <si>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</si>
  <si>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</si>
  <si>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</si>
  <si>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</si>
  <si>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</si>
  <si>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</si>
  <si>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</si>
  <si>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</si>
  <si>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</si>
  <si>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</si>
  <si>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No|360⁰ swivel cord for easy operation|1.8 m long chord|Indicator lamp for thermostat function indication</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</si>
  <si>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</si>
  <si>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</si>
  <si>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</si>
  <si>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</si>
  <si>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</si>
  <si>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</si>
  <si>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</si>
  <si>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</si>
  <si>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</si>
  <si>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</si>
  <si>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</si>
  <si>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</si>
  <si>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</si>
  <si>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</si>
  <si>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</si>
  <si>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</si>
  <si>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</si>
  <si>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</si>
  <si>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</si>
  <si>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</si>
  <si>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</si>
  <si>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</si>
  <si>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</si>
  <si>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speed.|【Elegant &amp; Ergonomic Design】Ergonomic design, the pilling remover for clothes has an easy-grip handle which offers users a comfortable experience.|【Easy to Use and Clean】This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</si>
  <si>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</si>
  <si>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</si>
  <si>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</si>
  <si>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</si>
  <si>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</si>
  <si>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</si>
  <si>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</si>
  <si>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</si>
  <si>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</si>
  <si>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</si>
  <si>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</si>
  <si>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✔Quick Electric Hot Water Tap Heating tube: high-purity copper liner heating element Rated voltage: 220V/50HZ Rated Power: 3000W|✔When you receive Swiffer Water tankless instant electric tap water heater, please do not test it in your hands, you need install it well and then test, or it will be dangerous. Please operate it according to the instructions.|✔Support and well-being of dual-use electric faucet, while heated, the water, the lower the temperature, whereas the smaller the flow, the higher the temperature.|✔Power unified are the 3000-watt, 5 seconds fast heat! Your hands won't feel cold when washing dishes or doing the laundry or washing vegetables. Of course, washing face and brushing teeth with warm water every morning are great enjoyments.|✔Your hands won't feel cold when washing dishes or doing the laundry. Of course,washing face and brushing teeth with warm water every morning are great enjoyments.|✔When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</si>
  <si>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</si>
  <si>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</si>
  <si>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</si>
  <si>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</si>
  <si>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</si>
  <si>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</si>
  <si>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</si>
  <si>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</si>
  <si>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</si>
  <si>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</si>
  <si>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</si>
  <si>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</si>
  <si>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</si>
  <si>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</si>
  <si>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</si>
  <si>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</si>
  <si>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</si>
  <si>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</si>
  <si>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</si>
  <si>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</si>
  <si>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</si>
  <si>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</si>
  <si>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</si>
  <si>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</si>
  <si>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</si>
  <si>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</si>
  <si>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</si>
  <si>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</si>
  <si>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</si>
  <si>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</si>
  <si>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</si>
  <si>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</si>
  <si>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</si>
  <si>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</si>
  <si>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</si>
  <si>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</si>
  <si>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</si>
  <si>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</si>
  <si>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</si>
  <si>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</si>
  <si>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</si>
  <si>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</si>
  <si>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</si>
  <si>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 operates only when Cookware is placed on|5 Pre-set Indian menu, Timer: 1 min to 3 hours</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</si>
  <si>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</si>
  <si>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</si>
  <si>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</si>
  <si>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</si>
  <si>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Car&amp;Motorbike</t>
  </si>
  <si>
    <t>CarAccessories</t>
  </si>
  <si>
    <t>InteriorAccessories</t>
  </si>
  <si>
    <t>AirPurifiers&amp;Ionizers</t>
  </si>
  <si>
    <t>[NEW LAUNCH - INNOVATIVE DESIGN] EFFICIENT PURIFICATION TECHNOLOGY - Reffair AX30 has the tapered design with an H13 HEPA filter and Smart Negative Ions feature which makes this device perform better and it comes with an effective CADR of 16.2 m³/h. AX30 is Re-designed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 limited warranty from the date of purchase. In case if you face any problem with our product, please contact us before leaving any review. Our friendly customer care team is always ready to enhance your product experience. Filter life is up to 6 months and Authentic Reffair replacement filter is always available at B0912LC8R9 (ASIN).</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</si>
  <si>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</si>
  <si>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</si>
  <si>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</si>
  <si>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</si>
  <si>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</si>
  <si>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</si>
  <si>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</si>
  <si>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</si>
  <si>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</si>
  <si>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</si>
  <si>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</si>
  <si>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</si>
  <si>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</si>
  <si>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</si>
  <si>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</si>
  <si>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</si>
  <si>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</si>
  <si>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https://www.amazon.in/Philips-Collection-HL1655-00-250-Watt/dp/B00YQLG7GK/ref=sr_1_169?qid=1672923598&amp;s=kitchen&amp;sr=1-169</t>
  </si>
  <si>
    <t>B00SMJPA9C</t>
  </si>
  <si>
    <t>Bajaj DX-2 600W Dry Iron with Advance Soleplate and Anti-Bacterial German Coating Technology, Grey</t>
  </si>
  <si>
    <t>https://www.amazon.in/Bajaj-DX-600-Watt-Light-Weight/dp/B00SMJPA9C/ref=sr_1_170?qid=1672923598&amp;s=kitchen&amp;sr=1-170</t>
  </si>
  <si>
    <t>B0B9RN5X8B</t>
  </si>
  <si>
    <t>V-Guard Zio Instant Water Geyser | 3 Litre | 3000 W Heating | White-Blue | | 2 Year Warranty</t>
  </si>
  <si>
    <t>POWERFUL INSTANT HEATING: The geyser is powered by a superior 3 kW heating element with a copper sheath and high-grade magnesium oxide insulation for quick movement of heat|ADVANCED 4 LAYER SAFETY: 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 1800-103-1300 (Toll Free) | 1860-180-3000 (Toll) or send a “Hi” via WhatsApp to +91963350333 or email us at customercare@vguard.in</t>
  </si>
  <si>
    <t>https://www.amazon.in/V-Guard-Instant-Heating-White-Blue-Warranty/dp/B0B9RN5X8B/ref=sr_1_171?qid=1672923598&amp;s=kitchen&amp;sr=1-171</t>
  </si>
  <si>
    <t>B08QW937WV</t>
  </si>
  <si>
    <t>Homeistic Applience™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</si>
  <si>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</si>
  <si>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</si>
  <si>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</si>
  <si>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</si>
  <si>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</si>
  <si>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</si>
  <si>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</si>
  <si>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</si>
  <si>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</si>
  <si>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</si>
  <si>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</si>
  <si>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</si>
  <si>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</si>
  <si>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</si>
  <si>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</si>
  <si>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</si>
  <si>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</si>
  <si>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</si>
  <si>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</si>
  <si>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</si>
  <si>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‘switch-on’ mode</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</si>
  <si>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</si>
  <si>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</si>
  <si>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</si>
  <si>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</si>
  <si>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</si>
  <si>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</si>
  <si>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</si>
  <si>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</si>
  <si>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</si>
  <si>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</si>
  <si>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</si>
  <si>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</si>
  <si>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</si>
  <si>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</si>
  <si>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</si>
  <si>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</si>
  <si>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AirPurifiers</t>
  </si>
  <si>
    <t>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</si>
  <si>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</si>
  <si>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</si>
  <si>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</si>
  <si>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</si>
  <si>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</si>
  <si>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</si>
  <si>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</si>
  <si>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</si>
  <si>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</si>
  <si>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</si>
  <si>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</si>
  <si>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</si>
  <si>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</si>
  <si>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</si>
  <si>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</si>
  <si>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</si>
  <si>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décor|Laundry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</si>
  <si>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</si>
  <si>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</si>
  <si>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</si>
  <si>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“ADD TO CART” now and get this Fabware Lint remover Roller &amp; Pet Hair remover from clothes and home today!</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</si>
  <si>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</si>
  <si>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</si>
  <si>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</si>
  <si>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‘N’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</si>
  <si>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</si>
  <si>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</si>
  <si>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</si>
  <si>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</si>
  <si>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</si>
  <si>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</si>
  <si>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</si>
  <si>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</si>
  <si>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</si>
  <si>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</si>
  <si>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</si>
  <si>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</si>
  <si>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</si>
  <si>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</si>
  <si>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</si>
  <si>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</si>
  <si>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</si>
  <si>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</si>
  <si>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</si>
  <si>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</si>
  <si>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</si>
  <si>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</si>
  <si>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</si>
  <si>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</si>
  <si>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</si>
  <si>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</si>
  <si>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</si>
  <si>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</si>
  <si>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</si>
  <si>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</si>
  <si>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</si>
  <si>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</si>
  <si>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</si>
  <si>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</si>
  <si>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</si>
  <si>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</si>
  <si>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</si>
  <si>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</si>
  <si>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</si>
  <si>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</si>
  <si>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</si>
  <si>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</si>
  <si>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</si>
  <si>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</si>
  <si>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https://www.amazon.in/Tosaa-Nonstick-Sandwich-Toaster-Regular/dp/B07RX42D3D/ref=sr_1_200?qid=1672923601&amp;s=kitchen&amp;sr=1-200</t>
  </si>
  <si>
    <t>B08WRKSF9D</t>
  </si>
  <si>
    <t>V-Guard Divino 5 Star Rated 15 Litre Storage Water Heater (Geyser) with Advanced Safety Features, White</t>
  </si>
  <si>
    <t>【15 LITRE】Storage Water Heater; 【BEE 5 STAR RATED】: Highly Energy Efficient with Extra Thick &amp; High Density CFC Free PUF Insulation for Maximum Heat Retention;【COUNTRY OF ORIGIN】: India|【ANTI-CORROSIVE &amp; SUITABLE FOR HARD WATER USAGE】: Advanced Vitreous Enamel Coating protects the Inner Tank, Superior Incoloy 800 Heating Element ensures Sustained Performance, Extra Thick Magnesium Anode provides Added Protection|【66% REDUCTION IN LEAKAGE】: Single Weld Line High Grade Mild Steel Tank|【SAFETY ASSURED】: Advanced Thermostat &amp; Thermal Cut-out Mechanism for Dual Overheat Protection; 5-in-1 Multi-function Safety Valve prevents excessive Pressure Build-up, Vacuum Formation &amp; Reverse Water Flow|【HYGIENIC &amp; PUNGENT-FREE WATER】: Multi-layer protection against Corrosion &amp; Scaling|【PAN INDIA INSTALLATION AVAILABLE AT INR 350+GST】: Inlet and Outlet Connection Pipes can be purchased from the technician on a chargeable basis (INR.250)|【WITHSTANDS UP TO 8 BAR PRESSURE】: Suitable for High Rise Buildings up to 35 floors and Pressure Pump Application</t>
  </si>
  <si>
    <t>https://www.amazon.in/V-Guard-Divino-Storage-15-Vertical/dp/B08WRKSF9D/ref=sr_1_201?qid=1672923601&amp;s=kitchen&amp;sr=1-201</t>
  </si>
  <si>
    <t>B09R83SFYV</t>
  </si>
  <si>
    <t>Akiara® - Makes life easy Mini Sewing Machine with Table Set | Tailoring Machine | Hand Sewing Machine with extension table, foot pedal, adapter</t>
  </si>
  <si>
    <t>Home&amp;Kitchen|Kitchen&amp;HomeAppliances|SewingMachines&amp;Accessories|Sewing&amp;EmbroideryMachines</t>
  </si>
  <si>
    <t>SewingMachines&amp;Accessories</t>
  </si>
  <si>
    <t>Sewing&amp;EmbroideryMachines</t>
  </si>
  <si>
    <t>AFTER SALES SERVICE Tailoring Machine is user-friendly. Please Contact Us by EMAIL if there is any issue during operation. We are always here and happy to assist every customer.</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</si>
  <si>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</si>
  <si>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</si>
  <si>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</si>
  <si>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</si>
  <si>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</si>
  <si>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</si>
  <si>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</si>
  <si>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 a Big Jar for yummy shakes, Juicer attachment and an exciting Chopper, offering an all-in-one solution that functions as a mixer, grinder, blender, juicer and chopper –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</si>
  <si>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</si>
  <si>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</si>
  <si>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</si>
  <si>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caffè latte, hot chocolate, frappè, milkshake and any other drinks. It’s easy to make drinks by this milk frother handheld version.|Not Included for safety , please insert new batteries in opposite direction only|OPERATED BY AA 1.5 V x 2 Batteries (NOT included) &amp; Color send as per availabilty.</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</si>
  <si>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</si>
  <si>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</si>
  <si>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</si>
  <si>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</si>
  <si>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</si>
  <si>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</si>
  <si>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</si>
  <si>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</si>
  <si>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</si>
  <si>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</si>
  <si>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</si>
  <si>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</si>
  <si>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IroningAccessories</t>
  </si>
  <si>
    <t>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</si>
  <si>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</si>
  <si>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</si>
  <si>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</si>
  <si>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</si>
  <si>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</si>
  <si>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</si>
  <si>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</si>
  <si>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</si>
  <si>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</si>
  <si>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</si>
  <si>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</si>
  <si>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</si>
  <si>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</si>
  <si>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</si>
  <si>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</si>
  <si>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</si>
  <si>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</si>
  <si>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</si>
  <si>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</si>
  <si>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</si>
  <si>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</si>
  <si>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</si>
  <si>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</si>
  <si>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https://www.amazon.in/Havells-Glaze-Pearl-Ivory-Ceiling/dp/B09MT94QLL/ref=sr_1_217?qid=1672923601&amp;s=kitchen&amp;sr=1-217</t>
  </si>
  <si>
    <t>B07NKNBTT3</t>
  </si>
  <si>
    <t>Pick Ur Needs®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</si>
  <si>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</si>
  <si>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</si>
  <si>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</si>
  <si>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</si>
  <si>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</si>
  <si>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</si>
  <si>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</si>
  <si>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</si>
  <si>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</si>
  <si>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Mills&amp;Grinders</t>
  </si>
  <si>
    <t>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</si>
  <si>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</si>
  <si>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</si>
  <si>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</si>
  <si>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</si>
  <si>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</si>
  <si>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OvenToasterGrills</t>
  </si>
  <si>
    <t>Bake, Grill, Toast and more|1 Year Manufacturer's Warranty|Automatic Thermostat I Auto Shut Off I Ready Bell. Cavity Material: Stainless Steel|Heat resistant tempered glass window with Cool Touch Handle|Adjustable temperature from 100°C to 250°C</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</si>
  <si>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</si>
  <si>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</si>
  <si>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</si>
  <si>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</si>
  <si>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</si>
  <si>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</si>
  <si>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</si>
  <si>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</si>
  <si>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</si>
  <si>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</si>
  <si>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</si>
  <si>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</si>
  <si>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</si>
  <si>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</si>
  <si>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</si>
  <si>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</si>
  <si>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</si>
  <si>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</si>
  <si>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</si>
  <si>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</si>
  <si>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</si>
  <si>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</si>
  <si>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</si>
  <si>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</si>
  <si>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</si>
  <si>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</si>
  <si>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</si>
  <si>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📞【UTMOST CUSTOMER SUPPORT: 】24 hours WhatsApp, at ENEM, we try our best to provide great experience to you. For any reason, if you are not completely satisfied with your purchase, you may return the machine for a service or exchange within 1 year of purchase. Providing lifetime manufacturer’s support, in case of any trouble just call/WhatsApp us on +91 9958404521.|⭐【MADE IN INDIA! IMPROVED SEALING MACHINE:】ENEM sealing machine is proudly Made in India! We have used high quality transformer + High Quality Plug + heavy gauge wire so ensures good performance and optimum safety.|⭐【SUPPORT ALL HEAT SEALABLE MATERIAL BAGS: 】This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after.|⭐【ADJUSTABLE TIMER SETTING:】Adjustable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(2-3).|⭐【AUTO – POWER OFF PROTECTION:】ENEM Plastic Packing Machine remains in standby mode when not used, thereby not utilizing power. Only when same is used for sealing, power is consumed.|⭐【UPGRADED TRANSFORMER: 】The transformer used in machine is twice bigger than any others’ substitutes which can reduce heat and work loss, make sure this table top heat impulse sealer working life is double longer than normal sealing machine. Max seal thickness:10 mils. Sealing width: 2mm.</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</si>
  <si>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</si>
  <si>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</si>
  <si>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</si>
  <si>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</si>
  <si>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</si>
  <si>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</si>
  <si>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</si>
  <si>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</si>
  <si>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</si>
  <si>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</si>
  <si>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</si>
  <si>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【CLEAN CLOTHES EVERY TIME】 : Our lint roller has an extra sticky formula that helps you easily collect fuzz, fluff, and bobble balls from your pants, clothes, and fabrics without damaging the material.|【2X EXTRA STICKINESS】: VRPRIME offers 200% more pick-up per strong adhesive sheet for a quick and effective way to remove annoying pet hair, lint, and debris. You will save time and effort in removing stubborn hair and fuzzy bits from your clothes, sofa, furniture, car, carpet, etc.|【TOTAL 360 SHEETS】 : VRPRIME lint rollers come with 1 reusable ergonomic grip handles that comfortably fit in your hand, four refills of 90 sticky easy peel off spiraled sheets. Total 360 sheets in one package with great value.|【MULTI FUNCTION】 : The fluff remover is not limited to just clothing and garments, it also is your perfect tool to remove dog hair, cat hair, pet fur, fluff, fuzz, and lint from furniture, upholstery, bedding, car seats, etc.|【EASY TO PEEL OFF DESIGN 】: New improvement on cutting makes peeling off sheets extremely easy, you can start a new sheet from the top or bottom freely and tear off the sheets easily after use.|【A MUST-HAVE CLEANING TOOL】: VRPRIME dog lint remover for clothes can help pick up any shards or dirts from small spaces that a vacuum cleaner can never reach. Adhesive remover is especially effective for removing pet hair. It’s great for keeping clothes and furniture like couches, carpets, and curtains clean from debris in everyday life.You will never regret having Lint Roller pet fur remover.</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</si>
  <si>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</si>
  <si>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</si>
  <si>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</si>
  <si>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</si>
  <si>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</si>
  <si>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</si>
  <si>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</si>
  <si>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🔥PTC CERAMIC CHIP HEATING TECHNOLOGY: The EOPORA heater is powered by PTC ceramic chip heating technology with 1 second instant heat, which can heat a room faster and quickly and efficiently heating can quickly cover your office or room in minutes.|🔥2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environments.|🔥TIP-OVER PROTECTION &amp; OVER-HEAT PROTECTION: Room heater automatically turn off if they accidentally tip over, perfect for houses with kids and pets. When the heater overheats, the overheat protection will also automatically shut down the heater, making it safer for you to use.|🔥LOW NOISE TO USE: Room heaters have noise levels below 50 dB. Our room heater can provide warmth without interruption for the spaces you need to study, read, work and sleep.|🔥PERFECT FOR YOUR HOME OR OFFICE: The compact and portable design combined with the ergonomic built-in handle, will allow you to easily move your space heater to any room you want. Make sure your office, kitchen, bedroom, guest room, study or living room is nice and warm.|🔥1 YEAR WARRANTY: Eopora PTC Ceramic Fast Heating Room Heater has professional after -sales service and 12 -month warranty. If you have any questions or doubts, please contact us, we will solve your problems as soon as possible.</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</si>
  <si>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</si>
  <si>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</si>
  <si>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</si>
  <si>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</si>
  <si>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</si>
  <si>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</si>
  <si>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</si>
  <si>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</si>
  <si>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</si>
  <si>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</si>
  <si>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</si>
  <si>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</si>
  <si>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</si>
  <si>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</si>
  <si>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</si>
  <si>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</si>
  <si>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</si>
  <si>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</si>
  <si>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</si>
  <si>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</si>
  <si>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</si>
  <si>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【Rechargeable Multi-Function Milk Frother】The Milk Frother comes with two Whisk-Heads attached to the handle - the Spring Whisk-Head is for making milk&amp;coffee foam, the Balloon Whisk-Head is for beating eggs|【High Quality】The product is made of food-grade 304 stainless steel and ABS; The rechargeable built-in Lithium Battery is powerful and can help you make things faster and more efficient - You can make a full cup of milk foam in about 15 seconds|【Detachable Design】The two whisk-heads are detachable, so it is easy for you to change, clean and store|【One-Touch Operation and Three-Staged Speed】It is very easy for you to operate our Milk Frother: Just push the switch button once for stage 1 - low speed, twice for stage 2 - medium speed and three times for stage 3 - high speed; If you push the switch button for 2 seconds, the power will be turned off</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</si>
  <si>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</si>
  <si>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</si>
  <si>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</si>
  <si>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</si>
  <si>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</si>
  <si>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</si>
  <si>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</si>
  <si>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</si>
  <si>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</si>
  <si>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</si>
  <si>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</si>
  <si>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</si>
  <si>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</si>
  <si>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</si>
  <si>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</si>
  <si>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</si>
  <si>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</si>
  <si>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</si>
  <si>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</si>
  <si>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</si>
  <si>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</si>
  <si>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</si>
  <si>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</si>
  <si>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</si>
  <si>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grade​|Warranty: 5 years on inner container, 2 years on Heating Element, 2 years comprehensive warranty|Product Dimensions: 20.5 cms x 29.4 cms x 18.5 cms</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</si>
  <si>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</si>
  <si>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</si>
  <si>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</si>
  <si>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</si>
  <si>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https://www.amazon.in/Lifelong-Boiler-Poacher-500-Watt-Transparent/dp/B08S7V8YTN/ref=sr_1_245?qid=1672923605&amp;s=kitchen&amp;sr=1-245</t>
  </si>
  <si>
    <t>B07H5PBN54</t>
  </si>
  <si>
    <t>INDIAS®™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</si>
  <si>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</si>
  <si>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</si>
  <si>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</si>
  <si>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</si>
  <si>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</si>
  <si>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</si>
  <si>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</si>
  <si>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</si>
  <si>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you’ve chosen. A low-fat milk wouldn’t create much of lather than a full fat milk would create. Therefore, to get the best results you are highly recommended for the usage of full fat milk.|Safe and healthy: The material used to manufacture the “blending head”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</si>
  <si>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</si>
  <si>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</si>
  <si>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</si>
  <si>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</si>
  <si>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</si>
  <si>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</si>
  <si>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</si>
  <si>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</si>
  <si>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</si>
  <si>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</si>
  <si>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</si>
  <si>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</si>
  <si>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</si>
  <si>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</si>
  <si>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</si>
  <si>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</si>
  <si>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</si>
  <si>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</si>
  <si>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</si>
  <si>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steamer’s lifetime</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</si>
  <si>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</si>
  <si>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</si>
  <si>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</si>
  <si>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doesn’t generate much heat.|DUAL BLADE TECHNOLOGY: Bi-level AERO4 blades have sharp edges that cleave down chunky pieces like a nice one. Makes your work simple and spends lesser time in your kitchen area.|ENLARGE CAPACITY: Brayden’s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</si>
  <si>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</si>
  <si>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</si>
  <si>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</si>
  <si>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</si>
  <si>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</si>
  <si>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</si>
  <si>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</si>
  <si>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</si>
  <si>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</si>
  <si>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</si>
  <si>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</si>
  <si>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</si>
  <si>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</si>
  <si>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</si>
  <si>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</si>
  <si>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✔【Easy to carry around】- This handheld blender is equipped with a travel cover for easy carrying. You can drink nutritious juices, milkshakes or smoothies wherever you want, such as home, office, gym, travel or any other outdoor activities. In addition, it can be taken on the plane.|✔【Portable design】: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juice.|✔【food grade material】- The portable blender is made by high-quality ABS and silicone, food-grade material. It has unique safety design including Silicone bottom, non-slip and shock absorption.This portable juicer is also a suitable gift for juice and travel enthusiasts.|✔【4 Blade design】- The portable blender for milkshakes and smoothies has a powerful motor base and 4 food-grade stainless steel 3D blades.The SUS304 Stainless Stell of cutter head made with food-grade electrolysis technology is durable and has excellent mixing ability, allowing the pulp to be quickl|✔【One button blending/cleaning】: simple button touch. 350ml capacity when cleaning, just put an appropriate amount of water in the cup and press the button to automatically clean. This can save you a lot of trouble.</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</si>
  <si>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</si>
  <si>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</si>
  <si>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</si>
  <si>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</si>
  <si>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</si>
  <si>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</si>
  <si>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</si>
  <si>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</si>
  <si>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</si>
  <si>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</si>
  <si>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</si>
  <si>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</si>
  <si>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</si>
  <si>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</si>
  <si>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</si>
  <si>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</si>
  <si>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Health&amp;PersonalCare</t>
  </si>
  <si>
    <t>HomeMedicalSupplies&amp;Equipment</t>
  </si>
  <si>
    <t>HealthMonitors</t>
  </si>
  <si>
    <t>WeighingScales</t>
  </si>
  <si>
    <t>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</si>
  <si>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</si>
  <si>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</si>
  <si>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</si>
  <si>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</si>
  <si>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✅ABOUT : This top performance kettle is part of the Fine Collection, featuring a premium textured finish, stainless steel inside &amp; cool touch outer body for an attractive addition to your kitchen|✅SAVE TIME AND ENERGY: Made with double-wall construction . Stainless Steel Inside keeps your Stuff warm much longer and Cool to touch when heating. Enjoy quick boiling times so you can enjoy your coffee, tea, or boil eggs in no time.|✅CORDLESS SERVING - Pick up, pour, put back! You can set the Cordless kettle down on the 360° swivel base at any angle.|✅LARGE CAPACITY: It is perfect for frequent use with a capacity of 1.8 litre . Infact ! The wide mouth makes it easy to fill, pour, and clean and is designed to avoid spillage.|✅CONCEALED HEATING ELEMENT: Tesora’s Electric Kettle heating element is concealed , not exposed like many other kettles. So absolutely safe for Adults and children|✅OVERHEAT PROTECTION: For peace of mind while multi-tasking in the kitchen, the kettle automatically shuts off when water reaches a rolling boil or when there’s no water in the kettle.|✅1 YEAR WARRANTY AND PAN INDIA SERVICE: on all manufacturing defects And Pan India customer service as per the mentioned manufacturer details</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</si>
  <si>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</si>
  <si>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</si>
  <si>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</si>
  <si>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</si>
  <si>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</si>
  <si>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</si>
  <si>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</si>
  <si>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</si>
  <si>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</si>
  <si>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</si>
  <si>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</si>
  <si>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</si>
  <si>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</si>
  <si>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</si>
  <si>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</si>
  <si>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</si>
  <si>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</si>
  <si>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</si>
  <si>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</si>
  <si>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</si>
  <si>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</si>
  <si>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</si>
  <si>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</si>
  <si>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</si>
  <si>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</si>
  <si>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</si>
  <si>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-180ᶿ&amp;105ᶿ |2 year warranty|SS Finish|Standard size</t>
  </si>
  <si>
    <t>Truly multifunctional Grill Sandwich Maker which could used to make a sandwich maker to panini ,toast &amp; Roast and also operate as a smokeless indoor Grill|Sandwich Maker – Big size non stick plate (230mm*145 mm) opens upto 105ᶿ (Extra 15ᶿ) for easy operation and usage|Grill – With Huge plates can also be used to grill with plated opening upto 180ᶿ|Auto cut off feature to avoid excessive burning of food and stress free operation|Cool touch handle for safety and easy usage|Easy to clean non stick grill with quick heat up enabled by 1000 Watt function (2 years warranty)</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</si>
  <si>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</si>
  <si>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</si>
  <si>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</si>
  <si>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</si>
  <si>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</si>
  <si>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</si>
  <si>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</si>
  <si>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</si>
  <si>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https://www.amazon.in/Eureka-Forbes-Active-Cleaner-washable/dp/B08HDCWDXD/ref=sr_1_273?qid=1672923606&amp;s=kitchen&amp;sr=1-273</t>
  </si>
  <si>
    <t>B0836JGZ74</t>
  </si>
  <si>
    <t>CSI INTERNATIONAL®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</si>
  <si>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</si>
  <si>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</si>
  <si>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</si>
  <si>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</si>
  <si>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</si>
  <si>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</si>
  <si>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</si>
  <si>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</si>
  <si>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</si>
  <si>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</si>
  <si>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</si>
  <si>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</si>
  <si>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</si>
  <si>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</si>
  <si>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</si>
  <si>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</si>
  <si>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</si>
  <si>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</si>
  <si>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</si>
  <si>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</si>
  <si>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</si>
  <si>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</si>
  <si>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</si>
  <si>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TableFans</t>
  </si>
  <si>
    <t>It is designed with Multi-Utility Clamp Mechanism; Enables table as well as wall operation|Easy charging compatibility with existing power cables|Li-Ion Battery with 4 hours’ battery backup provides continual operation during power cut and uninterrupted air delivery|With a size of 158 L x 95 W x 204 H MM, it gives instant comfort with high speed operation and high air thrust.|Mounting Type: Tabletop; Material Type: Plastic</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</si>
  <si>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</si>
  <si>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</si>
  <si>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</si>
  <si>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360⁰ swivel cord for easy cord movement and 6 pre-set fabric settings with variable temperature control|DESIGN: Matte black finished base and bronze lining, and a larger soleplate area with curved edges to ensure quick ironing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</si>
  <si>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</si>
  <si>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</si>
  <si>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</si>
  <si>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</si>
  <si>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</si>
  <si>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</si>
  <si>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</si>
  <si>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</si>
  <si>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</si>
  <si>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</si>
  <si>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</si>
  <si>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</si>
  <si>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</si>
  <si>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</si>
  <si>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</si>
  <si>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Processorᵀᴹ and Carbon Polisherᵀᴹ|Microfiber Filter - Removes visible impurities like dust, dirt, sand, etc.|Germkill Processorᵀᴹ - Uses programmed Germkill technology to remove invisible harmful viruses &amp; bacteria|Carbon Polisherᵀᴹ - Removes chlorine, odor, along with other impurities to purify water and improve its taste|For GKK replacement instructions, refer to the user manual pdf (in Product guides &amp; documents section)</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</si>
  <si>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</si>
  <si>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</si>
  <si>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</si>
  <si>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</si>
  <si>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</si>
  <si>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</si>
  <si>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</si>
  <si>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</si>
  <si>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MilkFrothers</t>
  </si>
  <si>
    <t>Frothes milk up in 15-20 seconds.|Can be used for both cold and hot drink.|Requires 2 AA batteries.|Easy to use and clean. Easy and convenient to operate.</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</si>
  <si>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</si>
  <si>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</si>
  <si>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</si>
  <si>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</si>
  <si>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</si>
  <si>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</si>
  <si>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</si>
  <si>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</si>
  <si>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</si>
  <si>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</si>
  <si>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</si>
  <si>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</si>
  <si>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</si>
  <si>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</si>
  <si>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</si>
  <si>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</si>
  <si>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</si>
  <si>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</si>
  <si>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</si>
  <si>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</si>
  <si>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</si>
  <si>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</si>
  <si>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</si>
  <si>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</si>
  <si>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</si>
  <si>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</si>
  <si>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</si>
  <si>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</si>
  <si>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</si>
  <si>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</si>
  <si>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</si>
  <si>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</si>
  <si>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</si>
  <si>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</si>
  <si>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</si>
  <si>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</si>
  <si>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</si>
  <si>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</si>
  <si>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</si>
  <si>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</si>
  <si>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</si>
  <si>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donâ€t have to concern about the safety|KENT Sandwich Grillâ€s adjustable height lets you easily cook various sizes of snacks|The automatic temperature cut-off turns off the appliance once your dish is cooked</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</si>
  <si>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</si>
  <si>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</si>
  <si>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</si>
  <si>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</si>
  <si>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</si>
  <si>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</si>
  <si>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</si>
  <si>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</si>
  <si>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https://www.amazon.in/Inalsa-Electric-Heater-Hotty-Certification/dp/B09H34V36W/ref=sr_1_298_mod_primary_new?qid=1672923607&amp;s=kitchen&amp;sbo=RZvfv%2F%2FHxDF%2BO5021pAnSA%3D%3D&amp;sr=1-298</t>
  </si>
  <si>
    <t>B09J2QCKKM</t>
  </si>
  <si>
    <t>Havells Zella Flap Auto Immersion Rod 1500 Watts</t>
  </si>
  <si>
    <t>India’s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</si>
  <si>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</si>
  <si>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</si>
  <si>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</si>
  <si>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</si>
  <si>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</si>
  <si>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</si>
  <si>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</si>
  <si>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 Equipped with powerful motor delivers 14KPA strong suction power and ensures long time operation. The vacuum cleaner has an impact resistant polymer tank for longer usage life|Safe buoy technology –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</si>
  <si>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</si>
  <si>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</si>
  <si>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</si>
  <si>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</si>
  <si>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</si>
  <si>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</si>
  <si>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</si>
  <si>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</si>
  <si>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</si>
  <si>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</si>
  <si>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</si>
  <si>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</si>
  <si>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</si>
  <si>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</si>
  <si>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</si>
  <si>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â€“ RO Purifier, Pre Filter, Installation accessories, user manual. Installation You need to pay Up-to Rs. 500/- to the technician for installation.</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</si>
  <si>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</si>
  <si>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</si>
  <si>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</si>
  <si>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</si>
  <si>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</si>
  <si>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</si>
  <si>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</si>
  <si>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“convection”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</si>
  <si>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</si>
  <si>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</si>
  <si>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</si>
  <si>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</si>
  <si>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</si>
  <si>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</si>
  <si>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</si>
  <si>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</si>
  <si>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</si>
  <si>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</si>
  <si>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</si>
  <si>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</si>
  <si>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</si>
  <si>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</si>
  <si>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</si>
  <si>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</si>
  <si>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</si>
  <si>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</si>
  <si>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</si>
  <si>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</si>
  <si>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</si>
  <si>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</si>
  <si>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</si>
  <si>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</si>
  <si>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</si>
  <si>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</si>
  <si>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</si>
  <si>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</si>
  <si>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https://www.amazon.in/Demokrazy-Remover-Woolens-Sweaters-Blankets/dp/B08SKZ2RMG/ref=sr_1_318?qid=1672923607&amp;s=kitchen&amp;sr=1-318</t>
  </si>
  <si>
    <t>B0B53DS4TF</t>
  </si>
  <si>
    <t>Instant Pot Air Fryer, Vortex 2QT, Touch Control Panel, 360° EvenCrisp™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</si>
  <si>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</si>
  <si>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</si>
  <si>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</si>
  <si>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</si>
  <si>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 to 40˚C,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</si>
  <si>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</si>
  <si>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</si>
  <si>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</si>
  <si>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</si>
  <si>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</si>
  <si>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</si>
  <si>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</si>
  <si>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</si>
  <si>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</si>
  <si>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</si>
  <si>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</si>
  <si>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</si>
  <si>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</si>
  <si>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</si>
  <si>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</si>
  <si>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</si>
  <si>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SmallApplianceParts&amp;Accessories</t>
  </si>
  <si>
    <t>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</si>
  <si>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</si>
  <si>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</si>
  <si>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</si>
  <si>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</si>
  <si>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360⁰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</si>
  <si>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</si>
  <si>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</si>
  <si>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</si>
  <si>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</si>
  <si>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</si>
  <si>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</si>
  <si>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</si>
  <si>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</si>
  <si>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</si>
  <si>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</si>
  <si>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</si>
  <si>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</si>
  <si>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</si>
  <si>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</si>
  <si>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</si>
  <si>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</si>
  <si>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</si>
  <si>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</si>
  <si>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</si>
  <si>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</si>
  <si>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</si>
  <si>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https://www.amazon.in/USHA-RapidMix-500-Watt-Copper-Grinder/dp/B08MXJYB2V/ref=sr_1_331?qid=1672923609&amp;s=kitchen&amp;sr=1-331</t>
  </si>
  <si>
    <t>B081B1JL35</t>
  </si>
  <si>
    <t>CSI INTERNATIONAL® Instant Water Geyser, Water Heater, Portable Water Heater, Geyser Made of First Class ABS Plastic 3KW (Red)</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</si>
  <si>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</si>
  <si>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</si>
  <si>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</si>
  <si>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</si>
  <si>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</si>
  <si>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</si>
  <si>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</si>
  <si>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</si>
  <si>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</si>
  <si>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</si>
  <si>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</si>
  <si>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</si>
  <si>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</si>
  <si>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</si>
  <si>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</si>
  <si>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【Easy to Use】After installing the battery, you need to press and hold the switch button for 3-5 seconds to heat up. Put the bag that needs to be sealed in the middle, the thinner bag can be torn quickly, the thicker should be drawn slowly and evenly.|【Portable】After use, it is not necessary to disassemble the battery, and the hook can be stuck at the sealing place, and can be hung with other appliances. The perfect portable bag sealing machine, suitable for kitchen, camping, travel, etc.|【Dual use】This product is not only a sealing machine but also an opening machine, the opening is very easy and convenient.Mini and portable bag cutter and sealer,Quickly seals and cuts.|【Material】Using high-quality ABS material, fine workmanship without burrs, high temperature and low temperature resistance, durable.|【Note】Do not press violently when sealing, otherwise it will cause the metal contact piece to deform without heating. The bag to be sealed must be kept clean and free from water., oil and other stains</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</si>
  <si>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</si>
  <si>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</si>
  <si>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</si>
  <si>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</si>
  <si>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https://www.amazon.in/Cello-Non-Stick-Aluminium-Sandwich-Toaster/dp/B07YQ5SN4H/ref=sr_1_339?qid=1672923609&amp;s=kitchen&amp;sr=1-339</t>
  </si>
  <si>
    <t>B0B7FJNSZR</t>
  </si>
  <si>
    <t>Proven® Copper + Mineral RO+UV+UF 10 to 12 Liter RO + UV + TDS ADJUSTER Water Purifier with Copper Charge Technology black &amp; copper Best For Home and Office (Made In India)</t>
  </si>
  <si>
    <t>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â€“ RO Purifier, Pre Filter, Installation accessories, user manual. Installation â€“ You need to pay Up-to Rs. 500/- to the technician for installation.</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</si>
  <si>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</si>
  <si>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</si>
  <si>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</si>
  <si>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</si>
  <si>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</si>
  <si>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</si>
  <si>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</si>
  <si>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</si>
  <si>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https://www.amazon.in/Lightweight-Automatic-bacterial-Weilburger-Soleplate/dp/B0B84QN4CN/ref=sr_1_342?qid=1672923609&amp;s=kitchen&amp;sr=1-342</t>
  </si>
  <si>
    <t>B0B8ZM9RVV</t>
  </si>
  <si>
    <t>Zuvexa Egg Boiler Poacher Automatic Off Steaming, Cooking, Boiling Double Layer 14 Egg Boiler (Multicolor)…</t>
  </si>
  <si>
    <t>egg boiler have Compatible design with new appearance makes for a great gift for your family and friends|Special Feature: Anti Dry Safety Protection || Less Noise || Stainless Steel And Anti Scald Design || 14 Eggs Capacity Removable Tray White</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</si>
  <si>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</si>
  <si>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</si>
  <si>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</si>
  <si>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</si>
  <si>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</si>
  <si>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</si>
  <si>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</si>
  <si>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</si>
  <si>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</si>
  <si>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</si>
  <si>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</si>
  <si>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</si>
  <si>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</si>
  <si>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</si>
  <si>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</si>
  <si>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</si>
  <si>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</si>
  <si>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</si>
  <si>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</si>
  <si>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</si>
  <si>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</si>
  <si>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</si>
  <si>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</si>
  <si>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</si>
  <si>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https://www.amazon.in/Havells-Instanio-3-Litre-Instant-Geyser/dp/B078JF6X9B/ref=sr_1_347?qid=1672923610&amp;s=kitchen&amp;sr=1-347</t>
  </si>
  <si>
    <t>B08CGW4GYR</t>
  </si>
  <si>
    <t>Milk Frother, Immersion Blender Cordlesss Foam Maker USB Rechargeable Small Mixer Handheld with 2 Stainless Whisks，Wisker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</si>
  <si>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</si>
  <si>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</si>
  <si>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</si>
  <si>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</si>
  <si>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</si>
  <si>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</si>
  <si>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</si>
  <si>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</si>
  <si>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 - the mixer is battery powered so you don't have to worry about cords and finding sockets.|BECOME A BARISTA OVERNIGHT -Ã‚ with our froth wand you can make cafe style coffee at home instantly. Impress your friends and family with your new magic wand!|GET CREAMY FROTH QUICKLY -Ã‚ our milk frother will start creating creamy froth for your morning coffee within 15 - 20 seconds.|BEAUTIFULLY STYLED WITH VERSATILITYÃ‚ - our coffee beater comes with an elegant stainless steel stand to fit into any modern kitchen.</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</si>
  <si>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</si>
  <si>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</si>
  <si>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</si>
  <si>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</si>
  <si>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</si>
  <si>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</si>
  <si>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</si>
  <si>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</si>
  <si>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</si>
  <si>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</si>
  <si>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</si>
  <si>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</si>
  <si>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</si>
  <si>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</si>
  <si>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</si>
  <si>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</si>
  <si>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</si>
  <si>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</si>
  <si>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</si>
  <si>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</si>
  <si>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</si>
  <si>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</si>
  <si>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</si>
  <si>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</si>
  <si>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YogurtMakers</t>
  </si>
  <si>
    <t>1.2 Litres Capacity|Double Deck Seal|Stainless Steel Bowl|Fully Automatic|1 Year Warranty|Product Dimensions: 16.5 x 16.5 x 11 Centimeters, Item Weight: 800 Grams</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</si>
  <si>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</si>
  <si>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</si>
  <si>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</si>
  <si>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</si>
  <si>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</si>
  <si>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</si>
  <si>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</si>
  <si>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</si>
  <si>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</si>
  <si>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</si>
  <si>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</si>
  <si>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</si>
  <si>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</si>
  <si>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</si>
  <si>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</si>
  <si>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</si>
  <si>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</si>
  <si>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</si>
  <si>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</si>
  <si>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</si>
  <si>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</si>
  <si>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</si>
  <si>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https://www.amazon.in/SaiEllin-Heater-Portable-Bedroom-Compact/dp/B09MQ9PDHR/ref=sr_1_364?qid=1672923611&amp;s=kitchen&amp;sr=1-364</t>
  </si>
  <si>
    <t>B014HDJ7ZE</t>
  </si>
  <si>
    <t>Bajaj Majesty Duetto Gas 6 Ltr Vertical Water Heater ( LPG), White</t>
  </si>
  <si>
    <t>Dimensions: 35.56 Cms X 19 Cms X 55 Cms</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</si>
  <si>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</si>
  <si>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</si>
  <si>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</si>
  <si>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</si>
  <si>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</si>
  <si>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</si>
  <si>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</si>
  <si>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</si>
  <si>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https://www.amazon.in/Inalsa-Easy-Mix-200-Watt-Mixer/dp/B075K76YW1/ref=sr_1_367?qid=1672923611&amp;s=kitchen&amp;sr=1-367</t>
  </si>
  <si>
    <t>B0BNLFQDG2</t>
  </si>
  <si>
    <t>Longway Blaze 2 Rod Quartz Room Heater (White, Gray, 800 watts)</t>
  </si>
  <si>
    <t>Power Consumed: 800 W</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</si>
  <si>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</si>
  <si>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</si>
  <si>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</si>
  <si>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</si>
  <si>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</si>
  <si>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</si>
  <si>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</si>
  <si>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</si>
  <si>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</si>
  <si>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</si>
  <si>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</si>
  <si>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</si>
  <si>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</si>
  <si>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</si>
  <si>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</si>
  <si>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</si>
  <si>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</si>
  <si>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</si>
  <si>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</si>
  <si>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</si>
  <si>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</si>
  <si>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</si>
  <si>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</si>
  <si>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</si>
  <si>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</si>
  <si>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</si>
  <si>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</si>
  <si>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36⁰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</si>
  <si>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</si>
  <si>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</si>
  <si>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</si>
  <si>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</si>
  <si>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</si>
  <si>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</si>
  <si>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</si>
  <si>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</si>
  <si>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</si>
  <si>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</si>
  <si>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</si>
  <si>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</si>
  <si>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AirConditioners</t>
  </si>
  <si>
    <t>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</si>
  <si>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</si>
  <si>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</si>
  <si>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</si>
  <si>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</si>
  <si>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</si>
  <si>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</si>
  <si>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</si>
  <si>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</si>
  <si>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</si>
  <si>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</si>
  <si>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</si>
  <si>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</si>
  <si>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</si>
  <si>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</si>
  <si>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</si>
  <si>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</si>
  <si>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</si>
  <si>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</si>
  <si>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</si>
  <si>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</si>
  <si>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</si>
  <si>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</si>
  <si>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</si>
  <si>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</si>
  <si>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</si>
  <si>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</si>
  <si>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</si>
  <si>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</si>
  <si>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</si>
  <si>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</si>
  <si>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</si>
  <si>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</si>
  <si>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</si>
  <si>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</si>
  <si>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</si>
  <si>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</si>
  <si>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</si>
  <si>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</si>
  <si>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</si>
  <si>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</si>
  <si>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</si>
  <si>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</si>
  <si>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</si>
  <si>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</si>
  <si>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</si>
  <si>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</si>
  <si>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</si>
  <si>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</si>
  <si>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</si>
  <si>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</si>
  <si>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</si>
  <si>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</si>
  <si>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</si>
  <si>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</si>
  <si>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</si>
  <si>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</si>
  <si>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https://www.amazon.in/ESN-999-Quality-Immersion-Heater/dp/B07LG96SDB/ref=sr_1_392?qid=1672923612&amp;s=kitchen&amp;sr=1-392</t>
  </si>
  <si>
    <t>B08KS2KQTK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</si>
  <si>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</si>
  <si>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</si>
  <si>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</si>
  <si>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</si>
  <si>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</si>
  <si>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</si>
  <si>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</si>
  <si>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</si>
  <si>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</si>
  <si>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</si>
  <si>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</si>
  <si>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</si>
  <si>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</si>
  <si>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</si>
  <si>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</si>
  <si>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</si>
  <si>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</si>
  <si>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</si>
  <si>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</si>
  <si>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</si>
  <si>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</si>
  <si>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</si>
  <si>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</si>
  <si>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</si>
  <si>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</si>
  <si>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</si>
  <si>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</si>
  <si>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</si>
  <si>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</si>
  <si>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</si>
  <si>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</si>
  <si>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</si>
  <si>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CoffeeMakerAccessories</t>
  </si>
  <si>
    <t>MeasuringSpoons</t>
  </si>
  <si>
    <t>COMPLETE‬ 4 PCS CUPSET of supreme quality and sturdy stainless steel measuring cups, including 60ML (1/4Cup), 80ML (1/3Cup), 125ML (1/2Cup) and 250ML (1Cup) and COMPLETE‬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 SAFE and super easy to clean, thus ensuring complete hygiene with each use, whether you measure dry of liquid ingredients.|DURABLE‬ CONSTRUCTION with robust materials and a compact design that features flat handles bearing engraved measurements to assure you of lifetime measuring cups.‎|‎ECO‬-FRIENDLY stainless steel measuring cups last a lifetime, a great alternative to flimsy plastic cups that easily break and end up polluting the environment.</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</si>
  <si>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</si>
  <si>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</si>
  <si>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</si>
  <si>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</si>
  <si>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</si>
  <si>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</si>
  <si>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</si>
  <si>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</si>
  <si>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https://www.amazon.in/Havells-Dzire-1000-Watt-Iron-Mint/dp/B07LDN9Q2P/ref=sr_1_406?qid=1672923612&amp;s=kitchen&amp;sr=1-406</t>
  </si>
  <si>
    <t>B08T8KWNQ9</t>
  </si>
  <si>
    <t>TE™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</si>
  <si>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</si>
  <si>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</si>
  <si>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</si>
  <si>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</si>
  <si>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</si>
  <si>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</si>
  <si>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</si>
  <si>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</si>
  <si>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body’s pH levels, boosting immunity and fortifying your health|It reduces the oxygen reduction potential (ORP) and makes antioxidant alkaline water that tastes fresh and clean;Doesn’t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</si>
  <si>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</si>
  <si>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</si>
  <si>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</si>
  <si>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</si>
  <si>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https://www.amazon.in/Sujata-DynaMix-DX-900-Watt-Grinder/dp/B00K57MR22/ref=sr_1_411?qid=1672923612&amp;s=kitchen&amp;sr=1-411</t>
  </si>
  <si>
    <t>B07TTSS5MP</t>
  </si>
  <si>
    <t>Lifelong LLMG74 750 Watt Mixer Grinder with 3 Jars (White and Grey)</t>
  </si>
  <si>
    <t>Warranty: 1 Year</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</si>
  <si>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</si>
  <si>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</si>
  <si>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</si>
  <si>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</si>
  <si>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</si>
  <si>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</si>
  <si>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</si>
  <si>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</si>
  <si>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https://www.amazon.in/AGARO-Regal-Electric-Ceramic-functions/dp/B09XHXXCFH/ref=sr_1_412?qid=1672923613&amp;s=kitchen&amp;sr=1-412</t>
  </si>
  <si>
    <t>B0BL3R4RGS</t>
  </si>
  <si>
    <t>VAPJA® Portable Mini Juicer Cup Blender USB Rechargeable with 4 Blades for Shakes and Smoothies Fruits Vegetables Juice Maker Grinder Mixer Strong Cutting Bottle Sports Travel Outdoors Gym (BOTTLE)</t>
  </si>
  <si>
    <t>【USB Rechargeable &amp; Great Portability】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home.|【Advanced Tips on Blending】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result.|【Powerful &amp; Effective】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cube.|【One-button Operation &amp; Cleaning】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concern.|【Unique Appearance &amp; User-Friendly Design】Beautiful and elegant private mold design, Small size, Wireless, USB rechargeable, and portable design make it a personal travel mixer. The charging port at the bottom and the silicone plug make it water-proof.</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</si>
  <si>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</si>
  <si>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</si>
  <si>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</si>
  <si>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</si>
  <si>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</si>
  <si>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</si>
  <si>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</si>
  <si>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</si>
  <si>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</si>
  <si>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</si>
  <si>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</si>
  <si>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</si>
  <si>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https://www.amazon.in/Spring-Chef-Stainless-Restaurant-Installation/dp/B0BP89YBC1/ref=sr_1_419?qid=1672923613&amp;s=kitchen&amp;sr=1-419</t>
  </si>
  <si>
    <t>B09W9V2PXG</t>
  </si>
  <si>
    <t>Themisto TH-WS20 Digital Kitchen Weighing Scale Stainless Steel (5Kg)</t>
  </si>
  <si>
    <t>High Precision Core Technology：Kitchen Scale Equipped with sensitive sensors, it can provide you precision graduation 0.1oz/1g, capacity 11lb/5kg. This digital scale with 2 models of gram and lb:oz to switch between imperial and metric measuring units.|Stainless Steel Food Scale Set：Digital Kitchen Scale is made with food-grade 202 stainless steel. Sturdy and not easy to damage.|Liquid Weighing Capacity：Themsito kitchen scale is a multifunctional scale with unique features. Besides weighing solid unit lb: oz and g, you can easily measure your recipe ingredients in fluid ounces (fl'oz), and milliliters by water volume or milk volume.|Easy Tare Function：The taring and auto-zero function of Kitchen Scale allow you to subtract the weight of the bowl, dish, or container from the weight of the food. To ensure food safety, you can use multiple-sized bowls to weigh various types of food separately.|Clear LCD Display：This Kitchen scale comes with 2.5" Large LCD with white backlight can display the reading more clearly, even cooking in a dim place. 2 x AAA batteries included.</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</si>
  <si>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</si>
  <si>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</si>
  <si>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</si>
  <si>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【High Power Suction】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minutes.|【Suction &amp; Blowing Dual Function】The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dust.|【Multifunctional Accessories &amp; Storage Bag】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accessories.|【Portable &amp; Family Gift】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time.|【Vacuum Cleaner Set include】the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</si>
  <si>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</si>
  <si>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</si>
  <si>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</si>
  <si>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</si>
  <si>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</si>
  <si>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</si>
  <si>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</si>
  <si>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</si>
  <si>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</si>
  <si>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</si>
  <si>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</si>
  <si>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</si>
  <si>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</si>
  <si>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</si>
  <si>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</si>
  <si>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★7 Speed hand mixer, please see the image or read instruction manual for speed guide|★Attachments: Tackle a number of kitchen tasks with two professional-style wire beaters for eggs and ream and two hooks for mixing dough. All are dishwasher-safe|★Motor 180-watt - this powerful motor has 7 speeds, so you can start slow and finish fast|2 Stainless Steel Hooks For Mixing and Kneading.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</si>
  <si>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</si>
  <si>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</si>
  <si>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</si>
  <si>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</si>
  <si>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</si>
  <si>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</si>
  <si>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</si>
  <si>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</si>
  <si>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</si>
  <si>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</si>
  <si>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</si>
  <si>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</si>
  <si>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</si>
  <si>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</si>
  <si>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</si>
  <si>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</si>
  <si>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</si>
  <si>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</si>
  <si>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</si>
  <si>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</si>
  <si>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</si>
  <si>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</si>
  <si>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</si>
  <si>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</si>
  <si>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</si>
  <si>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</si>
  <si>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</si>
  <si>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</si>
  <si>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</si>
  <si>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</si>
  <si>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</si>
  <si>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</si>
  <si>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</si>
  <si>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</si>
  <si>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</si>
  <si>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</si>
  <si>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</si>
  <si>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</si>
  <si>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</si>
  <si>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</si>
  <si>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</si>
  <si>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</si>
  <si>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</si>
  <si>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</si>
  <si>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</si>
  <si>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</si>
  <si>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</si>
  <si>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</si>
  <si>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</si>
  <si>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</si>
  <si>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</si>
  <si>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</si>
  <si>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</si>
  <si>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</si>
  <si>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</si>
  <si>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</si>
  <si>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</si>
  <si>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 Travel-friendly.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</si>
  <si>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</si>
  <si>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</si>
  <si>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</si>
  <si>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</si>
  <si>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</si>
  <si>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</si>
  <si>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</si>
  <si>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</si>
  <si>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</si>
  <si>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</si>
  <si>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</si>
  <si>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</si>
  <si>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</si>
  <si>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</si>
  <si>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</si>
  <si>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“Hi”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</si>
  <si>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</si>
  <si>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</si>
  <si>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</si>
  <si>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</si>
  <si>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</si>
  <si>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</si>
  <si>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</si>
  <si>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</si>
  <si>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</si>
  <si>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</si>
  <si>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</si>
  <si>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</si>
  <si>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</si>
  <si>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</si>
  <si>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</si>
  <si>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 RO Purifier, Pre Filter, Installation accessories, user manual. Installation – You need to pay Up-to Rs. 500/- to the technician for installation|Auto Shut OFF - Fully automatic shut off function which automatically switched off the Machine when its water tanks get full</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</si>
  <si>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</si>
  <si>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</si>
  <si>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</si>
  <si>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</si>
  <si>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</si>
  <si>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</si>
  <si>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</si>
  <si>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</si>
  <si>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</si>
  <si>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</si>
  <si>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</si>
  <si>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</si>
  <si>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</si>
  <si>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</si>
  <si>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</si>
  <si>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</si>
  <si>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</si>
  <si>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</si>
  <si>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</si>
  <si>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</si>
  <si>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</si>
  <si>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</si>
  <si>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</si>
  <si>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</si>
  <si>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</si>
  <si>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</si>
  <si>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Parts&amp;Accessories</t>
  </si>
  <si>
    <t>FanParts&amp;Accessories</t>
  </si>
  <si>
    <t>For AC Outdoor Unit Wall Mounting|For Upto 1.0 / 1.5 / 2.0 Ton AC Outdoor Unit|Net Weight 3.2 KGS|Easy To Install and set up|Heavy Duty GI Steel , Weight Carrying utpo 150 Kgs</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</si>
  <si>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</si>
  <si>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</si>
  <si>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</si>
  <si>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</si>
  <si>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https://www.amazon.in/Induction-Cooktop-Overheat-Protection-Certified/dp/B0BL11S5QK/ref=sr_1_460?qid=1672923614&amp;s=kitchen&amp;sr=1-460</t>
  </si>
  <si>
    <t>B09BL2KHQW</t>
  </si>
  <si>
    <t>KENT POWP-Sediment Filter 10'' Thread WCAP</t>
  </si>
  <si>
    <t>Sediment filter 10 inch Kent</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</si>
  <si>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</si>
  <si>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</si>
  <si>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</si>
  <si>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 The medium or mini lint roller can be taken into your bag, the mini lint roller even can be easy taken into your pocket. You can finish remove hair work anywhere.</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</si>
  <si>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</si>
  <si>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</si>
  <si>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</si>
  <si>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</si>
  <si>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</si>
  <si>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</si>
  <si>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</si>
  <si>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</si>
  <si>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</si>
  <si>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</si>
  <si>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</si>
  <si>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</si>
  <si>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</si>
  <si>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</si>
  <si>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</si>
  <si>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</si>
  <si>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</si>
  <si>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</si>
  <si>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</si>
  <si>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</si>
  <si>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</si>
  <si>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</si>
  <si>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</si>
  <si>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</si>
  <si>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</si>
  <si>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</si>
  <si>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</si>
  <si>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</si>
  <si>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</si>
  <si>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</si>
  <si>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</si>
  <si>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</si>
  <si>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</si>
  <si>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</si>
  <si>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https://www.amazon.in/Crompton-Highspeed-Anti-Dust-Ceiling-Efficient/dp/B08WWKM5HQ/ref=sr_1_467?qid=1672923615&amp;s=kitchen&amp;sr=1-467</t>
  </si>
  <si>
    <t>B015GX9Y0W</t>
  </si>
  <si>
    <t>Lifelong LLWM105 750-Watt Belgian Waffle Maker for Home| Makes 2 Square Shape Waffles| Non-stick Plates| Easy to Use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</si>
  <si>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</si>
  <si>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</si>
  <si>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</si>
  <si>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</si>
  <si>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</si>
  <si>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</si>
  <si>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</si>
  <si>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</si>
  <si>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</si>
  <si>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</si>
  <si>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</si>
  <si>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 whether it’s dry, wet, fine or coarse dirt. For perfect wet and dry vacuum cleaning results with convenience and flexibility|The capacity of the wet and dry vacuum cleaner is 17 litres|Warranty: 1 year from the date of invoice|Power: 1000 watts; Operating voltage: 240 volts</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</si>
  <si>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</si>
  <si>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</si>
  <si>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</si>
  <si>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80ºC and 200ºC.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</si>
  <si>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</si>
  <si>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</si>
  <si>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</si>
  <si>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</si>
  <si>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</si>
  <si>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</si>
  <si>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https://www.amazon.in/AmazonBasics-400mm-Pedestal-Remote-White/dp/B07NPBG1B4/ref=sr_1_477?qid=1672923615&amp;s=kitchen&amp;sr=1-477</t>
  </si>
  <si>
    <t>B01MRARGBW</t>
  </si>
  <si>
    <t>Eco Crystal J 5 inch Cartridge (Pack of 2)</t>
  </si>
  <si>
    <t>removes dirt from water</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</si>
  <si>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</si>
  <si>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</si>
  <si>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</si>
  <si>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</si>
  <si>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</si>
  <si>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</si>
  <si>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</si>
  <si>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</si>
  <si>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</si>
  <si>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</si>
  <si>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</si>
  <si>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</si>
  <si>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</si>
  <si>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</si>
  <si>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</si>
  <si>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</si>
  <si>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VacuumAccessories</t>
  </si>
  <si>
    <t>Special Anti-Microbial(Biocide Treated) Paper Bag.|Used For Protection Against Bacteria,Fungus,Dust Mites and bad Odour.|Protects the motor by trapping the dirt inside them.|Pack of 10|Dimensions: 16 X 32 cm</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</si>
  <si>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</si>
  <si>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</si>
  <si>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</si>
  <si>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</si>
  <si>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</si>
  <si>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</si>
  <si>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</si>
  <si>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</si>
  <si>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</si>
  <si>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</si>
  <si>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</si>
  <si>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</si>
  <si>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</si>
  <si>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</si>
  <si>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</si>
  <si>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</si>
  <si>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</si>
  <si>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</si>
  <si>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</si>
  <si>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</si>
  <si>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</si>
  <si>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</si>
  <si>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</si>
  <si>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“waffle” into single serving portions. Great for families or on the go.|MINI IS MIGHTY: With a 4” nonstick cooking surface, this is a MUST-HAVE for that first apartment, smaller kitchen, college dorm, or camper/RV and stores easily in a kitchen cabinet or drawer.|MINI IS MIGHTY: With a 4”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</si>
  <si>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</si>
  <si>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</si>
  <si>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</si>
  <si>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</si>
  <si>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</si>
  <si>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</si>
  <si>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</si>
  <si>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</si>
  <si>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https://www.amazon.in/Electric-Handheld-BLACK-COFFEE-BEATER/dp/B0B8CB7MHW/ref=sr_1_491?qid=1672923617&amp;s=kitchen&amp;sr=1-491</t>
  </si>
  <si>
    <t>B07K19NYZ8</t>
  </si>
  <si>
    <t>Usha Hc 812 T Thermo Fan Room Heater</t>
  </si>
  <si>
    <t>Heat convector|Warranty for one year</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</si>
  <si>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</si>
  <si>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</si>
  <si>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</si>
  <si>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</si>
  <si>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</si>
  <si>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</si>
  <si>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</si>
  <si>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</si>
  <si>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</si>
  <si>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</si>
  <si>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</si>
  <si>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</si>
  <si>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</si>
  <si>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</si>
  <si>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</si>
  <si>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</si>
  <si>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</si>
  <si>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</si>
  <si>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</si>
  <si>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</si>
  <si>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</si>
  <si>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</si>
  <si>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</si>
  <si>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</si>
  <si>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</si>
  <si>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</si>
  <si>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</si>
  <si>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</si>
  <si>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https://www.amazon.in/Noir-Aqua-Spanner-Purifiers-cartridge/dp/B08L7J3T31/ref=sr_1_502?qid=1672923617&amp;s=kitchen&amp;sr=1-502</t>
  </si>
  <si>
    <t>B01M6453MB</t>
  </si>
  <si>
    <t>Prestige Delight PRWO Electric Rice Cooker (1 L, White)</t>
  </si>
  <si>
    <t>230 Volts, 400 watts, 1 Year</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</si>
  <si>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</si>
  <si>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</si>
  <si>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</si>
  <si>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</si>
  <si>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</si>
  <si>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</si>
  <si>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</si>
  <si>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</si>
  <si>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https://www.amazon.in/Havells-Ventilair-230mm-Exhaust-Grey/dp/B00J5DYCCA/ref=sr_1_505?qid=1672923617&amp;s=kitchen&amp;sr=1-505</t>
  </si>
  <si>
    <t>B01486F4G6</t>
  </si>
  <si>
    <t>Borosil Jumbo 1000-Watt Grill Sandwich Maker (Black)</t>
  </si>
  <si>
    <t>Brand-Borosil, Specification â€“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</si>
  <si>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https://www.amazon.in/Borosil-Jumbo-1000-Watt-Grill-Sandwich/dp/B01486F4G6/ref=sr_1_506?qid=1672923617&amp;s=kitchen&amp;sr=1-506</t>
  </si>
  <si>
    <t>title</t>
  </si>
  <si>
    <t>review</t>
  </si>
  <si>
    <t>titulo (tradução)</t>
  </si>
  <si>
    <t>avaliações (tradução)</t>
  </si>
  <si>
    <t>user_id</t>
  </si>
  <si>
    <t>user_name</t>
  </si>
  <si>
    <t>review_id</t>
  </si>
  <si>
    <t>review_title</t>
  </si>
  <si>
    <t>review_content</t>
  </si>
  <si>
    <t>img_link</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</si>
  <si>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</si>
  <si>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</si>
  <si>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</si>
  <si>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</si>
  <si>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</si>
  <si>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</si>
  <si>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</si>
  <si>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</si>
  <si>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</si>
  <si>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</si>
  <si>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</si>
  <si>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</si>
  <si>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</si>
  <si>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</si>
  <si>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</si>
  <si>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</si>
  <si>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</si>
  <si>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</si>
  <si>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</si>
  <si>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</si>
  <si>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</si>
  <si>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</si>
  <si>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</si>
  <si>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</si>
  <si>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</si>
  <si>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</si>
  <si>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</si>
  <si>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</si>
  <si>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wasn’t sure if it would work well with my iPhone 12 or whether it would impact my iPhone’s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doesn’t tangle easily and can withstand day-to-day usage.L-Shaped pin:This is very innovative by Portronics and it makes sure the cable doesn’t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</si>
  <si>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</si>
  <si>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</si>
  <si>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</si>
  <si>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</si>
  <si>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</si>
  <si>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</si>
  <si>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</si>
  <si>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</si>
  <si>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</si>
  <si>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</si>
  <si>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का केबल मेरे लिए बहुत ही लाभदायक है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</si>
  <si>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quality,1.5एम का डाटा केबल मेरे लिए बहुत ही लाभदायक है ।  मैं इस केबल को लाइन में चार्ज करते समय फोन बहुत आराम से उपयोग  कर पा रहा हु । आप इस केबल से 15watt का  चार्जर उसे कर सकते है (इससे जड़ा नही) । लोकल बाजार में इसका दाम 150 है ,  अमेजन पे ये केबल मुझे 67 में मिला । गर्व से कहो हम हिंदू है , जय हिंद जय भारत ,</t>
  </si>
  <si>
    <t>https://m.media-amazon.com/images/W/WEBP_402378-T2/images/I/41jlwEZpa5L._SX300_SY300_QL70_FMwebp_.jpg</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</si>
  <si>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</si>
  <si>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</si>
  <si>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</si>
  <si>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</si>
  <si>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</si>
  <si>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</si>
  <si>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</si>
  <si>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</si>
  <si>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</si>
  <si>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</si>
  <si>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 ★ ★ ★ ★Build Quality: ★ ★ ★ ★ ★Packaging:  ★ ★ ★ ★ ★Software:  ★ ★ ★ ★Speed:  ★ ★ ★ ★ ★Connectivity:  ★ ★ ★ ★ ★Experience:  ★ ★ ★ ★ ★Warranty:  ★ ★ ★ ★ ★Size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</si>
  <si>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</si>
  <si>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https://m.media-amazon.com/images/W/WEBP_402378-T2/images/I/31kj3q4SepL._SY445_SX342_QL70_FMwebp_.jpg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</si>
  <si>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</si>
  <si>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</si>
  <si>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</si>
  <si>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</si>
  <si>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money,பொருள் உடைய கடினத்தன்மையின் நன்றாக உள்ளது சார்ஜ் ஏறும் வேகம் 15wat,Not a fast charger.  Very slow charging with 65w.  L-shape pin is very useful.</t>
  </si>
  <si>
    <t>https://m.media-amazon.com/images/I/31dJ+lXJq3L._SY300_SX300_.jpg</t>
  </si>
  <si>
    <t>https://m.media-amazon.com/images/I/41SDfuK7L2L._SX300_SY300_QL70_FMwebp_.jpg</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</si>
  <si>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</si>
  <si>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</si>
  <si>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</si>
  <si>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</si>
  <si>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</si>
  <si>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</si>
  <si>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</si>
  <si>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</si>
  <si>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</si>
  <si>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</si>
  <si>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isn’t as good as the original cord but works. Fast charging and pretty sturdy,Worth it,So I had a faulty cable. I was lazy and have a lot of money so instead of calling Apple I bought this for like 300 bucks. Didn’t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</si>
  <si>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</si>
  <si>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</si>
  <si>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</si>
  <si>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</si>
  <si>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</si>
  <si>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that’s it, now it’s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</si>
  <si>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</si>
  <si>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</si>
  <si>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</si>
  <si>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</si>
  <si>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</si>
  <si>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👍👍,Best charging power . I used this cable on note 8 pro mi. Using 8month also fast working.,350 might be a little expensive but physically it’s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</si>
  <si>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</si>
  <si>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</si>
  <si>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</si>
  <si>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</si>
  <si>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</si>
  <si>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t>
  </si>
  <si>
    <t>https://m.media-amazon.com/images/I/51fmHk3km+L._SX300_SY300_.jpg</t>
  </si>
  <si>
    <t>https://m.media-amazon.com/images/I/41d84o5-M-L._SY445_SX342_QL70_FMwebp_.jpg</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</si>
  <si>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</si>
  <si>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</si>
  <si>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</si>
  <si>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transfer,ਮਜ਼ਬੂਤ,Good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</si>
  <si>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</si>
  <si>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</si>
  <si>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</si>
  <si>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</si>
  <si>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</si>
  <si>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</si>
  <si>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</si>
  <si>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</si>
  <si>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</si>
  <si>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</si>
  <si>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</si>
  <si>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</si>
  <si>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If ur looking for a cable close your eyes and go for it 🔥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</si>
  <si>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</si>
  <si>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</si>
  <si>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</si>
  <si>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</si>
  <si>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</si>
  <si>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</si>
  <si>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</si>
  <si>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</si>
  <si>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</si>
  <si>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</si>
  <si>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</si>
  <si>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</si>
  <si>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</si>
  <si>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</si>
  <si>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⚖️,indrajyoti d.,Aditya Kumar,E.C.GEORGE</t>
  </si>
  <si>
    <t>R3F4T5TRYPTMIG,R3DQIEC603E7AY,R1O4Z15FD40PV5,RDVX50PD4CTFE,R3H6WKG0TA5CGU,R3Q3L1KP5QWPV3,RU0LU2PAIIME,R20FTANBPFA653</t>
  </si>
  <si>
    <t>Worked on iPhone 7 and didn’t work on XR,Good one,Dull Physical Looks,Just Buy it,Go for it,About the product,Get charging cable at the price,Working well.</t>
  </si>
  <si>
    <t>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</si>
  <si>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</si>
  <si>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</si>
  <si>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</si>
  <si>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</si>
  <si>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</si>
  <si>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</si>
  <si>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</si>
  <si>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</si>
  <si>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</si>
  <si>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</si>
  <si>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</si>
  <si>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</si>
  <si>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</si>
  <si>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</si>
  <si>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</si>
  <si>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</si>
  <si>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</si>
  <si>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</si>
  <si>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</si>
  <si>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</si>
  <si>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</si>
  <si>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</si>
  <si>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supported,पैसा वसूल 🙂</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</si>
  <si>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</si>
  <si>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</si>
  <si>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</si>
  <si>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</si>
  <si>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</si>
  <si>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brand,It’s like original apple cable,One of the best wire ..,Super well build. Quality product worth the money,Good product</t>
  </si>
  <si>
    <t>Fast charging.,Cable seems to be of good quality, not used much as I keep it as backup in my car.,It’s good, sturdy &amp; durable!It supports fast charging!Only thing is it’s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</si>
  <si>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</si>
  <si>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</si>
  <si>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</si>
  <si>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</si>
  <si>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</si>
  <si>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</si>
  <si>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</si>
  <si>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</si>
  <si>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</si>
  <si>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</si>
  <si>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</si>
  <si>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</si>
  <si>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</si>
  <si>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</si>
  <si>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</si>
  <si>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</si>
  <si>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👍🏻,So far super,Good,Good but issues with design,Maine ₹99 me liya hai offer me or ye worth hai.</t>
  </si>
  <si>
    <t>The cable build quality is good for normal charging its great cable but doesn’t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</si>
  <si>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</si>
  <si>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</si>
  <si>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</si>
  <si>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</si>
  <si>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</si>
  <si>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</si>
  <si>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</si>
  <si>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</si>
  <si>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</si>
  <si>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</si>
  <si>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</si>
  <si>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</si>
  <si>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</si>
  <si>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AF477BP57JM7Z4JD4PYB2K33R6AQ,AGTDD34Y77OB36JNYQWQDN7MHECQ,AG7POKBSWQUO4VOYD4HDWYKMMJ4Q,AFZS6H2ZFJEJHRWIJ3IYL7V6KRPA,AHCYM2ECKI2MNOIDHDG4PT6IIN6A,AECZ4IP3TBM4EUG52BZAOQV3EKIA,AH6RQDXZYKAUPNBOYC4NAZERTFOQ,AFTVETL4HGH4KRUF4NXGJUEDPBAQ</t>
  </si>
  <si>
    <t>Placeholder,श्रीPKजी,Gauri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</si>
  <si>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</si>
  <si>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</si>
  <si>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t>
  </si>
  <si>
    <t>https://m.media-amazon.com/images/I/41wN7jooz0L._SX300_SY300_QL70_FMwebp_.jpg</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</si>
  <si>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</si>
  <si>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</si>
  <si>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</si>
  <si>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</si>
  <si>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</si>
  <si>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</si>
  <si>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</si>
  <si>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</si>
  <si>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</si>
  <si>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</si>
  <si>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</si>
  <si>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</si>
  <si>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“c”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</si>
  <si>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</si>
  <si>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</si>
  <si>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</si>
  <si>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</si>
  <si>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</si>
  <si>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It’s like you are hungry and food is in front of you but you can’t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didn’t arrive at very first day that was scheduled, even after rescheduling he didn’t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didn’t got the replacement for the product and it’s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 for picture quality, 3⭐ for both sound and remote quality,Good quality picture but it hangs on home screen</t>
  </si>
  <si>
    <t>https://m.media-amazon.com/images/I/51hQfTroMzL._SX300_SY300_QL70_FMwebp_.jpg</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</si>
  <si>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</si>
  <si>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</si>
  <si>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</si>
  <si>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</si>
  <si>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</si>
  <si>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</si>
  <si>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</si>
  <si>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</si>
  <si>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</si>
  <si>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</si>
  <si>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Satisfied...🙂,Good quality, and cheap price,Great for the price works with my usb mic fantastically well. Just I find the usb b side is a bit loose when compared to my original OEM cables.. I have ordered several pairs but all are same. At least for my mic. But it’s not too loose to be called unusable,Works with my Casio ct-x700 well,</t>
  </si>
  <si>
    <t>https://m.media-amazon.com/images/I/4101vlzySzL._SY300_SX300_QL70_FMwebp_.jpg</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</si>
  <si>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</si>
  <si>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</si>
  <si>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</si>
  <si>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</si>
  <si>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 If you want to get quick overview of the device, then read below else scroll down for Detailed Review ●●#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⭐⭐⭐⭐⭐-----------------------The processor in this Smart TV is powerful enough to play 4K 10bit HEVC videos right out of the box. VLC or MX player can be installed for enhanced media support.Picture Quality ⭐⭐⭐⭐⭐--------------------------Many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⭐⭐⭐⭐-----------------------------Minimalism is great. But minimalism with less functionality is not so great. Addition ofMute,TV Settings and Video input selection buttons would 've made the remote more functional.App support ⭐⭐⭐⭐⭐(Update)-----------------------When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🙁,Build quality good.sound and bass excellent.,Product is very good. Sound quality is crisp. Worth buying. I brought it 2 years back. Still working fine,Good quality</t>
  </si>
  <si>
    <t>https://m.media-amazon.com/images/I/41nsy8kxWUL._SY300_SX300_QL70_FMwebp_.jpg</t>
  </si>
  <si>
    <t>https://m.media-amazon.com/images/W/WEBP_402378-T1/images/I/41rB0DnVFmL._SX300_SY300_QL70_FMwebp_.jpg</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</si>
  <si>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</si>
  <si>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</si>
  <si>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</si>
  <si>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</si>
  <si>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</si>
  <si>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</si>
  <si>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https://m.media-amazon.com/images/I/31v7NnnAItL._SY445_SX342_QL70_FMwebp_.jpg</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</si>
  <si>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</si>
  <si>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</si>
  <si>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</si>
  <si>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</si>
  <si>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</si>
  <si>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</si>
  <si>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</si>
  <si>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</si>
  <si>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</si>
  <si>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</si>
  <si>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</si>
  <si>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</si>
  <si>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https://m.media-amazon.com/images/I/41bCxnHksnL._SY300_SX300_QL70_FMwebp_.jpg</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</si>
  <si>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</si>
  <si>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</si>
  <si>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</si>
  <si>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</si>
  <si>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</si>
  <si>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</si>
  <si>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</si>
  <si>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</si>
  <si>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</si>
  <si>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👍,Execellent,Sturdy micro USB cable for Old phones,Super,Product description says 3 feet it's hardly a foot length wire.,Good,Excellent quality cable</t>
  </si>
  <si>
    <t>ABOUT  AMAZONBASICS:xxxxxxxxxxxxxxxxxxxxxxxxxxxxxxAmazon Basics was launched in 2009 &amp; is Amazon’s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it’s cable size &amp; flexibility is almost tangle-free.The associated cable was not exactly thick but can’t be termed as thin or delicate too. It’s not the thickest I’ve seen but then thickest doesn’t always means most durable. Given my application it’s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</si>
  <si>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</si>
  <si>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</si>
  <si>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</si>
  <si>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</si>
  <si>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</si>
  <si>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</si>
  <si>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</si>
  <si>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https://m.media-amazon.com/images/W/WEBP_402378-T1/images/I/31iESA2h2gL._SY300_SX300_QL70_FMwebp_.jpg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</si>
  <si>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</si>
  <si>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</si>
  <si>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</si>
  <si>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costly,It’s really long n sturdy no homo 🔥,Takes longer to charge than the regular cable,Quality is really good,iPhone X pink charging cable long one ☝️,A good purchase,It charges fine for me,Absolutely fantastic USB👍👍👍</t>
  </si>
  <si>
    <t>It cost should be under Rs. 500,Buy it,Color is as per the photo but takes longer to charge. Also doesn’t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phone’s color. Although the metal ends of the cable was rose gold, but the whole cable was pink, which I didn’t like. I went for the 2m long cable so that i can use it conveniently even if it is charging. Though it’s kinda bulky, yet serves it’s purpose. Charging speed is fast and efficient just like the original cable had. Also quite durable and sturdy. My Apple’s original lighting cable had some problem while charging so I purchased this one after watching many YouTube videos and reviews. It was indeed a good purchase.,It’s long and good,It’s a superb product in terms of sturdiness, looks, and charging speed.</t>
  </si>
  <si>
    <t>https://m.media-amazon.com/images/I/31kw1RgU5yL._SX300_SY300_QL70_FMwebp_.jpg</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</si>
  <si>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</si>
  <si>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</si>
  <si>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</si>
  <si>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</si>
  <si>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</si>
  <si>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</si>
  <si>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</si>
  <si>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</si>
  <si>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</si>
  <si>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 👍 product,Good 👍🏻,Good,USB,Strong buid , study design , charging speed ☹️</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</si>
  <si>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</si>
  <si>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</si>
  <si>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</si>
  <si>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</si>
  <si>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</si>
  <si>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</si>
  <si>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</si>
  <si>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</si>
  <si>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https://m.media-amazon.com/images/I/41jxZkzNcnL._SX300_SY300_QL70_FMwebp_.jpg</t>
  </si>
  <si>
    <t>https://m.media-amazon.com/images/I/512YHGuR4RL._SX300_SY300_QL70_FMwebp_.jpg</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</si>
  <si>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</si>
  <si>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</si>
  <si>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</si>
  <si>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charger🤏,Expensive at this price,Multiple mobile can’t be charged at a time,THIS IS FAST CHARGING ON BOTH MY SAMSUNG PHONES AND IPHONE TOO. Go for it !!,Excellent quality!,CHARGING CABLE</t>
  </si>
  <si>
    <t>Good,Got a nice product,Quick not charger🤏,Cable is very good and looks durable but the pins quality are not good, infact iPhone pin keep coming out even with small movement, You can drive and charge simultaneously. Type C is good and the other pin is very hard to insert but workable.,This not a fast charger and can’t be used for data transfer. Multiple mobile can’t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</si>
  <si>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</si>
  <si>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</si>
  <si>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</si>
  <si>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</si>
  <si>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</si>
  <si>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product...👌👌👌,Better,Seems to fast charge at 2A , not tried anything higher, but its a very sturdy cable should last for a long time</t>
  </si>
  <si>
    <t>https://m.media-amazon.com/images/W/WEBP_402378-T1/images/I/31pQZsxPR4L._SX300_SY300_QL70_FMwebp_.jpg</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</si>
  <si>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</si>
  <si>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</si>
  <si>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</si>
  <si>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</si>
  <si>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</si>
  <si>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</si>
  <si>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</si>
  <si>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</si>
  <si>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</si>
  <si>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</si>
  <si>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</si>
  <si>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</si>
  <si>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</si>
  <si>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</si>
  <si>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</si>
  <si>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</si>
  <si>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</si>
  <si>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</si>
  <si>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</si>
  <si>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</si>
  <si>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</si>
  <si>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</si>
  <si>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</si>
  <si>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</si>
  <si>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</si>
  <si>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</si>
  <si>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</si>
  <si>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</si>
  <si>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t>
  </si>
  <si>
    <t>https://m.media-amazon.com/images/W/WEBP_402378-T2/images/I/41611VFTGwL._SY300_SX300_QL70_FMwebp_.jpg</t>
  </si>
  <si>
    <t>https://m.media-amazon.com/images/I/41eJqkFjCRL._SY300_SX300_QL70_FMwebp_.jpg</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</si>
  <si>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</si>
  <si>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</si>
  <si>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</si>
  <si>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</si>
  <si>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worth.,It’s easy to carry and the build quality is quite ok charging speed to almost equal to original oneGiving this review after 1 month usage,Great fit connector, l shaped connectors are convenient and better than some higher priced products.,good,Best product at this price range go for it🔥🔥🔥 and the software shows product will be genuine 🔥 most recommended braided cable for 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</si>
  <si>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</si>
  <si>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</si>
  <si>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</si>
  <si>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</si>
  <si>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</si>
  <si>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</si>
  <si>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</si>
  <si>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</si>
  <si>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</si>
  <si>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</si>
  <si>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</si>
  <si>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</si>
  <si>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</si>
  <si>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</si>
  <si>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</si>
  <si>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</si>
  <si>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</si>
  <si>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</si>
  <si>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</si>
  <si>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</si>
  <si>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</si>
  <si>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</si>
  <si>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</si>
  <si>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</si>
  <si>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</si>
  <si>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</si>
  <si>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</si>
  <si>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</si>
  <si>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👍,Best Alternative to Original Cable</t>
  </si>
  <si>
    <t>Working well and fast Charing as claimed. Pice is at highside. Good item.,Good working worth of money 💰,It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fast👍Good product 👍,Works for both DASH and WARP Charging. Good build quality.</t>
  </si>
  <si>
    <t>https://m.media-amazon.com/images/W/WEBP_402378-T2/images/I/41SNaWjuZWL._SX300_SY300_QL70_FMwebp_.jpg</t>
  </si>
  <si>
    <t>https://m.media-amazon.com/images/W/WEBP_402378-T2/images/I/41w1didcczL._SY300_SX300_QL70_FMwebp_.jpg</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</si>
  <si>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</si>
  <si>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</si>
  <si>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</si>
  <si>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 trustable…,Just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</si>
  <si>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</si>
  <si>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</si>
  <si>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</si>
  <si>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</si>
  <si>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</si>
  <si>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</si>
  <si>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</si>
  <si>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</si>
  <si>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</si>
  <si>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</si>
  <si>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</si>
  <si>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</si>
  <si>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</si>
  <si>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</si>
  <si>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</si>
  <si>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</si>
  <si>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</si>
  <si>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</si>
  <si>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t>
  </si>
  <si>
    <t>https://m.media-amazon.com/images/W/WEBP_402378-T1/images/I/31l-eZHBfKL._SX300_SY300_QL70_FMwebp_.jpg</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</si>
  <si>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</si>
  <si>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</si>
  <si>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</si>
  <si>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</si>
  <si>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</si>
  <si>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</si>
  <si>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</si>
  <si>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</si>
  <si>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</si>
  <si>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</si>
  <si>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</si>
  <si>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</si>
  <si>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</si>
  <si>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</si>
  <si>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</si>
  <si>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</si>
  <si>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</si>
  <si>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</si>
  <si>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</si>
  <si>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</si>
  <si>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Worked on iPhone 7 and didn’t work on iPhone XR,https://m.media-amazon.com/images/W/WEBP_402378-T2/images/I/71qFFAlV9ZL._SY88.jpg,Look-wise,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</si>
  <si>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</si>
  <si>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</si>
  <si>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</si>
  <si>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</si>
  <si>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</si>
  <si>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</si>
  <si>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</si>
  <si>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AHDJJLKORMH72SSEBWOVAKE66EHA,AHEONKS6KOZ4SIOZNOLYFGQBXU4A,AEUPILALWUFFD34CNWRYX4PFQKSA,AEKWBYGLEXUNRAJKVPO6HMF52W7A,AETM4APJU6TQILR5HKP3CSPYQL5A,AFOGCVLE7W7ZM5OW3XW7JXCNSIVA,AFLFHQMJXDKP4FNRZVNDLBCI7ULA,AGLH5KPYCT4MGPQ34MNWKLR6NXEA</t>
  </si>
  <si>
    <t>𝕵𝖆𝖙𝖎𝖓 𝕮𝖍𝖆𝖉𝖍𝖆,palpandia153,Arvind,Nithyadhakshina,Basha_Neerati,shaker,Amazon Customer,D Ravi</t>
  </si>
  <si>
    <t>R23CC5VDSVR49B,R1AWZE3731748T,R388KOR9TWPX5H,R2PLH1UHYDQWFA,R1B7Q58I1P83OY,R1C13PY8A3WUC5,RTEAGC48PIYAU,R2E0N8Q0ZQM9N9</t>
  </si>
  <si>
    <t>Good Stuff... Recommended!!!,Need better quality,एक मजबूत प्रोडक्ट है,Good,best buy of this cable,Best for,Tough,Nil</t>
  </si>
  <si>
    <t>Good Stuff... Recommended!!!,Need better quality for changing,Good product,I bought it 7 months. Ago it still working in good condition good 😊,good cable to by in budjet,The cable is of very good quality. Charging speed is good for my Redmi k20 pro which support 27 watt fast charging good thing is that the battery backup improved when charge with this cable I’m really surprise I observed this with many time as I test it with with original cable and result is the same. If this is in ur budget then just buy it don’t hesitate,Reliable, strong,Nil</t>
  </si>
  <si>
    <t>https://m.media-amazon.com/images/I/412XfBAEikL._SX300_SY300_QL70_FMwebp_.jpg</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</si>
  <si>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</si>
  <si>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</si>
  <si>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</si>
  <si>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</si>
  <si>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</si>
  <si>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</si>
  <si>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https://m.media-amazon.com/images/W/WEBP_402378-T2/images/I/51ovMTXv9RL._SX300_SY300_QL70_FMwebp_.jpg</t>
  </si>
  <si>
    <t>https://m.media-amazon.com/images/W/WEBP_402378-T1/images/I/41imW51RweL._SY300_SX300_QL70_FMwebp_.jpg</t>
  </si>
  <si>
    <t>https://m.media-amazon.com/images/I/41RVzq6GiIL._SY300_SX300_QL70_FMwebp_.jpg</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</si>
  <si>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</si>
  <si>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</si>
  <si>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</si>
  <si>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</si>
  <si>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</si>
  <si>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</si>
  <si>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</si>
  <si>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</si>
  <si>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</si>
  <si>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</si>
  <si>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</si>
  <si>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</si>
  <si>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</si>
  <si>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</si>
  <si>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https://m.media-amazon.com/images/I/51F6FClq10L._SX300_SY300_QL70_FMwebp_.jpg</t>
  </si>
  <si>
    <t>https://m.media-amazon.com/images/W/WEBP_402378-T1/images/I/4112nea7JlL._SX300_SY300_QL70_FMwebp_.jpg</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</si>
  <si>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</si>
  <si>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</si>
  <si>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</si>
  <si>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</si>
  <si>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👍,Value for money</t>
  </si>
  <si>
    <t>https://m.media-amazon.com/images/W/WEBP_402378-T1/images/I/31Uqr+A2THL._SY300_SX300_.jpg</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</si>
  <si>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</si>
  <si>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</si>
  <si>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</si>
  <si>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</si>
  <si>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</si>
  <si>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</si>
  <si>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</si>
  <si>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</si>
  <si>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</si>
  <si>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</si>
  <si>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</si>
  <si>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</si>
  <si>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</si>
  <si>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</si>
  <si>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</si>
  <si>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</si>
  <si>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</si>
  <si>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</si>
  <si>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</si>
  <si>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</si>
  <si>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</si>
  <si>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good,ठीक ठीक है</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</si>
  <si>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ever✅,Every thing ok,Good,क्वालिटी में अच्छा नहीं है पर सही चल रहा है।</t>
  </si>
  <si>
    <t>https://m.media-amazon.com/images/W/WEBP_402378-T1/images/I/41nGfip4QuS._SX300_SY300_QL70_FMwebp_.jpg</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</si>
  <si>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</si>
  <si>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</si>
  <si>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</si>
  <si>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</si>
  <si>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It’s compatible with all. It’s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I’m working at night.2) The cable is flat, which is like a double-edged sword. On one hand, it comes in handy when folding it on itself and redacting into the body. But when it’s not hidden and used with a laptop, with the adapter being visible, the flat cable folded sideways looks ugly.The product would’ve been a perfect 5/5 if TP Link didn’t make these strange design decisions. Hope this helps. Thanks.</t>
  </si>
  <si>
    <t>https://m.media-amazon.com/images/W/WEBP_402378-T1/images/I/219039qa+PL._SY300_SX300_.jpg</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</si>
  <si>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</si>
  <si>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</si>
  <si>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</si>
  <si>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</si>
  <si>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brick,Don’t buy if you have problem with loose pin…its pin is same as oroginal iPhone pin…but the wire quality is good…if you want to take for that…it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</si>
  <si>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</si>
  <si>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</si>
  <si>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</si>
  <si>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</si>
  <si>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</si>
  <si>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</si>
  <si>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</si>
  <si>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</si>
  <si>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</si>
  <si>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</si>
  <si>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</si>
  <si>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it’s surprisingly charge fast then the original one go for it. 🥹🥹✌️✌️,The color is also calming,Very nice,Good product for the price. Works well and charges fast.,Very nice.,Good product.. works fine and good quality product,Last time I bought a cable for 199 and it worked 8 months, this cable looked very fancy and didn't work for one month also.</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</si>
  <si>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</si>
  <si>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</si>
  <si>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</si>
  <si>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ভালই কাজ করছে, পয়সা উসুল।,Just what I wanted.. works perfect,Great 👍,Good,Works fine with my Samsung smart TV.,Works perfectly,Not OEM. But works as expected.,Its a good buy works</t>
  </si>
  <si>
    <t>এই রেপ্লিকা রিমোট সেট টা কাজ করছে। স্যামসাং এলইডি 4 সিরিজের টিভি।,I bought it forMy Samsung E4000 series LED TV. The remote works. I use it mostly to control volume and source and it does its work. Am happy with it.At first they had delivered one remote that didn’t work and then I got a replacement which works as expected. Thank you!,Great 👍,It’s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</si>
  <si>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</si>
  <si>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t>
  </si>
  <si>
    <t>https://m.media-amazon.com/images/W/WEBP_402378-T2/images/I/41GTMteNtdL._SX300_SY300_QL70_FMwebp_.jpg</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</si>
  <si>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</si>
  <si>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</si>
  <si>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</si>
  <si>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</si>
  <si>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product☑️,Good and convenient product for those who don’t want long dangling wires from their power banks😊,I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</si>
  <si>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</si>
  <si>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</si>
  <si>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</si>
  <si>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</si>
  <si>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</si>
  <si>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</si>
  <si>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</si>
  <si>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</si>
  <si>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</si>
  <si>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</si>
  <si>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</si>
  <si>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</si>
  <si>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</si>
  <si>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</si>
  <si>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</si>
  <si>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</si>
  <si>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</si>
  <si>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 It doesn't have default option to directly start on tata sky tv, we have to select hdmi option from input menu to select tata sky which one is plugged in.2•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</si>
  <si>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</si>
  <si>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</si>
  <si>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</si>
  <si>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</si>
  <si>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</si>
  <si>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</si>
  <si>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👌,The product is great but you might get scammed on Amazon,Very good 👍,Nice tv,Budget free</t>
  </si>
  <si>
    <t>Middle class family ke liye kafi achha he, ameer log kripya doori banaye rakhen, or galat review dene se bachen.😹😹😹,Sound quality is good 😊😊,Tv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</si>
  <si>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</si>
  <si>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https://m.media-amazon.com/images/W/WEBP_402378-T2/images/I/41jk4zYjTsL._SX300_SY300_QL70_FMwebp_.jpg</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</si>
  <si>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</si>
  <si>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</si>
  <si>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</si>
  <si>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 👍,Nice,It's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</si>
  <si>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</si>
  <si>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</si>
  <si>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https://m.media-amazon.com/images/W/WEBP_402378-T1/images/I/41+3EsgcpzL._SY300_SX300_.jpg</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</si>
  <si>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</si>
  <si>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</si>
  <si>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</si>
  <si>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</si>
  <si>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</si>
  <si>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</si>
  <si>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</si>
  <si>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</si>
  <si>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</si>
  <si>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</si>
  <si>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</si>
  <si>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</si>
  <si>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</si>
  <si>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</si>
  <si>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</si>
  <si>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</si>
  <si>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</si>
  <si>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</si>
  <si>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</si>
  <si>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</si>
  <si>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</si>
  <si>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</si>
  <si>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</si>
  <si>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</si>
  <si>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https://m.media-amazon.com/images/W/WEBP_402378-T1/images/I/41ipWb8mrKL._SX300_SY300_QL70_FMwebp_.jpg</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</si>
  <si>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</si>
  <si>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</si>
  <si>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</si>
  <si>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</si>
  <si>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 👍.,Product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</si>
  <si>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</si>
  <si>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</si>
  <si>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</si>
  <si>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</si>
  <si>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</si>
  <si>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</si>
  <si>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</si>
  <si>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</si>
  <si>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</si>
  <si>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</si>
  <si>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</si>
  <si>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tries,एक दम मस्त चलरहा है,https://m.media-amazon.com/images/I/61QADVOkXnL._SY88.jpg</t>
  </si>
  <si>
    <t>https://m.media-amazon.com/images/I/31-J+oOnb8L._SY300_SX300_.jpg</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</si>
  <si>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</si>
  <si>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</si>
  <si>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</si>
  <si>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</si>
  <si>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t>
  </si>
  <si>
    <t>https://m.media-amazon.com/images/I/41P2TNMG-hL._SY300_SX300_QL70_FMwebp_.jpg</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</si>
  <si>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</si>
  <si>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</si>
  <si>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</si>
  <si>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</si>
  <si>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</si>
  <si>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</si>
  <si>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https://m.media-amazon.com/images/I/41Om+JyC4iL._SX300_SY300_.jpg</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</si>
  <si>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</si>
  <si>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</si>
  <si>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</si>
  <si>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</si>
  <si>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</si>
  <si>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</si>
  <si>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</si>
  <si>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</si>
  <si>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</si>
  <si>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</si>
  <si>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</si>
  <si>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</si>
  <si>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</si>
  <si>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</si>
  <si>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</si>
  <si>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</si>
  <si>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👍👍👍,Value for money product is ok as per price,Good picture quality, sound as well</t>
  </si>
  <si>
    <t>https://m.media-amazon.com/images/I/51O93lUTxtL._SY300_SX300_QL70_FMwebp_.jpg</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</si>
  <si>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</si>
  <si>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</si>
  <si>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</si>
  <si>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me😊),Just works</t>
  </si>
  <si>
    <t>My LG smart 4K TV’s magic remote went kaput and since LG’s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</si>
  <si>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</si>
  <si>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</si>
  <si>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</si>
  <si>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</si>
  <si>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</si>
  <si>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</si>
  <si>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</si>
  <si>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https://m.media-amazon.com/images/W/WEBP_402378-T1/images/I/417QOjrqyBL._SY300_SX300_QL70_FMwebp_.jpg</t>
  </si>
  <si>
    <t>https://m.media-amazon.com/images/I/41Rd-jDNOmL._SY445_SX342_QL70_FMwebp_.jpg</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</si>
  <si>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</si>
  <si>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</si>
  <si>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</si>
  <si>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product,अच्छा है।,Nice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</si>
  <si>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</si>
  <si>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</si>
  <si>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</si>
  <si>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</si>
  <si>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</si>
  <si>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</si>
  <si>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  2 in 1 , budget product and durable,Good,I am not satisfied 🙈,Quality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</si>
  <si>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</si>
  <si>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</si>
  <si>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</si>
  <si>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</si>
  <si>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 battery health,Did not like,awesome product,Good</t>
  </si>
  <si>
    <t>https://m.media-amazon.com/images/I/71SaXlf9TZL._SY88.jpg,Small cable otherwise good,,I like the product.,Quality is good but after a month immediately I lose 9% of battery health so that’s why I stop using it,Not sturdy, cable will break in just weeks,i suggest this product,Nice</t>
  </si>
  <si>
    <t>https://m.media-amazon.com/images/I/31R8-XSK40L._SX342_SY445_QL70_FMwebp_.jpg</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</si>
  <si>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</si>
  <si>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</si>
  <si>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</si>
  <si>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</si>
  <si>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</si>
  <si>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</si>
  <si>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https://m.media-amazon.com/images/I/41gUqtvpULL._SX300_SY300_QL70_FMwebp_.jpg</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</si>
  <si>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</si>
  <si>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</si>
  <si>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</si>
  <si>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</si>
  <si>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</si>
  <si>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</si>
  <si>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</si>
  <si>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</si>
  <si>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</si>
  <si>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work,It’s Working</t>
  </si>
  <si>
    <t>The remote looks very similar to the original one. Doesn’t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sturdy.,It’s working but buttons are not good.</t>
  </si>
  <si>
    <t>https://m.media-amazon.com/images/W/WEBP_402378-T1/images/I/41hpz9rFbZL._SX300_SY300_QL70_FMwebp_.jpg</t>
  </si>
  <si>
    <t>https://m.media-amazon.com/images/I/41alINWQKXL._SX300_SY300_QL70_FMwebp_.jpg</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</si>
  <si>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</si>
  <si>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</si>
  <si>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</si>
  <si>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</si>
  <si>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</si>
  <si>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</si>
  <si>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https://m.media-amazon.com/images/W/WEBP_402378-T1/images/I/21jLkYGoSEL._SX300_SY300_QL70_FMwebp_.jpg</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</si>
  <si>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</si>
  <si>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</si>
  <si>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</si>
  <si>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</si>
  <si>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</si>
  <si>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</si>
  <si>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https://m.media-amazon.com/images/I/31Wb+A3VVdL._SY300_SX300_.jpg</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</si>
  <si>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</si>
  <si>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</si>
  <si>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</si>
  <si>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</si>
  <si>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</si>
  <si>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</si>
  <si>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</si>
  <si>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</si>
  <si>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</si>
  <si>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</si>
  <si>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doesn’t work properly.</t>
  </si>
  <si>
    <t>https://m.media-amazon.com/images/W/WEBP_402378-T2/images/I/41R3n7+taUL._SY300_SX300_.jpg</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</si>
  <si>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</si>
  <si>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</si>
  <si>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</si>
  <si>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</si>
  <si>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</si>
  <si>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</si>
  <si>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</si>
  <si>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</si>
  <si>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</si>
  <si>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</si>
  <si>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</si>
  <si>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</si>
  <si>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</si>
  <si>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</si>
  <si>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</si>
  <si>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</si>
  <si>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</si>
  <si>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</si>
  <si>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</si>
  <si>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</si>
  <si>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</si>
  <si>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</si>
  <si>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</si>
  <si>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</si>
  <si>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</si>
  <si>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</si>
  <si>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</si>
  <si>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</si>
  <si>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</si>
  <si>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</si>
  <si>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https://m.media-amazon.com/images/W/WEBP_402378-T1/images/I/419QKVTxaSL._SX300_SY300_QL70_FMwebp_.jpg</t>
  </si>
  <si>
    <t>https://m.media-amazon.com/images/W/WEBP_402378-T1/images/I/41+b6inZEkL._SX300_SY300_.jpg</t>
  </si>
  <si>
    <t>https://m.media-amazon.com/images/W/WEBP_402378-T1/images/I/21WhHd9leXL._SX300_SY300_QL70_FMwebp_.jpg</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</si>
  <si>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</si>
  <si>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</si>
  <si>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</si>
  <si>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</si>
  <si>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</si>
  <si>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</si>
  <si>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</si>
  <si>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</si>
  <si>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</si>
  <si>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</si>
  <si>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</si>
  <si>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</si>
  <si>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https://m.media-amazon.com/images/W/WEBP_402378-T2/images/I/21fnuilweNL._SY445_SX342_QL70_FMwebp_.jpg</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</si>
  <si>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</si>
  <si>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</si>
  <si>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</si>
  <si>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</si>
  <si>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it’s very helpful for their studies. Now students connect themselves more to the world.😊,I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</si>
  <si>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</si>
  <si>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</si>
  <si>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</si>
  <si>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</si>
  <si>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</si>
  <si>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👍,This is really a good quality cable , it’s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</si>
  <si>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</si>
  <si>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</si>
  <si>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</si>
  <si>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</si>
  <si>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</si>
  <si>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</si>
  <si>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</si>
  <si>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</si>
  <si>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</si>
  <si>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</si>
  <si>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</si>
  <si>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let’s see in few months. The sound quality is satisfactory. There is a reduction in sound which is expected during conversion anyway.  But considering the price it’s negligible. Overall a good buy. Will recommend this one especially for TV’s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</si>
  <si>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</si>
  <si>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</si>
  <si>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</si>
  <si>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</si>
  <si>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</si>
  <si>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</si>
  <si>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</si>
  <si>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https://m.media-amazon.com/images/I/41agXfR4tqL._SX300_SY300_QL70_FMwebp_.jpg</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</si>
  <si>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</si>
  <si>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</si>
  <si>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</si>
  <si>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</si>
  <si>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one….,Very good sturdy,I am using this in the car and work fine for far, writing this review after 2 weeks.,This cable charge as well transfer data without even any mfi certified,Very Happy with this one,my cable stopped working in a week.,Worth🌱,This material was good</t>
  </si>
  <si>
    <t>https://m.media-amazon.com/images/W/WEBP_402378-T2/images/I/313Ja+mXy6L._SY300_SX300_.jpg</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</si>
  <si>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</si>
  <si>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</si>
  <si>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</si>
  <si>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</si>
  <si>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</si>
  <si>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</si>
  <si>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</si>
  <si>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</si>
  <si>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</si>
  <si>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</si>
  <si>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</si>
  <si>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</si>
  <si>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https://m.media-amazon.com/images/I/41bkm5HhWsL._SY445_SX342_QL70_FMwebp_.jpg</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</si>
  <si>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</si>
  <si>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</si>
  <si>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</si>
  <si>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</si>
  <si>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</si>
  <si>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</si>
  <si>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</si>
  <si>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</si>
  <si>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</si>
  <si>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</si>
  <si>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</si>
  <si>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</si>
  <si>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</si>
  <si>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</si>
  <si>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</si>
  <si>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</si>
  <si>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</si>
  <si>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</si>
  <si>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</si>
  <si>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</si>
  <si>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</si>
  <si>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</si>
  <si>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I’m using this dongle with wifi5 and frankly, I did not notice a difference.,I just connect with my iPhone hotspot to pc nd it’s so nice very fast,Hello guys I bought this product from Amazon and it was a very fast delivery as It was easy installation  less than two Minutes  it gives the best signal of 5G and 4G so it won’t be hassle to install it’s the product for guys who don’t have Wi-Fi adapters in the systems. Also it it very Compact Product</t>
  </si>
  <si>
    <t>https://m.media-amazon.com/images/W/WEBP_402378-T1/images/I/31IdziegWVL._SX300_SY300_QL70_FMwebp_.jpg</t>
  </si>
  <si>
    <t>https://m.media-amazon.com/images/W/WEBP_402378-T2/images/I/41ECCMs7tjL._SY300_SX300_QL70_FMwebp_.jpg</t>
  </si>
  <si>
    <t>https://m.media-amazon.com/images/W/WEBP_402378-T2/images/I/414P4JCZY-L._SX300_SY300_QL70_FMwebp_.jpg</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</si>
  <si>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</si>
  <si>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</si>
  <si>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</si>
  <si>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</si>
  <si>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</si>
  <si>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</si>
  <si>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</si>
  <si>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</si>
  <si>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</si>
  <si>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</si>
  <si>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</si>
  <si>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</si>
  <si>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</si>
  <si>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</si>
  <si>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</si>
  <si>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</si>
  <si>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drivers.👍👍👍👍👍👍👍👍👍👍👍👍,good to work,Working fine till date,Good Product</t>
  </si>
  <si>
    <t>https://m.media-amazon.com/images/W/WEBP_402378-T2/images/I/31HMoFzGZjL._SY300_SX300_QL70_FMwebp_.jpg</t>
  </si>
  <si>
    <t>Worked on iPhone 7 and didn’t work on iPhone XR,https://m.media-amazon.com/images/W/WEBP_402378-T1/images/I/71qFFAlV9ZL._SY88.jpg,Look-wise,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</si>
  <si>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</si>
  <si>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https://m.media-amazon.com/images/I/41EhlNJ-v8L._SX300_SY300_QL70_FMwebp_.jpg</t>
  </si>
  <si>
    <t>https://m.media-amazon.com/images/I/31jSLNakA7L._SY445_SX342_QL70_FMwebp_.jpg</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</si>
  <si>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</si>
  <si>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</si>
  <si>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</si>
  <si>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</si>
  <si>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</si>
  <si>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</si>
  <si>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</si>
  <si>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</si>
  <si>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</si>
  <si>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</si>
  <si>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</si>
  <si>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</si>
  <si>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</si>
  <si>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</si>
  <si>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</si>
  <si>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</si>
  <si>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</si>
  <si>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</si>
  <si>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</si>
  <si>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</si>
  <si>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</si>
  <si>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</si>
  <si>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It’s not super fast like your regular iPhone charger but it does the job well. Compatible with portable charger also,Nice cable , length is very well good ,But charging speed is little bit slow otherwise good. Go for it😌,Writing after 2 years, it works amazing</t>
  </si>
  <si>
    <t>https://m.media-amazon.com/images/I/41vVXPCqnML._SX300_SY300_QL70_FMwebp_.jpg</t>
  </si>
  <si>
    <t>https://m.media-amazon.com/images/I/41JooboBmuL._SX300_SY300_QL70_FMwebp_.jpg</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</si>
  <si>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</si>
  <si>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</si>
  <si>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</si>
  <si>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😎,Gud data cabel....,Very good USB C TO USB C Cable .The one does not entangle to develop fold leading to cracks and cuts,Best,Rigid and high quality,Super durable,Great i have been using for 6 month</t>
  </si>
  <si>
    <t>Good product 👍🏻,Nice products and easy to use.very good quality and the product is very good 😊,,Simply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</si>
  <si>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</si>
  <si>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</si>
  <si>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</si>
  <si>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</si>
  <si>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</si>
  <si>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</si>
  <si>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</si>
  <si>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https://m.media-amazon.com/images/W/WEBP_402378-T1/images/I/514S7MylddL._SX300_SY300_QL70_FMwebp_.jpg</t>
  </si>
  <si>
    <t>https://m.media-amazon.com/images/I/417MtmtMOvL._SY445_SX342_QL70_FMwebp_.jpg</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</si>
  <si>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</si>
  <si>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</si>
  <si>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</si>
  <si>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</si>
  <si>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😌👍,very happy,Picture quality,Value for money product</t>
  </si>
  <si>
    <t>https://m.media-amazon.com/images/W/WEBP_402378-T1/images/I/41Q5zqyjWPL._SY300_SX300_QL70_FMwebp_.jpg</t>
  </si>
  <si>
    <t>https://m.media-amazon.com/images/W/WEBP_402378-T2/images/I/41CF6GtnpKL._SX300_SY300_QL70_FMwebp_.jpg</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</si>
  <si>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</si>
  <si>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</si>
  <si>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</si>
  <si>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</si>
  <si>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</si>
  <si>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</si>
  <si>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</si>
  <si>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</si>
  <si>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https://m.media-amazon.com/images/W/WEBP_402378-T1/images/I/41IAkUhz1NL._SY300_SX300_QL70_FMwebp_.jpg</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</si>
  <si>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</si>
  <si>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</si>
  <si>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</si>
  <si>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👍,Works fine with Vu smart TV,Good Product. Suitable for VU,Ok, Quality can be improved</t>
  </si>
  <si>
    <t>Not as good as the original remote, but does the job. Really happy with this product,Very light,Good one, working as expected.,Good product,Nice product.....👌 value for money,The quality of the buttons is average, but it does the job. Works fine with Vu smart TV.,Perfect fit for VU tv,Ok</t>
  </si>
  <si>
    <t>https://m.media-amazon.com/images/W/WEBP_402378-T2/images/I/316rtwd6jOL._SX300_SY300_QL70_FMwebp_.jpg</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</si>
  <si>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</si>
  <si>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</si>
  <si>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</si>
  <si>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</si>
  <si>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</si>
  <si>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</si>
  <si>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</si>
  <si>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</si>
  <si>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</si>
  <si>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</si>
  <si>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</si>
  <si>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</si>
  <si>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https://m.media-amazon.com/images/I/31s3DOD2d1L._SY445_SX342_QL70_FMwebp_.jpg</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</si>
  <si>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t>
  </si>
  <si>
    <t>https://m.media-amazon.com/images/W/WEBP_402378-T1/images/I/41jh12qGXuL._SX300_SY300_QL70_FMwebp_.jpg</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</si>
  <si>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</si>
  <si>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</si>
  <si>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</si>
  <si>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</si>
  <si>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Apple’s charging cable. This isn’t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</si>
  <si>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</si>
  <si>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</si>
  <si>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</si>
  <si>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</si>
  <si>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</si>
  <si>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</si>
  <si>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</si>
  <si>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</si>
  <si>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</si>
  <si>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</si>
  <si>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product,👌🏻Fit, 👍🏻cost wise, 👍🏻👍🏻material.,Wonderful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</si>
  <si>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</si>
  <si>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</si>
  <si>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</si>
  <si>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</si>
  <si>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</si>
  <si>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</si>
  <si>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</si>
  <si>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</si>
  <si>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</si>
  <si>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</si>
  <si>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</si>
  <si>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</si>
  <si>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 . . .. .,Fast response and good quality remote.</t>
  </si>
  <si>
    <t>https://m.media-amazon.com/images/W/WEBP_402378-T2/images/I/41qMoS4lfRL._SX300_SY300_QL70_FMwebp_.jpg</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</si>
  <si>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</si>
  <si>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</si>
  <si>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</si>
  <si>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</si>
  <si>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</si>
  <si>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</si>
  <si>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</si>
  <si>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</si>
  <si>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</si>
  <si>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👍,Good quality product my solve screen onn off,Ok,This cable support HDMI arc, but each time we have to select port in TV</t>
  </si>
  <si>
    <t>Perfect hdmi cable for boat soundbar and lg smart tv,This product is overpriced,Value for money &amp; good quality product,Quality product,Good 👍,Good quality,Good,It's ok to purchase for and as arc port</t>
  </si>
  <si>
    <t>https://m.media-amazon.com/images/W/WEBP_402378-T2/images/I/41k0WxE3sKS._SY445_SX342_QL70_FMwebp_.jpg</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</si>
  <si>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</si>
  <si>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</si>
  <si>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</si>
  <si>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</si>
  <si>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</si>
  <si>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</si>
  <si>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</si>
  <si>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</si>
  <si>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</si>
  <si>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</si>
  <si>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it,https://m.media-amazon.com/images/I/71R-NmGhkYL._SY88.jpg,,It’s a nice smart android television support all the web OTT platform,Nice ,product worth for the price</t>
  </si>
  <si>
    <t>https://m.media-amazon.com/images/I/51lDlqmDxQL._SY300_SX300_QL70_FMwebp_.jpg</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</si>
  <si>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</si>
  <si>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</si>
  <si>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</si>
  <si>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</si>
  <si>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</si>
  <si>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</si>
  <si>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</si>
  <si>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</si>
  <si>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</si>
  <si>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</si>
  <si>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fine.,It’s not a fast charger, infact the charging works only one side. Doesn’t work as a data cable as wel. Wouldn’t recommend if someone is looking for data + charging. One time usage product.,Liked the product alot. Value for money,Good Product</t>
  </si>
  <si>
    <t>https://m.media-amazon.com/images/W/WEBP_402378-T2/images/I/31xucq3GGyL._SX300_SY300_QL70_FMwebp_.jpg</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</si>
  <si>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</si>
  <si>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</si>
  <si>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</si>
  <si>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</si>
  <si>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</si>
  <si>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</si>
  <si>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</si>
  <si>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</si>
  <si>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</si>
  <si>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</si>
  <si>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I’m really satisfied with the purchase! ❤️,I will put a detailed review after a month. However at first glance, this product is worth for 6500 rupees you pay.,,I give 5 out of 5 star because resolution is 720p.,</t>
  </si>
  <si>
    <t>https://m.media-amazon.com/images/I/41p+lllC3HL._SY300_SX300_.jpg</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</si>
  <si>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</si>
  <si>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</si>
  <si>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</si>
  <si>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</si>
  <si>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</si>
  <si>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</si>
  <si>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https://m.media-amazon.com/images/I/41WuKPTQhTL._SY300_SX300_QL70_FMwebp_.jpg</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</si>
  <si>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</si>
  <si>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</si>
  <si>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</si>
  <si>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</si>
  <si>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It’s durable and charging power is also good.Recommended👍</t>
  </si>
  <si>
    <t>https://m.media-amazon.com/images/I/31f4cZdDnJL._SX300_SY300_QL70_FMwebp_.jpg</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</si>
  <si>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</si>
  <si>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</si>
  <si>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</si>
  <si>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</si>
  <si>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fragile.,👌,Good,मैंने tata play का remote मंगवाया था. पर वो काम नहीं कर रहा था. फिर रिटर्न के लिए apply किया. आज 19 दिन हो गए ना ही remote मिला और ना ही refund.,Very prompt replacement of the defective Remote for TV</t>
  </si>
  <si>
    <t>https://m.media-amazon.com/images/I/31QdoA5bJAL._SX300_SY300_QL70_FMwebp_.jpg</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</si>
  <si>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</si>
  <si>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</si>
  <si>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</si>
  <si>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</si>
  <si>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good,,Good,अच्छा,Only for home drama and cinema experienceGood to buy in this price rangeReview after two months its working fine without any issues,</t>
  </si>
  <si>
    <t>https://m.media-amazon.com/images/I/41YDz0uQZaL._SY300_SX300_QL70_FMwebp_.jpg</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</si>
  <si>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</si>
  <si>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</si>
  <si>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</si>
  <si>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</si>
  <si>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</si>
  <si>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</si>
  <si>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</si>
  <si>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</si>
  <si>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</si>
  <si>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</si>
  <si>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</si>
  <si>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</si>
  <si>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</si>
  <si>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</si>
  <si>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</si>
  <si>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</si>
  <si>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</si>
  <si>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</si>
  <si>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</si>
  <si>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</si>
  <si>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</si>
  <si>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</si>
  <si>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 used it for a week but it was performing the same</t>
  </si>
  <si>
    <t>https://m.media-amazon.com/images/I/41ovRStbxUL._SX300_SY300_QL70_FMwebp_.jpg</t>
  </si>
  <si>
    <t>https://m.media-amazon.com/images/I/41eHLj-wfGL._SX300_SY300_QL70_FMwebp_.jpg</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</si>
  <si>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</si>
  <si>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</si>
  <si>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</si>
  <si>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</si>
  <si>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</si>
  <si>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</si>
  <si>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</si>
  <si>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</si>
  <si>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</si>
  <si>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</si>
  <si>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</si>
  <si>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</si>
  <si>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</si>
  <si>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</si>
  <si>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</si>
  <si>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</si>
  <si>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 My Buddy k3 • Brillo 3 • Power Plate 7 • Mobot one • Clamp M •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</si>
  <si>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</si>
  <si>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</si>
  <si>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</si>
  <si>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</si>
  <si>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</si>
  <si>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</si>
  <si>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</si>
  <si>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</si>
  <si>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</si>
  <si>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</si>
  <si>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</si>
  <si>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</si>
  <si>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</si>
  <si>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</si>
  <si>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</si>
  <si>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</si>
  <si>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</si>
  <si>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 am writing this after 2 months usage… simply super product… should go blindly…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</si>
  <si>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</si>
  <si>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</si>
  <si>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</si>
  <si>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</si>
  <si>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</si>
  <si>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</si>
  <si>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</si>
  <si>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</si>
  <si>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</si>
  <si>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</si>
  <si>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</si>
  <si>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months,Boat💕,Nice product,Worth a buy,Really satisfying quality and product is still working fine.,Worth itSame as original,Not worthy,Thik aaw</t>
  </si>
  <si>
    <t>https://m.media-amazon.com/images/I/41VKU5Lkg3L._SX300_SY300_QL70_FMwebp_.jpg</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</si>
  <si>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</si>
  <si>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</si>
  <si>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</si>
  <si>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</si>
  <si>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</si>
  <si>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</si>
  <si>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</si>
  <si>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</si>
  <si>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</si>
  <si>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</si>
  <si>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</si>
  <si>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</si>
  <si>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</si>
  <si>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</si>
  <si>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</si>
  <si>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💰,Display and build,Good Sound and pictures,Good product 👍,Good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</si>
  <si>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</si>
  <si>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</si>
  <si>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</si>
  <si>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</si>
  <si>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</si>
  <si>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👍,Sound quality not good,Appropriate,Good</t>
  </si>
  <si>
    <t>It’s doesn’t support Alexa (What is mentioned in product description, it’s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</si>
  <si>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</si>
  <si>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</si>
  <si>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</si>
  <si>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</si>
  <si>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</si>
  <si>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get👍👍,No syncing needed, just put batteries in and use it</t>
  </si>
  <si>
    <t>https://m.media-amazon.com/images/I/4173mQ7F-mL._SX300_SY300_QL70_FMwebp_.jpg</t>
  </si>
  <si>
    <t>https://m.media-amazon.com/images/W/WEBP_402378-T2/images/I/31q4l5k9uOL._SX300_SY300_QL70_FMwebp_.jpg</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</si>
  <si>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</si>
  <si>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</si>
  <si>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</si>
  <si>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</si>
  <si>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</si>
  <si>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</si>
  <si>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</si>
  <si>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</si>
  <si>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</si>
  <si>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can’t find the original this comes handy.,No voice communication,Acceptable for the price,Bad finish, but good product,No,voice recognition is not available,Nice Remote,worked find keys are hard</t>
  </si>
  <si>
    <t>Just got delivered, there’s lag in remote, it takes like 2-3 secs after pressing the remote key.Like I said, when you can’t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</si>
  <si>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</si>
  <si>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</si>
  <si>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</si>
  <si>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</si>
  <si>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</si>
  <si>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</si>
  <si>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</si>
  <si>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</si>
  <si>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</si>
  <si>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</si>
  <si>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</si>
  <si>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descriptionIt’s not 6ft cable,Better to use original item,Just bought it so not sure of durability or sturdiness but it was very cheap and so wasn’t sure how good will it work but it works perfectly fine</t>
  </si>
  <si>
    <t>https://m.media-amazon.com/images/W/WEBP_402378-T2/images/I/41FQPJ+s61L._SX342_SY445_.jpg</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</si>
  <si>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</si>
  <si>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</si>
  <si>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</si>
  <si>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</si>
  <si>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</si>
  <si>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</si>
  <si>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https://m.media-amazon.com/images/W/WEBP_402378-T2/images/I/31VemHkewfL._SX300_SY300_QL70_FMwebp_.jpg</t>
  </si>
  <si>
    <t>https://m.media-amazon.com/images/I/41etMsrKqTL._SX300_SY300_QL70_FMwebp_.jpg</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</si>
  <si>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</si>
  <si>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</si>
  <si>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</si>
  <si>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</si>
  <si>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</si>
  <si>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</si>
  <si>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</si>
  <si>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</si>
  <si>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</si>
  <si>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</si>
  <si>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</si>
  <si>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</si>
  <si>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</si>
  <si>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</si>
  <si>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</si>
  <si>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</si>
  <si>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Can’t comment on durability in 3 days but as of now I am happy with this purchase.</t>
  </si>
  <si>
    <t>https://m.media-amazon.com/images/W/WEBP_402378-T2/images/I/41rEpW57SyL._SX300_SY300_QL70_FMwebp_.jpg</t>
  </si>
  <si>
    <t>https://m.media-amazon.com/images/I/317rlQQXhYL._SX300_SY300_QL70_FMwebp_.jpg</t>
  </si>
  <si>
    <t>https://m.media-amazon.com/images/W/WEBP_402378-T1/images/I/41pOYlC-U8L._SX300_SY300_QL70_FMwebp_.jpg</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</si>
  <si>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</si>
  <si>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</si>
  <si>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</si>
  <si>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</si>
  <si>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didn’t expect from Croma,Durable and fast,I couldn't connect it to Samsung mobile,Fast charge</t>
  </si>
  <si>
    <t>https://m.media-amazon.com/images/I/31qs7auuBKL._SY445_SX342_QL70_FMwebp_.jpg</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</si>
  <si>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</si>
  <si>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</si>
  <si>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</si>
  <si>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</si>
  <si>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don’t wish to purchase a sound bar, go for this model. The picture quality is beautiful, works with apple play, it’s a win win. I got the 43” for my bedroom on a great offer. And yeah, it’s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</si>
  <si>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</si>
  <si>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</si>
  <si>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</si>
  <si>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</si>
  <si>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</si>
  <si>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 product quality is very good Thanks 😊💯,Nice product,It works only when you are one feet away from TV. Doesn't serve the purpose.in one word it do not know the meaning of word remote</t>
  </si>
  <si>
    <t>https://m.media-amazon.com/images/I/31x9nSr-rqL._SY300_SX300_QL70_FMwebp_.jpg</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</si>
  <si>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</si>
  <si>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</si>
  <si>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</si>
  <si>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</si>
  <si>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</si>
  <si>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</si>
  <si>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</si>
  <si>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</si>
  <si>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</si>
  <si>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</si>
  <si>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</si>
  <si>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</si>
  <si>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https://m.media-amazon.com/images/W/WEBP_402378-T1/images/I/31-ACQj+oDL._SY445_SX342_.jpg</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</si>
  <si>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</si>
  <si>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</si>
  <si>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</si>
  <si>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</si>
  <si>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</si>
  <si>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</si>
  <si>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https://m.media-amazon.com/images/W/WEBP_402378-T2/images/I/41pdZIhY+gL._SY300_SX300_.jpg</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</si>
  <si>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</si>
  <si>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</si>
  <si>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</si>
  <si>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</si>
  <si>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</si>
  <si>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</si>
  <si>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https://m.media-amazon.com/images/W/WEBP_402378-T1/images/I/31mfWNStU9L._SX300_SY300_QL70_FMwebp_.jpg</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</si>
  <si>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</si>
  <si>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</si>
  <si>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</si>
  <si>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</si>
  <si>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it’s comparatively looks more durability than other brands normally other brands are worn out with in a year and I tested product there’s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</si>
  <si>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</si>
  <si>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</si>
  <si>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</si>
  <si>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</si>
  <si>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</si>
  <si>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</si>
  <si>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</si>
  <si>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https://m.media-amazon.com/images/W/WEBP_402378-T1/images/I/41DXzzwydTL._SX300_SY300_QL70_FMwebp_.jpg</t>
  </si>
  <si>
    <t>https://m.media-amazon.com/images/W/WEBP_402378-T2/images/I/31vIaLbBXmL._SY445_SX342_QL70_FMwebp_.jpg</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</si>
  <si>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</si>
  <si>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</si>
  <si>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</si>
  <si>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</si>
  <si>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doesn’t have pointer option,Not working properly,Best option to buy since it's hard to get replacement of OLED tv remote....</t>
  </si>
  <si>
    <t>https://m.media-amazon.com/images/W/WEBP_402378-T2/images/I/315sEpeo50L._SX300_SY300_QL70_FMwebp_.jpg</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</si>
  <si>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</si>
  <si>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</si>
  <si>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</si>
  <si>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</si>
  <si>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</si>
  <si>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</si>
  <si>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https://m.media-amazon.com/images/W/WEBP_402378-T1/images/I/515t5K7hdqL._SY300_SX300_QL70_FMwebp_.jpg</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</si>
  <si>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</si>
  <si>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</si>
  <si>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</si>
  <si>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</si>
  <si>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</si>
  <si>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</si>
  <si>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</si>
  <si>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</si>
  <si>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</si>
  <si>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</si>
  <si>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</si>
  <si>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</si>
  <si>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</si>
  <si>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</si>
  <si>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</si>
  <si>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</si>
  <si>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</si>
  <si>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</si>
  <si>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</si>
  <si>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</si>
  <si>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</si>
  <si>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</si>
  <si>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</si>
  <si>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</si>
  <si>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https://m.media-amazon.com/images/I/51aFoI9nNZL._SY300_SX300_QL70_FMwebp_.jpg</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</si>
  <si>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</si>
  <si>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</si>
  <si>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</si>
  <si>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</si>
  <si>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</si>
  <si>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</si>
  <si>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https://m.media-amazon.com/images/W/WEBP_402378-T1/images/I/41+tGYXUN8L._SX342_SY445_.jpg</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</si>
  <si>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</si>
  <si>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</si>
  <si>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</si>
  <si>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it’s so good,Not bad ok,Very good👍👍,Very Nice</t>
  </si>
  <si>
    <t>Tv is good in this price range,It's an excellent product for this price range,Good,Picture quality is good,Amazing product sound quality is okay and smart features is little bit slow but it’s okay overall ✅ love this product,Ok super work,Good product,</t>
  </si>
  <si>
    <t>https://m.media-amazon.com/images/W/WEBP_402378-T2/images/I/51HNUsgY29L._SY300_SX300_QL70_FMwebp_.jpg</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</si>
  <si>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</si>
  <si>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</si>
  <si>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</si>
  <si>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</si>
  <si>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</si>
  <si>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</si>
  <si>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</si>
  <si>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</si>
  <si>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</si>
  <si>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😞😞,Remote very 👎 bad,Doesn’t works at all, material quality isn’t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</si>
  <si>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it.😡,Very bad product never connect only,https://m.media-amazon.com/images/W/WEBP_402378-T1/images/I/819V40EpT2L._SY88.jpg,No bluetooth</t>
  </si>
  <si>
    <t>https://m.media-amazon.com/images/W/WEBP_402378-T1/images/I/31GCzAA+FyL._SY300_SX300_.jpg</t>
  </si>
  <si>
    <t>https://m.media-amazon.com/images/W/WEBP_402378-T1/images/I/41Y9XnzBHTL._SY300_SX300_QL70_FMwebp_.jpg</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</si>
  <si>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</si>
  <si>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</si>
  <si>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</si>
  <si>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</si>
  <si>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</si>
  <si>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</si>
  <si>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https://m.media-amazon.com/images/W/WEBP_402378-T2/images/I/41giUEJJGDL._SY300_SX300_QL70_FMwebp_.jpg</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</si>
  <si>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</si>
  <si>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</si>
  <si>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</si>
  <si>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</si>
  <si>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</si>
  <si>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</si>
  <si>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</si>
  <si>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</si>
  <si>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</si>
  <si>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</si>
  <si>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👍,Best Smart TV. Worth able price for the product.But Installation is poor.</t>
  </si>
  <si>
    <t>https://m.media-amazon.com/images/W/WEBP_402378-T2/images/I/51iQQPQSiGL._SX300_SY300_QL70_FMwebp_.jpg</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</si>
  <si>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</si>
  <si>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</si>
  <si>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</si>
  <si>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</si>
  <si>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</si>
  <si>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</si>
  <si>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</si>
  <si>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</si>
  <si>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</si>
  <si>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</si>
  <si>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</si>
  <si>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</si>
  <si>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https://m.media-amazon.com/images/W/WEBP_402378-T2/images/I/51dOjIreG4L._SX300_SY300_QL70_FMwebp_.jpg</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</si>
  <si>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</si>
  <si>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</si>
  <si>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</si>
  <si>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</si>
  <si>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</si>
  <si>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</si>
  <si>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cable,😂,Best for this price,Good one</t>
  </si>
  <si>
    <t>https://m.media-amazon.com/images/W/WEBP_402378-T2/images/I/31XFe74gRjL._SX300_SY300_QL70_FMwebp_.jpg</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</si>
  <si>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</si>
  <si>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</si>
  <si>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</si>
  <si>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</si>
  <si>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</si>
  <si>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</si>
  <si>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</si>
  <si>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</si>
  <si>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</si>
  <si>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</si>
  <si>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</si>
  <si>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</si>
  <si>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</si>
  <si>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</si>
  <si>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</si>
  <si>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</si>
  <si>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</si>
  <si>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</si>
  <si>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https://m.media-amazon.com/images/W/WEBP_402378-T1/images/I/41AUgZQAs5L._SX300_SY300_QL70_FMwebp_.jpg</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</si>
  <si>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</si>
  <si>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</si>
  <si>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</si>
  <si>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</si>
  <si>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</si>
  <si>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</si>
  <si>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</si>
  <si>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</si>
  <si>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</si>
  <si>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</si>
  <si>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</si>
  <si>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</si>
  <si>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</si>
  <si>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</si>
  <si>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</si>
  <si>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</si>
  <si>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brand….,,Nice,TV picture clarity is good added with Google interface it gives good user experience,https://m.media-amazon.com/images/I/71aTqzdBRdL._SY88.jpg</t>
  </si>
  <si>
    <t>https://m.media-amazon.com/images/I/41uqZs26+oL._SY300_SX300_.jpg</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</si>
  <si>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</si>
  <si>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</si>
  <si>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</si>
  <si>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👍,Best the hdmi cable,Exactly as discribed, enchanced Quality</t>
  </si>
  <si>
    <t>As mention in description, its awesome.,Nice,Good lengthy with good Metalic body on jack side., Difference can't find with older cable.,Great Stuff and superb quality,Good product,Nice 👍,I am like the hdmi cable,</t>
  </si>
  <si>
    <t>https://m.media-amazon.com/images/I/41+BBk2fGcL._SX342_SY445_.jpg</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</si>
  <si>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</si>
  <si>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</si>
  <si>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</si>
  <si>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</si>
  <si>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</si>
  <si>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</si>
  <si>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</si>
  <si>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</si>
  <si>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</si>
  <si>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</si>
  <si>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</si>
  <si>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</si>
  <si>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</si>
  <si>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</si>
  <si>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</si>
  <si>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</si>
  <si>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</si>
  <si>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</si>
  <si>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</si>
  <si>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</si>
  <si>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</si>
  <si>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</si>
  <si>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</si>
  <si>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</si>
  <si>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</si>
  <si>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</si>
  <si>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</si>
  <si>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</si>
  <si>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</si>
  <si>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</si>
  <si>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</si>
  <si>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</si>
  <si>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</si>
  <si>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Nice,सानदार है,Received damaged product,Good quality product,It's very good.,101% fake lava usb,Average product,Costless</t>
  </si>
  <si>
    <t>Amazing,बहुत ही सुन्दर है,Received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</si>
  <si>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</si>
  <si>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https://m.media-amazon.com/images/I/51aZN040THL._SX300_SY300_QL70_FMwebp_.jpg</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</si>
  <si>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</si>
  <si>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</si>
  <si>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</si>
  <si>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</si>
  <si>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</si>
  <si>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</si>
  <si>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</si>
  <si>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</si>
  <si>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</si>
  <si>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</si>
  <si>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</si>
  <si>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</si>
  <si>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</si>
  <si>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</si>
  <si>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</si>
  <si>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</si>
  <si>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</si>
  <si>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</si>
  <si>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</si>
  <si>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</si>
  <si>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</si>
  <si>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</si>
  <si>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</si>
  <si>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</si>
  <si>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</si>
  <si>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</si>
  <si>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</si>
  <si>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</si>
  <si>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</si>
  <si>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</si>
  <si>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</si>
  <si>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</si>
  <si>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</si>
  <si>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</si>
  <si>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</si>
  <si>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</si>
  <si>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</si>
  <si>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</si>
  <si>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</si>
  <si>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</si>
  <si>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</si>
  <si>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</si>
  <si>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</si>
  <si>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</si>
  <si>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</si>
  <si>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</si>
  <si>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</si>
  <si>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https://m.media-amazon.com/images/I/41bO-mGKk+L._SY300_SX300_.jpg</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</si>
  <si>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</si>
  <si>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</si>
  <si>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</si>
  <si>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</si>
  <si>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</si>
  <si>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</si>
  <si>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</si>
  <si>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</si>
  <si>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</si>
  <si>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☺️,Don't buy</t>
  </si>
  <si>
    <t>The product is over all good, jus the headphone adjustment gets stuck, hence not that great sound bt it's good thou.,Very nice product 👍,Overall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</si>
  <si>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</si>
  <si>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</si>
  <si>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</si>
  <si>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</si>
  <si>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</si>
  <si>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</si>
  <si>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</si>
  <si>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</si>
  <si>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</si>
  <si>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</si>
  <si>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</si>
  <si>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</si>
  <si>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</si>
  <si>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</si>
  <si>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</si>
  <si>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</si>
  <si>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👌,Price very high,Value for money,Perfect Snug Fit,Must buy,Nice,It's a good and solid fit</t>
  </si>
  <si>
    <t>Cover is perfect size wise and it's exactly same as shown in picture.u can go for it.,Best product and best fitting for remoteValue for moneySoft materials niceI recommend this product👌⭐️⭐️⭐️⭐️Thanks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t>
  </si>
  <si>
    <t>https://m.media-amazon.com/images/W/WEBP_402378-T1/images/I/213GZPC7uwL._SX300_SY300_QL70_FMwebp_.jpg</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</si>
  <si>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</si>
  <si>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</si>
  <si>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</si>
  <si>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</si>
  <si>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  2ml-short-in my90ml;for the rest of us, just order!,Very good</t>
  </si>
  <si>
    <t>https://m.media-amazon.com/images/W/WEBP_402378-T2/images/I/31WPRa-K7GL._SY445_SX342_QL70_FMwebp_.jpg</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</si>
  <si>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</si>
  <si>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</si>
  <si>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</si>
  <si>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</si>
  <si>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</si>
  <si>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</si>
  <si>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</si>
  <si>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</si>
  <si>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</si>
  <si>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</si>
  <si>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</si>
  <si>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</si>
  <si>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</si>
  <si>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</si>
  <si>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</si>
  <si>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</si>
  <si>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</si>
  <si>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</si>
  <si>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</si>
  <si>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</si>
  <si>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</si>
  <si>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</si>
  <si>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</si>
  <si>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</si>
  <si>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</si>
  <si>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</si>
  <si>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</si>
  <si>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</si>
  <si>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don’t buy this MI TV and especially from Amazon/this seller (Sold by Cloudtail India and Fulfilled by Amazon).If you have patience and able to understand normal English(I don’t have writing skills to share exactly my feelings/pain) then please go through my following experience/feedback to know why I said Don’t buy it.Don’t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it’s not delivered safely.This TV came for home delivery in Troalley Auto without proper placement/safety, asked delivery person why alone kept it while coming due to up and downs of road it may fly right. He didn’t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</si>
  <si>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</si>
  <si>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</si>
  <si>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</si>
  <si>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</si>
  <si>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</si>
  <si>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</si>
  <si>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</si>
  <si>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</si>
  <si>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</si>
  <si>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</si>
  <si>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</si>
  <si>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price,చాలా బాగుంది కానీ యుాస్ బి పోర్ట్స్ లోపల కాకుండా బయటికి ఇస్తే బాగుంటుంది మరియు గుాగుల్ క్రోమ్ ఇన్ బుల్ట్ గా ఇస్తే బాగుంటుంది</t>
  </si>
  <si>
    <t>https://m.media-amazon.com/images/I/51UuhCYmBnL._SY300_SX300_QL70_FMwebp_.jpg</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</si>
  <si>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</si>
  <si>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</si>
  <si>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</si>
  <si>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</si>
  <si>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</si>
  <si>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</si>
  <si>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https://m.media-amazon.com/images/I/41sSPp4pkYL._SY300_SX300_QL70_FMwebp_.jpg</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</si>
  <si>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</si>
  <si>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</si>
  <si>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</si>
  <si>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</si>
  <si>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</si>
  <si>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</si>
  <si>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https://m.media-amazon.com/images/W/WEBP_402378-T2/images/I/41xL87ElgjL._SY300_SX300_QL70_FMwebp_.jpg</t>
  </si>
  <si>
    <t>https://m.media-amazon.com/images/I/31FmMK7a9PL._SY445_SX342_QL70_FMwebp_.jpg</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</si>
  <si>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</si>
  <si>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</si>
  <si>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</si>
  <si>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small,ನೀವು ಕಳುಹಿಸಿದ ವಸ್ತು ಸರಿಯಾಗಿ ಕೆಲಸ ಮಾಡುತ್ತಿಲ,Sturdy,Good,Works perfectly with Airtel HD set up box,Item is value for money.,,On Off button doesn’t work.</t>
  </si>
  <si>
    <t>Working fine with Airtel DTH but the quality is cheap, it's not strong,Earlier airtel tv remotes had larger keys which were easy to navigate. Wish airtel could make that happen.,ನೀವು ಕಳಿಸಿರುವ ವಸ್ತು ಸರಿಯಾಗಿ ಕೆಲಸ ಮಾಡುತ್ತಿಲ ಈಗಾಗಲೇ ನಾವು ಒಂದು ಬಾರಿ ವಾಪಸಾತಿ ಮಾಡಿ ದರೂ ಕೂಡಾ ನೀವು ಕಳುಹಿಸಿದ ವಸ್ತು ಸರಿಯಾಗಿ ಕೆಲಸ ಮಾಡುತ್ತಿಲ ಆದ ಕಾರಣ ನನ್ನ ಹಣ ವಾಪಸ ಮಾಡಬೇಕಾಗಿ ವಿನಂತಿ,Good,Good,Works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doesn’t work. Remote doesn’t work on TV. It works on Airtel setup box only. I always use 2 remotes. 1 for tv and another for setup box. Not satisfied with this remote.</t>
  </si>
  <si>
    <t>https://m.media-amazon.com/images/W/WEBP_402378-T1/images/I/31Lfjbfc47L._SX300_SY300_QL70_FMwebp_.jpg</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</si>
  <si>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</si>
  <si>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</si>
  <si>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</si>
  <si>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☺️,Cable is short,Good,All channel  view nice,Very fast and good service,Ok,The product was 🙌</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</si>
  <si>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</si>
  <si>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</si>
  <si>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</si>
  <si>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</si>
  <si>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</si>
  <si>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 you can go for it ♥️,Excellent Product,Yup good in all over</t>
  </si>
  <si>
    <t>Everything is great go for it after all it’s esr common,Length is good and charge fast. Need to maintain well cause of it’s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</si>
  <si>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</si>
  <si>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</si>
  <si>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</si>
  <si>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</si>
  <si>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💰,Display and build,Good Sound and pictures,Good product 👍,Good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</si>
  <si>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</si>
  <si>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</si>
  <si>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</si>
  <si>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</si>
  <si>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</si>
  <si>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</si>
  <si>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</si>
  <si>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</si>
  <si>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</si>
  <si>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</si>
  <si>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</si>
  <si>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</si>
  <si>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</si>
  <si>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</si>
  <si>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</si>
  <si>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</si>
  <si>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</si>
  <si>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</si>
  <si>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</si>
  <si>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</si>
  <si>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</si>
  <si>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</si>
  <si>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</si>
  <si>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👍,Value of money,nice product,Good product,Super value for money,Awesome product,Product itv</t>
  </si>
  <si>
    <t>[Update: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</si>
  <si>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</si>
  <si>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</si>
  <si>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</si>
  <si>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</si>
  <si>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banks,👍,Nice product,Performance is OK,Very Slim &amp; easy to carry,Decent product,GOAT</t>
  </si>
  <si>
    <t>I haven’t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product,👍,But it’s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</si>
  <si>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</si>
  <si>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</si>
  <si>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</si>
  <si>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</si>
  <si>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</si>
  <si>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t>
  </si>
  <si>
    <t>https://m.media-amazon.com/images/I/41Wd9J6nfpL._SX300_SY300_QL70_ML2_.jpg</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</si>
  <si>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</si>
  <si>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</si>
  <si>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</si>
  <si>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</si>
  <si>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</si>
  <si>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</si>
  <si>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https://m.media-amazon.com/images/I/41qLZhKF5ZL._SX300_SY300_QL70_ML2_.jpg</t>
  </si>
  <si>
    <t>https://m.media-amazon.com/images/I/41CB1rnC5tL._SX300_SY300_QL70_ML2_.jpg</t>
  </si>
  <si>
    <t>https://m.media-amazon.com/images/I/41JM3Ra+tiL._SY300_SX300_.jpg</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</si>
  <si>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</si>
  <si>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</si>
  <si>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</si>
  <si>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</si>
  <si>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</si>
  <si>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</si>
  <si>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</si>
  <si>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</si>
  <si>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</si>
  <si>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</si>
  <si>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</si>
  <si>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</si>
  <si>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</si>
  <si>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</si>
  <si>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</si>
  <si>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</si>
  <si>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</si>
  <si>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</si>
  <si>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</si>
  <si>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</si>
  <si>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</si>
  <si>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Product,Ok,उपयोगी एवं संतोषजनक,Ok in this price range,Battery,It is a good watch,Nice watch,Average</t>
  </si>
  <si>
    <t>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t>
  </si>
  <si>
    <t>https://m.media-amazon.com/images/I/41rxRY5TDSL._SX300_SY300_QL70_ML2_.jpg</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</si>
  <si>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</si>
  <si>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</si>
  <si>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</si>
  <si>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</si>
  <si>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</si>
  <si>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</si>
  <si>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</si>
  <si>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</si>
  <si>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</si>
  <si>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</si>
  <si>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 Heating issues during use with in 15 minutes uses.Touch screen 📱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 15 मिनट में उपयोग के दौरान हीटिंग की समस्या।टच स्क्रीन 📱 कभी-कभी जारी करती है यह बहुत बढ़िया है और कभी-कभी आपको टाइप करते समय सैमसंग कुंजी पैड पर भी कई बार स्पर्श करना पड़ता है।हम सभी परिवार सैमसंग मोबाइल का उपयोग कर रहे हैं लेकिन इस बार मैं मुद्दों से चिंतित हूं अगर मुझे समान मुद्दों का सामना करना पड़ता है तो मुझे मोबाइल बदलना होगा और डेटा ट्रांसफर करना होगा यह बहुत परेशान करने वाला काम है अगर कोई सैमसंग इस समीक्षा को पढ़ रहा है तो कृपया मुझे अमेज़ॅन के माध्यम से उत्तर दें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t>
  </si>
  <si>
    <t>https://m.media-amazon.com/images/I/41kg-+XWoxL._SY300_SX300_.jpg</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</si>
  <si>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</si>
  <si>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</si>
  <si>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</si>
  <si>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liking😅,A good deal under Rs.800/-,Worth the price,Itam damage,Le skte hain,Nice product👍👍,Nice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</si>
  <si>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 👍 superb,Nice</t>
  </si>
  <si>
    <t>https://m.media-amazon.com/images/I/41KBaLUTYHL._SX300_SY300_QL70_ML2_.jpg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</si>
  <si>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</si>
  <si>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</si>
  <si>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</si>
  <si>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money,ठीक-ठाक hai ☺️,Overall review,Good</t>
  </si>
  <si>
    <t>Camera and display is very poor quality and battery 🔋 is very good nothing bad,Nice phone at reasonable price.,Good,NICE,Value for money,Theek hai 🥰,Not bad,Good</t>
  </si>
  <si>
    <t>https://m.media-amazon.com/images/I/41WpD4fqT4L._SX300_SY300_QL70_ML2_.jpg</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</si>
  <si>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</si>
  <si>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</si>
  <si>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</si>
  <si>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</si>
  <si>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</si>
  <si>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</si>
  <si>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</si>
  <si>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</si>
  <si>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</si>
  <si>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</si>
  <si>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</si>
  <si>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</si>
  <si>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https://m.media-amazon.com/images/I/413qMt0RdpL._SY300_SX300_QL70_ML2_.jpg</t>
  </si>
  <si>
    <t>https://m.media-amazon.com/images/I/41IcuNkyrdL._SX300_SY300_QL70_ML2_.jpg</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</si>
  <si>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</si>
  <si>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</si>
  <si>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</si>
  <si>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</si>
  <si>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</si>
  <si>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</si>
  <si>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https://m.media-amazon.com/images/I/21luyw7JrrL._SX300_SY300_QL70_ML2_.jpg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</si>
  <si>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</si>
  <si>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</si>
  <si>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</si>
  <si>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</si>
  <si>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</si>
  <si>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</si>
  <si>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</si>
  <si>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</si>
  <si>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</si>
  <si>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</si>
  <si>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</si>
  <si>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</si>
  <si>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</si>
  <si>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</si>
  <si>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</si>
  <si>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</si>
  <si>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</si>
  <si>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</si>
  <si>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</si>
  <si>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</si>
  <si>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</si>
  <si>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</si>
  <si>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</si>
  <si>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</si>
  <si>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AHJJY3GFDJFTDTX5536IMIXVNCNQ,AEYIVONPYGGVCE7K4Y3PNQPKVHSQ</t>
  </si>
  <si>
    <t>Atulya Sinha,SujayZ™️☑️</t>
  </si>
  <si>
    <t>R36UIGIQWYOKT,RISUCL5YV9EZN</t>
  </si>
  <si>
    <t>THE PERFECT PHONE – FOR MY REQUIREMENTS,Galaxy M33 5G a mixed bag of Affordability</t>
  </si>
  <si>
    <t>I would not consider buying an i-phone simply because my friend owns two of them –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 but I think of a cellphone as a utility item, not a status symbol. Applying a technocratic approach, I would not choose a costlier option unless I get additional features which suit my requirements.My foremost requirement – which is entirely non-negotiable –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‘immersive listening experience’ and its screen is plain old TFT instead of AMOLED. I am willing to live with these perceived shortcomings, so long as the M33 meets my requirements.I was glad to find that Samsung has taken an environmentally friendly step of offering many models of handsets without chargers –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Samsung’s best-value smartphone yet under 20K segmentPros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 screen recorder, video call effects, Game Launcher, Link to Windows, Dual Messenger, Quick Share, Music Share, and Secure Folder, along with many others. Some of the fancy Android 12 features, like the ability to change the color palette of icons and menus based on the wallpaper and 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</si>
  <si>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</si>
  <si>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https://m.media-amazon.com/images/I/41aV2T7qLgL._SY300_SX300_QL70_ML2_.jpg</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</si>
  <si>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</si>
  <si>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</si>
  <si>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</si>
  <si>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</si>
  <si>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</si>
  <si>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</si>
  <si>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https://m.media-amazon.com/images/I/41mzbWC6AkL._SX300_SY300_QL70_ML2_.jpg</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</si>
  <si>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</si>
  <si>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</si>
  <si>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</si>
  <si>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</si>
  <si>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</si>
  <si>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</si>
  <si>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https://m.media-amazon.com/images/I/419KF2t1nML._SX300_SY300_QL70_ML2_.jpg</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</si>
  <si>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</si>
  <si>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</si>
  <si>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</si>
  <si>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</si>
  <si>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</si>
  <si>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</si>
  <si>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https://m.media-amazon.com/images/I/41ivjqdXb0L._SX300_SY300_QL70_ML2_.jpg</t>
  </si>
  <si>
    <t>https://m.media-amazon.com/images/I/51UsScvHQNL._SX300_SY300_QL70_ML2_.jpg</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</si>
  <si>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</si>
  <si>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</si>
  <si>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</si>
  <si>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</si>
  <si>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</si>
  <si>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</si>
  <si>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https://m.media-amazon.com/images/I/41i7LM0pGwL._SX300_SY300_QL70_ML2_.jpg</t>
  </si>
  <si>
    <t>https://m.media-amazon.com/images/I/410VGCE+q2L._SY300_SX300_.jpg</t>
  </si>
  <si>
    <t>https://m.media-amazon.com/images/I/41wNAXmtvIL._SX300_SY300_QL70_ML2_.jpg</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</si>
  <si>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</si>
  <si>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</si>
  <si>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</si>
  <si>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</si>
  <si>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</si>
  <si>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</si>
  <si>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</si>
  <si>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</si>
  <si>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</si>
  <si>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</si>
  <si>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</si>
  <si>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</si>
  <si>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</si>
  <si>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</si>
  <si>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https://m.media-amazon.com/images/I/31zOsqQOAOL._SY445_SX342_QL70_ML2_.jpg</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</si>
  <si>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</si>
  <si>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</si>
  <si>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</si>
  <si>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</si>
  <si>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</si>
  <si>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</si>
  <si>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</si>
  <si>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</si>
  <si>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https://m.media-amazon.com/images/I/41Fq27ZjJfL._SX300_SY300_QL70_ML2_.jpg</t>
  </si>
  <si>
    <t>https://m.media-amazon.com/images/I/41VcqwZ-O8L._SX300_SY300_QL70_ML2_.jpg</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</si>
  <si>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</si>
  <si>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</si>
  <si>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</si>
  <si>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beast,♥️👌Super fast charging, 1 hour main full charge, dono mobile hi fast charge hote hai.,Nice product,Super fast charger,Very Good!!</t>
  </si>
  <si>
    <t>Kk,Good quality product and best fitted into my car.,This is a good charger. Charging time 1 hour to full for iPhone 6. It’s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</si>
  <si>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</si>
  <si>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</si>
  <si>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</si>
  <si>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</si>
  <si>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</si>
  <si>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</si>
  <si>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</si>
  <si>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</si>
  <si>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</si>
  <si>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</si>
  <si>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</si>
  <si>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didn’t help at all. .It is not suitable for large phones like IPhone 11 Pro Max . . Very clumsy and the tripod doesn’t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</si>
  <si>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</si>
  <si>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https://m.media-amazon.com/images/I/41-CKEKnjyL._SX300_SY300_QL70_ML2_.jpg</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</si>
  <si>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</si>
  <si>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</si>
  <si>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</si>
  <si>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</si>
  <si>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</si>
  <si>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</si>
  <si>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</si>
  <si>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</si>
  <si>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</si>
  <si>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</si>
  <si>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</si>
  <si>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</si>
  <si>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</si>
  <si>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</si>
  <si>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</si>
  <si>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</si>
  <si>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</si>
  <si>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</si>
  <si>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</si>
  <si>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</si>
  <si>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</si>
  <si>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</si>
  <si>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👌,Sound quality is goodCalling is also niceBut i like most of this earphone, it's softness 👌,,Thanks to realme and AmazoneIt was good and delivered at the time,Highly recommended</t>
  </si>
  <si>
    <t>https://m.media-amazon.com/images/I/41NuSTFXerL._SX300_SY300_QL70_ML2_.jpg</t>
  </si>
  <si>
    <t>https://m.media-amazon.com/images/I/41Coma77U+L._SY300_SX300_.jpg</t>
  </si>
  <si>
    <t>https://m.media-amazon.com/images/I/411q-oMvehL._SX300_SY300_QL70_ML2_.jpg</t>
  </si>
  <si>
    <t>https://m.media-amazon.com/images/I/41V5FtEWPkL._SX300_SY300_QL70_ML2_.jpg</t>
  </si>
  <si>
    <t>https://m.media-amazon.com/images/I/31VzNhhqifL._SX300_SY300_QL70_ML2_.jpg</t>
  </si>
  <si>
    <t>AFLMOZFV4PMKSM3JHJ7ITUT6OVBA,AE2TS2DBYLAJ5WY6FFWFNXFY24SQ</t>
  </si>
  <si>
    <t>Goutham Giridhar Kamath,Antara M.</t>
  </si>
  <si>
    <t>R1X7186WUECR3,RIXG2KYOQHKVB</t>
  </si>
  <si>
    <t>Let's bust some myth,IQOO Neo 6 5G –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</si>
  <si>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Let’s dig into it!THE GOOD# Price. After discounts, I got a phone with practically all the features I wanted.# IQOO is basically from Vivo, an internationally recognized brand. Hopefully, I don’t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“Turn off on…” (the next day for which the alarm is active), “Do not repeat any more”, or “Cancel”.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</si>
  <si>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</si>
  <si>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</si>
  <si>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</si>
  <si>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</si>
  <si>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</si>
  <si>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</si>
  <si>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</si>
  <si>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</si>
  <si>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</si>
  <si>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</si>
  <si>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</si>
  <si>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</si>
  <si>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</si>
  <si>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</si>
  <si>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</si>
  <si>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</si>
  <si>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</si>
  <si>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size,Best</t>
  </si>
  <si>
    <t>https://m.media-amazon.com/images/I/31R6RP26dzL._SY300_SX300_QL70_ML2_.jpg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</si>
  <si>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</si>
  <si>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</si>
  <si>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</si>
  <si>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</si>
  <si>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can’t take more power supply voltage in it, it may damage,Go for it,Value for money product,Value for money,Fast charging. Very good product in this price. I have iPhone 13. It’s take 1 and half hour for Full charge.,Charges pretty well.,Working perfectly, value for money</t>
  </si>
  <si>
    <t>https://m.media-amazon.com/images/I/31wqydqbA9L._SX300_SY300_QL70_ML2_.jpg</t>
  </si>
  <si>
    <t>https://m.media-amazon.com/images/I/413sCRKobNL._SX300_SY300_QL70_ML2_.jpg</t>
  </si>
  <si>
    <t>https://m.media-amazon.com/images/I/31qVddHyy5L._SX300_SY300_QL70_ML2_.jpg</t>
  </si>
  <si>
    <t>https://m.media-amazon.com/images/I/41iVkyHeTUL._SX300_SY300_QL70_ML2_.jpg</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</si>
  <si>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</si>
  <si>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</si>
  <si>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</si>
  <si>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</si>
  <si>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</si>
  <si>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</si>
  <si>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</si>
  <si>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</si>
  <si>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</si>
  <si>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</si>
  <si>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</si>
  <si>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</si>
  <si>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</si>
  <si>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</si>
  <si>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</si>
  <si>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</si>
  <si>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Doesn’t look very fine, in fact looks a bit old even when brand new. The band name is also not imprinted clearly. Looks cheap, but did it’s job okay. I got it for ₹89 in a deal.Sometimes the mic gets blocked and the phone has to be adjusted a little out of the stand. Overall worth the buy,Product Material - full PlasticQuality - 7 out of 10,Fantastic product,  affordable,  makes work more comfort  🙌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</si>
  <si>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</si>
  <si>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</si>
  <si>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</si>
  <si>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</si>
  <si>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</si>
  <si>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</si>
  <si>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</si>
  <si>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</si>
  <si>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</si>
  <si>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</si>
  <si>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</si>
  <si>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❤️,Quality product,So far ok. Will hold the wire connecting after the USB joints. But couldn't stop it from bending,Don’t even think of buying this by just looking at the cheap price of this product as it has been made by cheap quality plastic which can not protect your cables as it is not at all sturdy so please don’t buy,Only two packs came,The product is cool. Value for money. Love it</t>
  </si>
  <si>
    <t>https://m.media-amazon.com/images/I/41nf9n-v3pL._SX300_SY300_QL70_ML2_.jpg</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</si>
  <si>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</si>
  <si>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</si>
  <si>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</si>
  <si>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</si>
  <si>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</si>
  <si>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</si>
  <si>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</si>
  <si>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</si>
  <si>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</si>
  <si>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</si>
  <si>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</si>
  <si>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</si>
  <si>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</si>
  <si>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</si>
  <si>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</si>
  <si>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</si>
  <si>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</si>
  <si>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</si>
  <si>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</si>
  <si>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</si>
  <si>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</si>
  <si>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</si>
  <si>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</si>
  <si>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</si>
  <si>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https://m.media-amazon.com/images/I/41w5fk8Vl6L._SX300_SY300_QL70_ML2_.jpg</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</si>
  <si>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</si>
  <si>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</si>
  <si>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</si>
  <si>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</si>
  <si>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</si>
  <si>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</si>
  <si>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https://m.media-amazon.com/images/I/31P2d7102lL._SY300_SX300_QL70_ML2_.jpg</t>
  </si>
  <si>
    <t>AFAKEZV7KMVT2SGF4KYWXGQRIW4A,AE33MAZWYRVAAICGNACZAIWACK7Q,AGBITVO2DOMNZU6DB4QF2WXXELLA,AFNFUGSKHFEN7D2XJICFYQIK62VQ,AH3HGPTMWGF4FTGDEKIODKTU5RCA,AEMKH7NSGFU5YGYOC54RHG54WHXQ,AGUTBT3QDFUJECX3SI4FAX647CZA,AGZJITIDEQNYDGVCPZDNXLBYDYYA</t>
  </si>
  <si>
    <t>Vikrant,Ganesh Gholap,⚡ Pushpendra Singh Patel ⚡,Gaurav,sumegh,Jigar,Dhruba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</si>
  <si>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</si>
  <si>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</si>
  <si>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 INSIDE BOX•••••••••••••••••••→ Powerbank→ MicroUSB cable→ Carry pouch (depends on which package you received, more below)→ User manual/Warranty card→ General leaflet→ Feedback leaflet••••••••••••••••••••••••📝 SOME DETAILS••••••••••••••••••••••••→ Mfg: October 2019→ Charging time: 9 Hrs 50 Min (via 10W charger, low battery indication to full charge)→ Backup: Was able to charge (5-100%) Redmi Note 5 pro's 4000Mah battery ~3.5 times with regular usage in between.••••••••••••➕ PROS••••••••••••1.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 CONS•••••••••••••1. It does not auto-start charging when the device is connected.2. Since it has a touch button instead of push-button, it activates accidentally switching it on every time during handling.3. There is a lot of conversion loss &amp; backup is slightly less for a 20000mAh power bank.▶ Cons are significant enough to reduce 1 star. There is scope for improvement (points 1 &amp; 2) in this product in the same range. So ★★★★ device.••••••••••••••••••••💡 LED STATUS••••••••••••••••••••→ 1st/2nd/3rd/4th LED blinking (while charging power bank): Status of charge in terms of no of LEDs blinking→ 1/2/3/4 LEDs solid white (while charging other devices): Status of remaining battery in terms of no of LEDs→ One blinking (while charging other devices): Low battery→ All 4 LED solid glow: Battery fully charged•••••••••••••••••••••••••••••••••••🔊 AMBRANE BOX DEBATE•••••••••••••••••••••••••••••••••••1.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 This one came with Micro USB cable and a carry pouch.••••••••••••••••••••••••👜 CARRY POUCH••••••••••••••••••••••••→ As per my analysis carry pouch comes with the latest October lot which comes in a bigger box and was unavailable in earlier lot with a small box.→ Carry pouch size was appropriate for power bank and i had no trouble inserting power bank in it. (Some users reported it having a smaller opening but i had no trouble with it and found it to be a proper fit. Neither loose nor tight.→ Its soft nylon meshed pouch and is a nice addon.••••••••••••••••🏆 VERDICT••••••••••••••••▶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 If one can extend the budget by a few hundred, MI power bank will be a better option with a metallic body &amp; better quality overall. I have MI, Honor &amp; Ambrane power bank and their overall rating will be (from low to high) Ambrane → Honor →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don’t last that long when use for charging two device.</t>
  </si>
  <si>
    <t>https://m.media-amazon.com/images/I/31RktQKvhoL._SX300_SY300_QL70_ML2_.jpg</t>
  </si>
  <si>
    <t>https://m.media-amazon.com/images/I/41jlwEZpa5L._SX300_SY300_QL70_ML2_.jpg</t>
  </si>
  <si>
    <t>https://m.media-amazon.com/images/I/41Vj+8XWIQL._SY300_SX300_.jpg</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</si>
  <si>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</si>
  <si>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</si>
  <si>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</si>
  <si>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Alexa,👍,Good product,I don't have flashlight function and speaker is not working,Nice,It's little cost,Wach not working</t>
  </si>
  <si>
    <t>Review OverviewAverage2.7The Boat today launched the ‘ Boat Xtend ‘, the company’s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don’t like the color scheme of this Boat Xtend Smartwatch. The black color variant comes with a golden color metallic frame. I believe the gold color would fade away after some time. There are three other color variants, which also don’t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won’t notice the bezels, and the screen quality won’t feel cheap at all. It doesn’t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isn’t much animation on the bar menu, and the navigation is simple, so you won’t find it difficult to use. However, the watch may lag a bit. The company has done cost-cutting in terms of the processor, that’s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won’t find it very useful. Probably you will use it for a day or two out of excitement, and then you won’t prefer using it because it only does some basic tasks. So, even if Boat missed this feature, it won’t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won’t be seeing bugs on the app, and it works perfectly. I haven’t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Monitor.,👍,Plz add calling feature with this,Otherwise it is ok,Good,It's little expensive but okkk,</t>
  </si>
  <si>
    <t>https://m.media-amazon.com/images/I/41pfjyUPZLL._SX300_SY300_QL70_ML2_.jpg</t>
  </si>
  <si>
    <t>https://m.media-amazon.com/images/I/41R9fDKo6iL._SX300_SY300_QL70_ML2_.jpg</t>
  </si>
  <si>
    <t>https://m.media-amazon.com/images/I/31XO-wfGGGL._SX300_SY300_QL70_ML2_.jpg</t>
  </si>
  <si>
    <t>https://m.media-amazon.com/images/I/31kj3q4SepL._SY445_SX342_QL70_ML2_.jpg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</si>
  <si>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</si>
  <si>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</si>
  <si>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</si>
  <si>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</si>
  <si>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</si>
  <si>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</si>
  <si>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</si>
  <si>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</si>
  <si>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</si>
  <si>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</si>
  <si>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it’s useful for not to brake the cable</t>
  </si>
  <si>
    <t>https://m.media-amazon.com/images/I/511g3fIVsqL._SY300_SX300_QL70_ML2_.jpg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</si>
  <si>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</si>
  <si>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</si>
  <si>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</si>
  <si>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</si>
  <si>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</si>
  <si>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</si>
  <si>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https://m.media-amazon.com/images/I/410TBgL2KXL._SX300_SY300_QL70_ML2_.jpg</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</si>
  <si>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</si>
  <si>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</si>
  <si>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</si>
  <si>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</si>
  <si>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</si>
  <si>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</si>
  <si>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</si>
  <si>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</si>
  <si>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</si>
  <si>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</si>
  <si>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</si>
  <si>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</si>
  <si>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</si>
  <si>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</si>
  <si>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</si>
  <si>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</si>
  <si>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</si>
  <si>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</si>
  <si>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</si>
  <si>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</si>
  <si>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</si>
  <si>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</si>
  <si>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</si>
  <si>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</si>
  <si>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https://m.media-amazon.com/images/I/41Yylo75u7L._SX300_SY300_QL70_ML2_.jpg</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</si>
  <si>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</si>
  <si>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</si>
  <si>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</si>
  <si>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</si>
  <si>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-niceSound-osm😎Disyan-nice and value for moneyThank you amezon ♥️,Iam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</si>
  <si>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</si>
  <si>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</si>
  <si>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</si>
  <si>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</si>
  <si>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</si>
  <si>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t>
  </si>
  <si>
    <t>https://m.media-amazon.com/images/I/31mbyi7ocJL._SX300_SY300_QL70_ML2_.jpg</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</si>
  <si>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</si>
  <si>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</si>
  <si>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</si>
  <si>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</si>
  <si>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</si>
  <si>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</si>
  <si>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https://m.media-amazon.com/images/I/31YFSh7g63L._SX300_SY300_QL70_ML2_.jpg</t>
  </si>
  <si>
    <t>https://m.media-amazon.com/images/I/41o7qy-j6KL._SX300_SY300_QL70_ML2_.jpg</t>
  </si>
  <si>
    <t>https://m.media-amazon.com/images/I/41Lif4YWC2L._SX300_SY300_QL70_ML2_.jpg</t>
  </si>
  <si>
    <t>https://m.media-amazon.com/images/I/41SDfuK7L2L._SX300_SY300_QL70_ML2_.jpg</t>
  </si>
  <si>
    <t>https://m.media-amazon.com/images/I/31oA0-q5UzL._SX300_SY300_QL70_ML2_.jpg</t>
  </si>
  <si>
    <t>https://m.media-amazon.com/images/I/41fNkwj-vnL._SX300_SY300_QL70_ML2_.jpg</t>
  </si>
  <si>
    <t>https://m.media-amazon.com/images/I/41iHN9Y07cS._SX300_SY300_QL70_ML2_.jpg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</si>
  <si>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</si>
  <si>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</si>
  <si>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</si>
  <si>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</si>
  <si>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it’s excellent. So easy to install, anybody can do it! It’s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I’ve ever seen. They even include useful tools and guidelines to minimise the possibility of error.</t>
  </si>
  <si>
    <t>https://m.media-amazon.com/images/I/41Usew0lrWL._SX300_SY300_QL70_ML2_.jpg</t>
  </si>
  <si>
    <t>AHECNVXSW6REC5TOGBH6OJXIBL4A,AFWAX2O5B5I36ESHPOWZKN25BYPA,AHSDH2Q4Q2QSUYUGEAGPIR22MT7Q,AFSJOIQSSLDDJPOWX3DDKXDA6T5A,AGUXZXNTCLWNP7Y5QA2KYEJLBMKA,AHOZLLUCMPI33IIR3Z5Y7UT2LCLQ,AGBT7W456GGMVOR73SNSIGLSK5DQ,AGYF2BCD5W756VOY2V5HJQCX4H4A</t>
  </si>
  <si>
    <t>Ankita Dwivedi,Malathi Alunkar,Shubham♎,Oishi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</si>
  <si>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</si>
  <si>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</si>
  <si>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</si>
  <si>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</si>
  <si>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</si>
  <si>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</si>
  <si>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</si>
  <si>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</si>
  <si>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👍,Camera Excellent, but battery life not good, maximum 6 hours,As this price limit its a good mobile with camera, battery, screen quality</t>
  </si>
  <si>
    <t>https://m.media-amazon.com/images/I/41XtHlbmOHL._SX300_SY300_QL70_ML2_.jpg</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</si>
  <si>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</si>
  <si>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</si>
  <si>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</si>
  <si>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</si>
  <si>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</si>
  <si>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</si>
  <si>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</si>
  <si>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</si>
  <si>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</si>
  <si>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</si>
  <si>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</si>
  <si>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</si>
  <si>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https://m.media-amazon.com/images/I/31J6qGhAL9L._SX300_SY300_QL70_ML2_.jpg</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</si>
  <si>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</si>
  <si>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</si>
  <si>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</si>
  <si>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</si>
  <si>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</si>
  <si>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</si>
  <si>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https://m.media-amazon.com/images/I/41R08zLK69L._SX300_SY300_QL70_ML2_.jpg</t>
  </si>
  <si>
    <t>https://m.media-amazon.com/images/I/41fjUA7leTL._SX300_SY300_QL70_ML2_.jpg</t>
  </si>
  <si>
    <t>https://m.media-amazon.com/images/I/4141l8ZBWXL._SX300_SY300_QL70_ML2_.jpg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</si>
  <si>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</si>
  <si>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</si>
  <si>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</si>
  <si>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</si>
  <si>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It’s so smooth that it almost feels like you’re touching the phone screen. The installation process is very easy. It’s truly a value for money product.,This is a very good tempered glass which covers end to end of the screen.,If you want a high quality tempered go for it. It’s not much scratch resistant but fingerprint resistant and quality is amazing,Its just like slicing a butter ,effortless &amp; absolute value fir money .</t>
  </si>
  <si>
    <t>https://m.media-amazon.com/images/I/51EiPNlJDgL._SX300_SY300_QL70_ML2_.jpg</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</si>
  <si>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</si>
  <si>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</si>
  <si>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</si>
  <si>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</si>
  <si>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I’ve seen it turn off in just 30 seconds a couple of times but that’s all. By the way, I ordered it for my old iPad Pro 10.5 inch A1701 as I don’t want to buy new Apple Pencil at full price and I somehow couldn’t find the right alternative for 1st gen Apple Pencil either.. but I found some questions here answering it works for A1701.. after delivery, I found out it actually won’t work and then magically the right model of stylus was on my Amazon Home Screen when I wanted to return this. Gonna order a new one which KINGONE says works with A1701. Let’s see..,Very good product build quality is aluminium so feels premium working is good as well best for note taking and basic operations budget friendly .,Full recharge is completed in 18 mins👍 affordable price.👍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t>
  </si>
  <si>
    <t>https://m.media-amazon.com/images/I/31jgUvSar0L._SX300_SY300_QL70_ML2_.jpg</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</si>
  <si>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</si>
  <si>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</si>
  <si>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</si>
  <si>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</si>
  <si>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</si>
  <si>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</si>
  <si>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</si>
  <si>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</si>
  <si>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</si>
  <si>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</si>
  <si>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</si>
  <si>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</si>
  <si>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</si>
  <si>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</si>
  <si>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</si>
  <si>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low.,Good,ভালো,Damaged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</si>
  <si>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good,,ভালো ঘড়ি টা।,Dislike,After use of 2 months observed battery life is getting only one day max with only normal usage with out audio.Ok for regular usage,Superb</t>
  </si>
  <si>
    <t>https://m.media-amazon.com/images/I/41k-VlGbYnL._SX300_SY300_QL70_ML2_.jpg</t>
  </si>
  <si>
    <t>I like it 👍👍,Best charging power . I used this cable on note 8 pro mi. Using 8month also fast working.,350 might be a little expensive but physically it’s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</si>
  <si>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</si>
  <si>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https://m.media-amazon.com/images/I/41S7tnENirL._SX300_SY300_QL70_ML2_.jpg</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</si>
  <si>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</si>
  <si>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</si>
  <si>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</si>
  <si>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</si>
  <si>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</si>
  <si>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</si>
  <si>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https://m.media-amazon.com/images/I/41TZJiPRRwL._SX300_SY300_QL70_ML2_.jpg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</si>
  <si>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</si>
  <si>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</si>
  <si>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</si>
  <si>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It’s Money!🔥,Nice quality, but comes with a price!,Easiest to install,Easy to install,Worth every penny!,Worth it,Good but costly,Totally worth it</t>
  </si>
  <si>
    <t>It’s A Good Purchase For Long term Personally I Like It Because It came With 2 Install Kits And Costed Me Around ₹999($12) And Trust Me It’s Very Easy To Install.And It’s Protected The Device For A Fall Of Bed To Ground. Overall Nice Product! 👍,It's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install,It’s easy to install. Quality is great. Doesn’t cause issues with camera and is better than the original screen itself in terms of touch feel,Oleophobic coating on it is really good. I’ve been using it since over 2 months now and it’s not faded at all. It’s a bit expensive but it keeps phone’s screen looking new and shiny, and it is much much better than the cheap ones in doing so; it’s night and day difference.Fit and finish is really good too. Applying it is super easy.Otherwise, I don’t see it protecting the phone screen from cracking or scratching more than the cheaper or the more expensive ones.I recommend getting this over others primarily because it’ll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</si>
  <si>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</si>
  <si>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https://m.media-amazon.com/images/I/41d84o5-M-L._SY445_SX342_QL70_ML2_.jpg</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</si>
  <si>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</si>
  <si>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</si>
  <si>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</si>
  <si>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</si>
  <si>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</si>
  <si>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</si>
  <si>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</si>
  <si>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</si>
  <si>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</si>
  <si>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transfer,ਮਜ਼ਬੂਤ,Good Quality but less Power Delivery,Fantastic!,Good,Not useful,Doesn't fit properly,Boat ⛵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</si>
  <si>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</si>
  <si>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</si>
  <si>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https://m.media-amazon.com/images/I/41P4Al+S3zL._SY300_SX300_.jpg</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</si>
  <si>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</si>
  <si>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</si>
  <si>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</si>
  <si>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</si>
  <si>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</si>
  <si>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</si>
  <si>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</si>
  <si>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</si>
  <si>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</si>
  <si>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</si>
  <si>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</si>
  <si>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</si>
  <si>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</si>
  <si>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</si>
  <si>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</si>
  <si>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</si>
  <si>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it’s is Very  sturdyAnd looks of good quality,Excellent product, good build quality, bigger compared to similar products.</t>
  </si>
  <si>
    <t>https://m.media-amazon.com/images/I/31hDWwY8iWL._SX300_SY300_QL70_ML2_.jpg</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</si>
  <si>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</si>
  <si>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</si>
  <si>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</si>
  <si>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</si>
  <si>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t>
  </si>
  <si>
    <t>https://m.media-amazon.com/images/I/41PNVbmQdfL._SX300_SY300_QL70_ML2_.jpg</t>
  </si>
  <si>
    <t>https://m.media-amazon.com/images/I/31qGpf8uzuL._SY445_SX342_QL70_ML2_.jpg</t>
  </si>
  <si>
    <t>https://m.media-amazon.com/images/I/31kLQHU5pdL._SX300_SY300_QL70_ML2_.jpg</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</si>
  <si>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</si>
  <si>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</si>
  <si>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</si>
  <si>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</si>
  <si>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didn’t want to buy expensive stylus and max dont work with Iphones. It’s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</si>
  <si>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</si>
  <si>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https://m.media-amazon.com/images/I/3187gPkT6GL._SX300_SY300_QL70_ML2_.jpg</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</si>
  <si>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</si>
  <si>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</si>
  <si>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</si>
  <si>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 I'm happy,Best buy in the reasonable price,Great product,product review MI charger!!,MI mobile charger,Top quality charger. Original MI brand. Do buy it if you need a B type charge,Good charger</t>
  </si>
  <si>
    <t>Ordinary,Nice pic 👍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</si>
  <si>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</si>
  <si>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https://m.media-amazon.com/images/I/41vMaBVWDjL._SX300_SY300_QL70_ML2_.jpg</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</si>
  <si>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</si>
  <si>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</si>
  <si>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</si>
  <si>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</si>
  <si>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</si>
  <si>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</si>
  <si>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https://m.media-amazon.com/images/I/31tWzHMz6vL._SY445_SX342_QL70_ML2_.jpg</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</si>
  <si>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</si>
  <si>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</si>
  <si>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</si>
  <si>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</si>
  <si>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</si>
  <si>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</si>
  <si>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</si>
  <si>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</si>
  <si>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</si>
  <si>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</si>
  <si>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</si>
  <si>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</si>
  <si>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</si>
  <si>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</si>
  <si>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</si>
  <si>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</si>
  <si>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</si>
  <si>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</si>
  <si>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</si>
  <si>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</si>
  <si>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</si>
  <si>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</si>
  <si>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</si>
  <si>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</si>
  <si>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https://m.media-amazon.com/images/I/41BDYVKRmWL._SX300_SY300_QL70_ML2_.jpg</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</si>
  <si>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</si>
  <si>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</si>
  <si>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</si>
  <si>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</si>
  <si>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</si>
  <si>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</si>
  <si>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</si>
  <si>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</si>
  <si>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</si>
  <si>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</si>
  <si>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</si>
  <si>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</si>
  <si>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</si>
  <si>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</si>
  <si>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</si>
  <si>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</si>
  <si>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👍,Super,https://m.media-amazon.com/images/I/615xQV8mNDL._SY88.jpg,Amazing look,Screen refresh rate is bit low ,but a great product for this price !,Best product</t>
  </si>
  <si>
    <t>https://m.media-amazon.com/images/I/416+IXsM9lL._SY300_SX300_.jpg</t>
  </si>
  <si>
    <t>https://m.media-amazon.com/images/I/41Bj3iYflTL._SX300_SY300_QL70_ML2_.jpg</t>
  </si>
  <si>
    <t>https://m.media-amazon.com/images/I/41XUW74HLlL._SX300_SY300_QL70_ML2_.jpg</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</si>
  <si>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</si>
  <si>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</si>
  <si>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</si>
  <si>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</si>
  <si>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</si>
  <si>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</si>
  <si>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</si>
  <si>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</si>
  <si>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</si>
  <si>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</si>
  <si>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</si>
  <si>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</si>
  <si>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https://m.media-amazon.com/images/I/4121yWSVFmL._SX300_SY300_QL70_ML2_.jpg</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</si>
  <si>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</si>
  <si>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</si>
  <si>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</si>
  <si>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</si>
  <si>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</si>
  <si>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</si>
  <si>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</si>
  <si>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</si>
  <si>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</si>
  <si>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</si>
  <si>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</si>
  <si>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</si>
  <si>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https://m.media-amazon.com/images/I/4177nw8okbL._SX300_SY300_QL70_ML2_.jpg</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</si>
  <si>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</si>
  <si>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</si>
  <si>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</si>
  <si>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</si>
  <si>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</si>
  <si>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</si>
  <si>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https://m.media-amazon.com/images/I/41GXZy6dLIL._SX300_SY300_QL70_ML2_.jpg</t>
  </si>
  <si>
    <t>https://m.media-amazon.com/images/I/41g54hBpHkL._SY300_SX300_QL70_ML2_.jpg</t>
  </si>
  <si>
    <t>https://m.media-amazon.com/images/I/41vjHoqVHJL._SX300_SY300_QL70_ML2_.jpg</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</si>
  <si>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</si>
  <si>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</si>
  <si>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</si>
  <si>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👍,Thik thak,Avarage,Smart watch,They can improve more</t>
  </si>
  <si>
    <t>I really like this product. Gifted to my sister, and she likes it,Great ⌚,Good product,Nice 👍,Thik hai,In this price range it's ok product,Color so nice..I loved it,Need some more features:(</t>
  </si>
  <si>
    <t>https://m.media-amazon.com/images/I/41zs4v3adaL._SX300_SY300_QL70_ML2_.jpg</t>
  </si>
  <si>
    <t>https://m.media-amazon.com/images/I/417k0DCw0GL._SX300_SY300_QL70_ML2_.jpg</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</si>
  <si>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</si>
  <si>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</si>
  <si>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</si>
  <si>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buy,👍👍,It's  good,Low battery life and it's okay to buy,Superb 😘,Good,Good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</si>
  <si>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</si>
  <si>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</si>
  <si>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</si>
  <si>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</si>
  <si>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</si>
  <si>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</si>
  <si>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it  ,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</si>
  <si>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</si>
  <si>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https://m.media-amazon.com/images/I/31ew3okQR2L._SX300_SY300_QL70_ML2_.jpg</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</si>
  <si>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</si>
  <si>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</si>
  <si>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</si>
  <si>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</si>
  <si>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</si>
  <si>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</si>
  <si>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https://m.media-amazon.com/images/I/412DrCgktiL._SX300_SY300_QL70_ML2_.jpg</t>
  </si>
  <si>
    <t>https://m.media-amazon.com/images/I/41-IPkI1Y5L._SX300_SY300_QL70_ML2_.jpg</t>
  </si>
  <si>
    <t>https://m.media-amazon.com/images/I/3183iGEWksL._SX300_SY300_QL70_ML2_.jpg</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</si>
  <si>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</si>
  <si>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</si>
  <si>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</si>
  <si>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</si>
  <si>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</si>
  <si>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</si>
  <si>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</si>
  <si>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</si>
  <si>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</si>
  <si>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</si>
  <si>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 There is no guide to help you stick the screen guard, which is okay as we all know how to do it. 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</si>
  <si>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</si>
  <si>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https://m.media-amazon.com/images/I/41R0DrIbTNL._SX300_SY300_QL70_ML2_.jpg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</si>
  <si>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</si>
  <si>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</si>
  <si>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</si>
  <si>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</si>
  <si>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</si>
  <si>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</si>
  <si>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https://m.media-amazon.com/images/I/31+GLbqRPtL._SY300_SX300_.jpg</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</si>
  <si>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</si>
  <si>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</si>
  <si>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</si>
  <si>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</si>
  <si>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👍🏼,Good,Fulfil purpose, easy to carry, solid material. Think it will last long.,Nice,Liked the product. Easy to carry, portable,  foldable, lightweight.,Good</t>
  </si>
  <si>
    <t>https://m.media-amazon.com/images/I/31xJT-3ZAkL._SX300_SY300_QL70_ML2_.jpg</t>
  </si>
  <si>
    <t>https://m.media-amazon.com/images/I/41LDspRanIL._SX300_SY300_QL70_ML2_.jpg</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</si>
  <si>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</si>
  <si>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</si>
  <si>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</si>
  <si>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</si>
  <si>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</si>
  <si>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</si>
  <si>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</si>
  <si>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</si>
  <si>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</si>
  <si>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🙂👍,Great product,Good product,Works well enough, it isn’t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</si>
  <si>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don’t have to touch your phone frequently such as video calling or voice calling etc.  Otherwise it’s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isn’t really stable and tend to vibrate and shake when holding tablet and some heavier phones.Also I can only hold phone horizontally, that means it gonna block charging ports and speakers.</t>
  </si>
  <si>
    <t>https://m.media-amazon.com/images/I/41bFp+Wev+L._SY300_SX300_.jpg</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</si>
  <si>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</si>
  <si>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</si>
  <si>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</si>
  <si>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</si>
  <si>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</si>
  <si>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</si>
  <si>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</si>
  <si>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</si>
  <si>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</si>
  <si>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</si>
  <si>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</si>
  <si>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</si>
  <si>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</si>
  <si>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</si>
  <si>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</si>
  <si>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</si>
  <si>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</si>
  <si>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</si>
  <si>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</si>
  <si>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</si>
  <si>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</si>
  <si>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</si>
  <si>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</si>
  <si>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</si>
  <si>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https://m.media-amazon.com/images/I/41sJ50FH9OL._SX300_SY300_QL70_ML2_.jpg</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</si>
  <si>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</si>
  <si>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</si>
  <si>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</si>
  <si>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</si>
  <si>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</si>
  <si>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</si>
  <si>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</si>
  <si>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</si>
  <si>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</si>
  <si>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</si>
  <si>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</si>
  <si>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</si>
  <si>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</si>
  <si>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</si>
  <si>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</si>
  <si>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</si>
  <si>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</si>
  <si>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</si>
  <si>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</si>
  <si>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</si>
  <si>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</si>
  <si>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 ye kuchh jyada hi ho gya😜,Good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</si>
  <si>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jhakas😜Sound quality is very good and bass is also  good but I was expecting more like theatre bass but not like that, hhh laalach karna buri chijh h🤩🤩, hum sudhrenge nhi kabhi😂😂I think u r bored sum of this headphone  mast hai😂😂 enjoying,Good quality, easily connected my lg 4k smart tv</t>
  </si>
  <si>
    <t>https://m.media-amazon.com/images/I/41zejggGzLL._SX300_SY300_QL70_ML2_.jpg</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</si>
  <si>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</si>
  <si>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</si>
  <si>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</si>
  <si>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It’s worth,Good,Iphone 18w adapter.,The product is good to use,Nice,Excellent,Very useful and excellent product at an very affordable price. tag,Affordable price, Great deal!</t>
  </si>
  <si>
    <t>Looks good and didn’t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</si>
  <si>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</si>
  <si>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</si>
  <si>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</si>
  <si>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</si>
  <si>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</si>
  <si>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 the product has merged with it. The little plastic container in the package will act as storage for the rest of the webcam covers.It is ultra-thin as described by the company with acquiring about a millimeter thickness. This thickness can cope with the windows laptops as they are having the rubber buffers on the top side of the screen frame because those buffers act as a spacer between the screen and the lower-up body/keyboard of the laptop to avoid any harm to the screen. This spacer is advantageous to the webcam cover as closing the lid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 laptop, and never try this product for your Mac laptops. As the Mac laptops have a stunning plain glass screen that is covering the whole screen frame part and has no spacers, that is there's no space left after closing the laptop lid and hence upon installation of this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 cover, and make its edges (the edges close to the slider) smooth (rounding off or fillet), so that upon sliding the slider with a fat finger, it can easily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screen.𝗕𝘂𝗶𝗹𝗱 𝗤𝘂𝗮𝗹𝗶𝘁𝘆 𝟰.𝟱/𝟱You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choice.𝗔𝗱𝗵𝗲𝘀𝗶𝗼𝗻 𝟯/𝟱I am sorry to say that the Adhesion of this product is quite weak. It literally falls off after a week of applying it. I had to throw 2 of it as it became useless. I only had the last piece remaining.𝗦𝗼𝗹𝘂𝘁𝗶𝗼𝗻 𝗳𝗼𝗿 𝗔𝗱𝗵𝗲𝘀𝗶𝗼𝗻 : Eventually I was able to find a solution for this problem.• Remove the Stock Adhesion by gently applying Isopropyl alcohol.• Then apply a strong Adhesive glue (I used Fevi Kwick). Apply it only on the back edges of the webcam  cover. Since it's extremely thin, I used thin needle to apply Super Glue gently on it or else the Superglue  will spill out and make a mess.•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</si>
  <si>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</si>
  <si>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https://m.media-amazon.com/images/I/31kw1RgU5yL._SX300_SY300_QL70_ML2_.jpg</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</si>
  <si>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</si>
  <si>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</si>
  <si>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</si>
  <si>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</si>
  <si>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</si>
  <si>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</si>
  <si>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</si>
  <si>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</si>
  <si>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</si>
  <si>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</si>
  <si>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 worth it  paise vasul😍,https://m.media-amazon.com/images/I/81skvqgoYaL._SY88.jpg,Ok,Good for your watch</t>
  </si>
  <si>
    <t>https://m.media-amazon.com/images/I/4155YhLwDiL._SX300_SY300_QL70_ML2_.jpg</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</si>
  <si>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</si>
  <si>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</si>
  <si>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</si>
  <si>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</si>
  <si>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</si>
  <si>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</si>
  <si>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</si>
  <si>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</si>
  <si>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</si>
  <si>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👽,Overall good,Good performance oriented phone,An all Rounder in the &lt; 30k segment,All good, battery life could be better.,A good Phone with few disadvantages.,Value for Money product,❤️</t>
  </si>
  <si>
    <t>Posting This After 8 Days of Continous Usage:I came from Oneplus 5t that too because last to last week I had an accident and my 5t has dead on the spot.After watching a lot of reviews on Youtube and Amazon, I thought I should give it a chance.First Impression:-• As you all know OP 5t has small display so it's hard for first 3-4 days to use/Typing because of big display.• A little heavy but that could be because of upgraded species and battery from my last 5t.• Solid built but it if it's metal build then it will be more beautiful.• Space fusion color is looking killer.• Flash charger works awsome but charger design can be improved• Display is crisp and clear but but in dark apps (i.e, chrome, brave, linkdin etc) you'll notice a color change (from Black to Greyish color) that gives a cheap feel and I don't know if it's a software or hardware issue.Actual Review:-• While gaming (Call of duty:mobile) has some lags and bugs and there is no option to block notification/calls even after mute notification ONN everything is coming on screen and it's very frustrating and annoying.• Battlefield mobile ground, Asphalt 9, Clash of Clans, Battle Royale are working flowless.• Some apps like Flipkart and Airtel gives some error (screen zoom automatically while opening) might be because of android 12 or something else.•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 Gesture are not working fine, this can be fixed with future updates.•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 Funtouch OS is very uncomfortable for me for the first 4-5 days but now I'm getting it a little.• Less feature in gaming mode in comparison to Iqoo 7📷Camera:-• Average as of now takes good picture in night/evening time and selfie camera is awsome.• OIS works good as per the budget and gives value for money.• Day time picture are good but something it changes the saturation/color by itself automatically.• No heat observed while gaming/doing heavy task (minimal heat that every phone has now a days and it is 40°c outside so this is not a big deal for me.• Screen recorder and mic works awsome• Crisp clear display except the issue I told above• 6-7 SOT in one charge (0-100)• 42-44 minutes charging time (0-100)• No bugs lags observed till date• 120Hz refresh rate made it monster• Some preinstalled bloatware can be uninstall but some has to be force stop only or you can use Adb commande to remove permanently.• A few apps are unnecessary like browser and a screen (virus scan) comes just after install an app from play store that very annoying and somehow I stopped that.•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</si>
  <si>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</si>
  <si>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</si>
  <si>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</si>
  <si>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</si>
  <si>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 nice</t>
  </si>
  <si>
    <t>Good Prodat,Battery life is so bad.,Nice product,Dislike product also not return its only replacement,,Iska tauch kaam nahi kar raha hai aur kewal mobile adoptot se charge karne par on dikh raha phir turat band ho ja raha hai.ise wapas karna hai.,पहिल्या दिवसापासूनच ती वॉच ऑन होत नाही. चार्ज केले तरी पण ऑन होत नाही. पुर्णपणे third class वॉच पाठविली Amazon ने. दिवसेंदिवस Amazon ची सर्व्हिस आणि प्रॉडक्ट bad होत चाललेले दिसत आहे.,Bhot Jada ghatia h h,All the products are very good working there is no any issue till now.</t>
  </si>
  <si>
    <t>https://m.media-amazon.com/images/I/41lnTFZGz9L._SX300_SY300_QL70_ML2_.jpg</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</si>
  <si>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</si>
  <si>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</si>
  <si>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</si>
  <si>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Money,नॉर्मल यूज़ के लिए मोबाइल है मुझे तो यह पसंद नहीं आया पहले मैंने असूस जेनफोन मैक्स m2 मोबाईल चलाया,Good article as per price range,Good,Mobile is good at this prize,Good phone,They fooled me all over and drove me crazy...,Best in low price  segment</t>
  </si>
  <si>
    <t>Nice Phone. All over Performance is Good,बैटरी लगभग ठीक है कैमरा भी कुल मिलाकर ठीक है नॉर्मल न्यूज़ के लिए,Battery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t>
  </si>
  <si>
    <t>https://m.media-amazon.com/images/I/41UhF7l9I4L._SX300_SY300_QL70_ML2_.jpg</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</si>
  <si>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</si>
  <si>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</si>
  <si>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</si>
  <si>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</si>
  <si>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</si>
  <si>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</si>
  <si>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</si>
  <si>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</si>
  <si>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</si>
  <si>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</si>
  <si>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can’t see whether the ear opening aligns with the phone’s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</si>
  <si>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</si>
  <si>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</si>
  <si>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</si>
  <si>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</si>
  <si>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</si>
  <si>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</si>
  <si>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</si>
  <si>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</si>
  <si>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</si>
  <si>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</si>
  <si>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</si>
  <si>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</si>
  <si>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</si>
  <si>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</si>
  <si>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</si>
  <si>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</si>
  <si>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</si>
  <si>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</si>
  <si>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</si>
  <si>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</si>
  <si>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</si>
  <si>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</si>
  <si>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</si>
  <si>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</si>
  <si>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</si>
  <si>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</si>
  <si>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</si>
  <si>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</si>
  <si>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</si>
  <si>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</si>
  <si>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</si>
  <si>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</si>
  <si>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</si>
  <si>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</si>
  <si>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</si>
  <si>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</si>
  <si>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</si>
  <si>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https://m.media-amazon.com/images/I/31gNcDrEskL._SX300_SY300_QL70_ML2_.jpg</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</si>
  <si>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</si>
  <si>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</si>
  <si>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</si>
  <si>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</si>
  <si>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</si>
  <si>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</si>
  <si>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</si>
  <si>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</si>
  <si>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</si>
  <si>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</si>
  <si>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</si>
  <si>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</si>
  <si>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https://m.media-amazon.com/images/I/41GwFR981CL._SX300_SY300_QL70_ML2_.jpg</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</si>
  <si>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</si>
  <si>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</si>
  <si>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</si>
  <si>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</si>
  <si>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one❤️,Value for money,https://m.media-amazon.com/images/I/71veEcoG5-L._SY88.jpg,Phone works well.</t>
  </si>
  <si>
    <t>https://m.media-amazon.com/images/I/41ynwpRq+kL._SY300_SX300_.jpg</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</si>
  <si>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</si>
  <si>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</si>
  <si>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</si>
  <si>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don’t mind the edges,Recommended !!,Looks premium,Real value for money however I wish there would have been stronger adhesive,Its a genuine product,Precision!,Does the job perfectly,A perfect fit for iPhone 13 and has transparent edges too.</t>
  </si>
  <si>
    <t>It’s a no brainer to get this. Just that the edges don’t fix in properly. There is always air bubble kind of thing on the edge.,Easy to apply and no bubbles. For Rs 150 they send 2 units which is amazing too. Satisfied with the purchase !!,Overall good and easy to apply. Doesn’t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</si>
  <si>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</si>
  <si>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https://m.media-amazon.com/images/I/31-BRsjrvDL._SY300_SX300_QL70_ML2_.jpg</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</si>
  <si>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</si>
  <si>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</si>
  <si>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</si>
  <si>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</si>
  <si>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</si>
  <si>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</si>
  <si>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https://m.media-amazon.com/images/I/41gFqSHngyL._SX300_SY300_QL70_ML2_.jpg</t>
  </si>
  <si>
    <t>https://m.media-amazon.com/images/I/31Iuz7jlfqL._SX300_SY300_QL70_ML2_.jpg</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</si>
  <si>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</si>
  <si>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</si>
  <si>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</si>
  <si>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</si>
  <si>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</si>
  <si>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</si>
  <si>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</si>
  <si>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</si>
  <si>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</si>
  <si>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</si>
  <si>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</si>
  <si>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</si>
  <si>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https://m.media-amazon.com/images/I/31x3IUfMneL._SX300_SY300_QL70_ML2_.jpg</t>
  </si>
  <si>
    <t>https://m.media-amazon.com/images/I/31l-eZHBfKL._SX300_SY300_QL70_ML2_.jpg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</si>
  <si>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</si>
  <si>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</si>
  <si>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</si>
  <si>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</si>
  <si>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hota.,We’ve been using it for around 2 months, it’s good, sturdy, Bluetooth connectivity is also good.Overall a good purchase.,Good buy in price range,If you travel, it’s your best companion. Has a great stability and length. It’s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</si>
  <si>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</si>
  <si>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</si>
  <si>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</si>
  <si>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</si>
  <si>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Buy,Ók,Nice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</si>
  <si>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</si>
  <si>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</si>
  <si>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</si>
  <si>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</si>
  <si>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</si>
  <si>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</si>
  <si>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</si>
  <si>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</si>
  <si>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https://m.media-amazon.com/images/I/41dtbrNRHdL._SX300_SY300_QL70_ML2_.jpg</t>
  </si>
  <si>
    <t>AFQ7AUYJOIE2HH63KIUQK45ENQ2A,AHT7TTZ5JOTUL7CYSG5BBVPKD37A,AFB2AKARKRKHAB2PUCALX2GXOM3A</t>
  </si>
  <si>
    <t>Prabhanjan,Chittiprolu Ramya,Litu prasada mahanty</t>
  </si>
  <si>
    <t>R33M2Q7OES3GBK,R125QF7WMZW3NW,RMDVRDSEK73L8</t>
  </si>
  <si>
    <t>Quality product,Excellent, it's fast charging,After 12 days not working 😔</t>
  </si>
  <si>
    <t>Product works well and charges the devices in a quick mannerValue for money.,I like this product,Not working 😔 after 12 days</t>
  </si>
  <si>
    <t>https://m.media-amazon.com/images/I/31poWDDorOL._SY300_SX300_QL70_ML2_.jpg</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</si>
  <si>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</si>
  <si>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</si>
  <si>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</si>
  <si>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</si>
  <si>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</si>
  <si>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</si>
  <si>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</si>
  <si>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</si>
  <si>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</si>
  <si>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</si>
  <si>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haven’t touched my phone charger for 2-3 days and completely used this power bank for charging and still it wasn’t dried outBut the problem is weight too heavy i must say</t>
  </si>
  <si>
    <t>https://m.media-amazon.com/images/I/31zYqHExOPS._SX300_SY300_QL70_ML2_.jpg</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</si>
  <si>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</si>
  <si>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</si>
  <si>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</si>
  <si>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</si>
  <si>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</si>
  <si>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</si>
  <si>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</si>
  <si>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</si>
  <si>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</si>
  <si>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</si>
  <si>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</si>
  <si>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</si>
  <si>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https://m.media-amazon.com/images/I/41pmcRIe45L._SX300_SY300_QL70_ML2_.jpg</t>
  </si>
  <si>
    <t>https://m.media-amazon.com/images/I/41Ims-JX0kL._SX300_SY300_QL70_ML2_.jpg</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</si>
  <si>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</si>
  <si>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</si>
  <si>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</si>
  <si>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</si>
  <si>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</si>
  <si>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</si>
  <si>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</si>
  <si>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</si>
  <si>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</si>
  <si>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</si>
  <si>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it’s the best budget pencil. I will update my review to 5 stars ⭐️⭐️⭐️⭐️⭐️ after using and testing it for a while if it passes all the criterion. Thankyou.</t>
  </si>
  <si>
    <t>https://m.media-amazon.com/images/I/217Lv1D3bHL._SX300_SY300_QL70_ML2_.jpg</t>
  </si>
  <si>
    <t>https://m.media-amazon.com/images/I/31IdiM9ZM8L._SX300_SY300_QL70_FMwebp_.jpg</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</si>
  <si>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</si>
  <si>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</si>
  <si>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</si>
  <si>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</si>
  <si>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PUBG.It’s been 2-3 days I used it daily for 6-7 hours on full charge, it has no buttons and it works on touch sensor which was impressive for me and in PUBG it doesn’t give delay as written in the comments, it has a good latency better than what I had expected from the negative comments.Sometimes though I faced the issue where one side of the airdope stops working because it’s either on standby without detecting the user or a bug which is included in the faq/guide/help card in the box I’m satisfied in terms of gaming.For sports like running I wouldn’t recommend because it slips away however maybe u can tie the airdope with a thread attached to ur neck so that it’s safe from landing on the ground I’m gonna try that, please don’t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</si>
  <si>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</si>
  <si>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https://m.media-amazon.com/images/I/41sHRWXCfvL._SX300_SY300_QL70_FMwebp_.jpg</t>
  </si>
  <si>
    <t>https://m.media-amazon.com/images/I/41d69zua5LL._SX300_SY300_QL70_FMwebp_.jpg</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</si>
  <si>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</si>
  <si>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</si>
  <si>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</si>
  <si>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</si>
  <si>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</si>
  <si>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</si>
  <si>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</si>
  <si>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</si>
  <si>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</si>
  <si>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</si>
  <si>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</si>
  <si>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</si>
  <si>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</si>
  <si>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</si>
  <si>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</si>
  <si>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</si>
  <si>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 overall good product thank you amazon,So far so good , a good alternative for paper  it works fine ... let's see how long it will last .,Nice for kids to play with,Nice,Awesome my son like it very much</t>
  </si>
  <si>
    <t>https://m.media-amazon.com/images/I/51YTmlApiXL._SX300_SY300_QL70_FMwebp_.jpg</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</si>
  <si>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</si>
  <si>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</si>
  <si>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</si>
  <si>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</si>
  <si>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</si>
  <si>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</si>
  <si>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</si>
  <si>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</si>
  <si>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</si>
  <si>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 Good As Compared to Market Products,Totally is good 😊</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</si>
  <si>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 Students &amp; laptop 💻 work.But not enough strong to lift heavy-weight items. Stability is also well.,Product is good and quality of table.i like this....</t>
  </si>
  <si>
    <t>https://m.media-amazon.com/images/I/41EbxurQIDL._SX300_SY300_QL70_FMwebp_.jpg</t>
  </si>
  <si>
    <t>https://m.media-amazon.com/images/I/41ML8ZbPiiL._SY300_SX300_QL70_FMwebp_.jpg</t>
  </si>
  <si>
    <t>https://m.media-amazon.com/images/W/WEBP_402378-T2/images/I/41Peg4pz7fL._SX300_SY300_QL70_FMwebp_.jpg</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</si>
  <si>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</si>
  <si>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</si>
  <si>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</si>
  <si>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</si>
  <si>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</si>
  <si>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</si>
  <si>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</si>
  <si>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</si>
  <si>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</si>
  <si>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</si>
  <si>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</si>
  <si>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</si>
  <si>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</si>
  <si>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</si>
  <si>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</si>
  <si>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</si>
  <si>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 and value for money 💰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</si>
  <si>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</si>
  <si>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https://m.media-amazon.com/images/W/WEBP_402378-T2/images/I/31NnmYempPL._SX300_SY300_QL70_FMwebp_.jpg</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</si>
  <si>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</si>
  <si>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</si>
  <si>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</si>
  <si>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</si>
  <si>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</si>
  <si>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</si>
  <si>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</si>
  <si>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</si>
  <si>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</si>
  <si>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Product,Ok,उपयोगी एवं संतोषजनक,Ok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</si>
  <si>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t>
  </si>
  <si>
    <t>https://m.media-amazon.com/images/W/WEBP_402378-T1/images/I/41rxRY5TDSL._SX300_SY300_QL70_FMwebp_.jpg</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</si>
  <si>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</si>
  <si>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</si>
  <si>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</si>
  <si>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</si>
  <si>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</si>
  <si>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</si>
  <si>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</si>
  <si>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</si>
  <si>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</si>
  <si>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</si>
  <si>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it’s expensive too then u should try this…. It really protect ur wires,Good,Good product, value for money,It's nice but thoda length or ho sakti h size thoda chota h,Best product for usb and other cables</t>
  </si>
  <si>
    <t>https://m.media-amazon.com/images/W/WEBP_402378-T2/images/I/41oSVnJMFKL._SX300_SY300_QL70_FMwebp_.jpg</t>
  </si>
  <si>
    <t>https://m.media-amazon.com/images/W/WEBP_402378-T2/images/I/41LZP1CmYRL._SX300_SY300_QL70_FMwebp_.jpg</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</si>
  <si>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</si>
  <si>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</si>
  <si>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</si>
  <si>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</si>
  <si>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doesn’t work for car stereo,57 GB OUT OF 64,So far so good,Good product,Ok</t>
  </si>
  <si>
    <t>https://m.media-amazon.com/images/I/31febYa30qL._SX300_SY300_QL70_FMwebp_.jpg</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</si>
  <si>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</si>
  <si>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</si>
  <si>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</si>
  <si>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</si>
  <si>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</si>
  <si>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</si>
  <si>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</si>
  <si>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</si>
  <si>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</si>
  <si>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</si>
  <si>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</si>
  <si>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</si>
  <si>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https://m.media-amazon.com/images/W/WEBP_402378-T1/images/I/41qqmdUWnhL._SX300_SY300_QL70_FMwebp_.jpg</t>
  </si>
  <si>
    <t>https://m.media-amazon.com/images/W/WEBP_402378-T2/images/I/41ApzUQQFVL._SX300_SY300_QL70_FMwebp_.jpg</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</si>
  <si>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</si>
  <si>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</si>
  <si>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</si>
  <si>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</si>
  <si>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 Comfortable.▪ Elegant and sober appearance.▪ Reasonable battery life. I would let the earbuds recharge at, for example, mealtimes.▪ Decent range. Going a few meters into the next room, with a concrete wall in between, was no issue.▪ The battery status of the dock is shown by a series of LED blinks. Simple and practical.CONS:▪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🔥❤️,it doesn't fit as snugly in my ears, maybe it is cause of greasy ears, but the product is good, highly recommended,,Bolte audio bass is very good</t>
  </si>
  <si>
    <t>https://m.media-amazon.com/images/I/31DbAD6EoCL._SX300_SY300_QL70_FMwebp_.jpg</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</si>
  <si>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</si>
  <si>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</si>
  <si>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</si>
  <si>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</si>
  <si>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</si>
  <si>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</si>
  <si>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</si>
  <si>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</si>
  <si>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</si>
  <si>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</si>
  <si>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</si>
  <si>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</si>
  <si>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</si>
  <si>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</si>
  <si>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</si>
  <si>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</si>
  <si>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</si>
  <si>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</si>
  <si>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</si>
  <si>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</si>
  <si>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</si>
  <si>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</si>
  <si>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</si>
  <si>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</si>
  <si>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https://m.media-amazon.com/images/W/WEBP_402378-T2/images/I/51UsScvHQNL._SX300_SY300_QL70_FMwebp_.jpg</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</si>
  <si>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</si>
  <si>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</si>
  <si>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</si>
  <si>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</si>
  <si>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</si>
  <si>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</si>
  <si>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</si>
  <si>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</si>
  <si>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</si>
  <si>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</si>
  <si>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</si>
  <si>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</si>
  <si>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</si>
  <si>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</si>
  <si>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</si>
  <si>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</si>
  <si>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</si>
  <si>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</si>
  <si>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</si>
  <si>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</si>
  <si>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</si>
  <si>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</si>
  <si>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</si>
  <si>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</si>
  <si>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https://m.media-amazon.com/images/I/41r1d8a2WGL._SX300_SY300_QL70_FMwebp_.jpg</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</si>
  <si>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</si>
  <si>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</si>
  <si>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</si>
  <si>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</si>
  <si>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  for thi renge</t>
  </si>
  <si>
    <t>https://m.media-amazon.com/images/I/41dNRo8Hu8L._SX300_SY300_QL70_FMwebp_.jpg</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</si>
  <si>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</si>
  <si>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</si>
  <si>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</si>
  <si>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</si>
  <si>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</si>
  <si>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</si>
  <si>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</si>
  <si>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</si>
  <si>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</si>
  <si>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</si>
  <si>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</si>
  <si>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</si>
  <si>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</si>
  <si>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</si>
  <si>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</si>
  <si>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</si>
  <si>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</si>
  <si>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</si>
  <si>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</si>
  <si>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</si>
  <si>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</si>
  <si>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</si>
  <si>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</si>
  <si>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</si>
  <si>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</si>
  <si>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</si>
  <si>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</si>
  <si>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🙂,Good product,Good product at this price.,Not for gaming,Good product.</t>
  </si>
  <si>
    <t>I have used it for week now on daily basis. It's a good product.1.For normal use It's great. You can use it with ease.2. For game 🎮  also it is usable but it's littel bit on heavy side Its unnoticeable if you are not that habitable to play games.3 sleep mode is a good feature which helps to save battery 🔋.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</si>
  <si>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</si>
  <si>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https://m.media-amazon.com/images/W/WEBP_402378-T1/images/I/41V5FtEWPkL._SX300_SY300_QL70_FMwebp_.jpg</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</si>
  <si>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</si>
  <si>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</si>
  <si>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</si>
  <si>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</si>
  <si>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</si>
  <si>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</si>
  <si>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</si>
  <si>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</si>
  <si>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</si>
  <si>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</si>
  <si>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it👍,like the stability and mobile holder,Simply Superb this one for phones &amp; cameras</t>
  </si>
  <si>
    <t>https://m.media-amazon.com/images/I/41Fm0YcrDqL._SX300_SY300_QL70_FMwebp_.jpg</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</si>
  <si>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</si>
  <si>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</si>
  <si>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</si>
  <si>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</si>
  <si>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</si>
  <si>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</si>
  <si>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https://m.media-amazon.com/images/I/31VzNhhqifL._SX300_SY300_QL70_FMwebp_.jpg</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</si>
  <si>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</si>
  <si>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</si>
  <si>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</si>
  <si>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</si>
  <si>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</si>
  <si>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</si>
  <si>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https://m.media-amazon.com/images/W/WEBP_402378-T1/images/I/41lQan54SPL._SX300_SY300_QL70_FMwebp_.jpg</t>
  </si>
  <si>
    <t>https://m.media-amazon.com/images/I/41MmsYTi06L._SX300_SY300_QL70_FMwebp_.jpg</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</si>
  <si>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</si>
  <si>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</si>
  <si>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</si>
  <si>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</si>
  <si>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 Nice Sound Quality while using Crystal Bionic Sound, but it's average on normal mode which feels a little more bassy and losses clarity at certain points.• Great Build Quality• It's ANC &amp; Ambience mode is good in this price range.• It's quite Comfortable to wear for long sessions as per my ear fitting.•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 It's range is very low considering Bluetooth v5.2, I even have BoAt neckband with v5.0 which has better range. Even a single wall coming in between 3-4ms can block the sound output.• Its battery life is average which needs charge every day if you use it for roughly 8-10 hours everyday with Bionic Crystal Mode/ANC enabled.• While using Dual Pairing sometimes there are sound drops and lags in between. And the sound gets high pitched and starts lagging sometimes if you switch quickly between devices. (This happened on the Replacement unit I received, maybe it's not the case with your unit).•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</si>
  <si>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</si>
  <si>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</si>
  <si>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</si>
  <si>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</si>
  <si>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</si>
  <si>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</si>
  <si>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</si>
  <si>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</si>
  <si>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</si>
  <si>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</si>
  <si>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</si>
  <si>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</si>
  <si>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</si>
  <si>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</si>
  <si>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</si>
  <si>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</si>
  <si>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</si>
  <si>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-niceSound-osm😎Disyan-nice and value for moneyThank you amezon ♥️</t>
  </si>
  <si>
    <t>https://m.media-amazon.com/images/W/WEBP_402378-T1/images/I/41nGG6kJr9L._SX300_SY300_QL70_FMwebp_.jpg</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</si>
  <si>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</si>
  <si>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</si>
  <si>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</si>
  <si>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 NOT VALUE FOR 💸💰,Good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</si>
  <si>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 PROS▪︎Light weight and easy to assemble.▪︎Very Good for small devices.▪︎Stability is superb.▪︎Comes with Bluetooth remote.▪︎Quality of Rubber and Plastic is great● CONS▪︎Size is quite small, it looks little bigger in the images shown.▪︎ Not at all Suitable for Big DSLR cameras or video cameras.▪︎ I think that the rotaion of the balls can become loose after several months of use. I'LL Update here.●Final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</si>
  <si>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</si>
  <si>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</si>
  <si>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</si>
  <si>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</si>
  <si>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</si>
  <si>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t>
  </si>
  <si>
    <t>https://m.media-amazon.com/images/I/31R6RP26dzL._SY300_SX300_QL70_FMwebp_.jpg</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</si>
  <si>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</si>
  <si>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</si>
  <si>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</si>
  <si>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</si>
  <si>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</si>
  <si>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</si>
  <si>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https://m.media-amazon.com/images/I/41nf9n-v3pL._SX300_SY300_QL70_FMwebp_.jpg</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</si>
  <si>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</si>
  <si>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</si>
  <si>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</si>
  <si>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</si>
  <si>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</si>
  <si>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</si>
  <si>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</si>
  <si>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</si>
  <si>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</si>
  <si>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</si>
  <si>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3.0.,மூன்று வருடங்களுக்கு முன்பு 16 ஜிபி சண்டிஸ்க் பென் டிரைவ் வாங்கியபோது ,அதில் Reading and writing ன் பொது orange colour பிளின்கிங் லைட் இருந்தது, இப்பொழுது 128ஜிபி-ல் இல்லாதது பின்னடைவை கொடுக்கிறது,https://m.media-amazon.com/images/I/11mPdnwyGSL._SY88.jpg,Good,Nice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</si>
  <si>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</si>
  <si>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</si>
  <si>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</si>
  <si>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</si>
  <si>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</si>
  <si>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</si>
  <si>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</si>
  <si>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</si>
  <si>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</si>
  <si>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</si>
  <si>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</si>
  <si>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</si>
  <si>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</si>
  <si>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</si>
  <si>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</si>
  <si>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</si>
  <si>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</si>
  <si>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</si>
  <si>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</si>
  <si>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</si>
  <si>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</si>
  <si>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</si>
  <si>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</si>
  <si>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</si>
  <si>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</si>
  <si>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</si>
  <si>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</si>
  <si>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</si>
  <si>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</si>
  <si>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</si>
  <si>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</si>
  <si>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</si>
  <si>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</si>
  <si>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</si>
  <si>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</si>
  <si>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“palettes”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☺️,I Used it on a canvas, i liked how the colors are vibrant and unique,Love 💓 the colours... Easy to use and are waterproof,The quality is good. Good deal at this price</t>
  </si>
  <si>
    <t>https://m.media-amazon.com/images/W/WEBP_402378-T1/images/I/4136eo-yWlL._SX300_SY300_QL70_FMwebp_.jpg</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</si>
  <si>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</si>
  <si>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</si>
  <si>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</si>
  <si>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</si>
  <si>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</si>
  <si>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</si>
  <si>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</si>
  <si>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</si>
  <si>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</si>
  <si>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</si>
  <si>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</si>
  <si>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</si>
  <si>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</si>
  <si>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</si>
  <si>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</si>
  <si>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</si>
  <si>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</si>
  <si>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</si>
  <si>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</si>
  <si>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</si>
  <si>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</si>
  <si>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</si>
  <si>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  Boult Audio BassBuds X1 in-Ear Wired Earphones with 10mm Extra Bass Driver and HD Sound with mic(Black)  Boult Audio BassBuds Loop in-Ear Wired Earphones with 12mm Powerful Driver for Extra Bass with Customizable Ear Loop…Buy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 1,198.00 ₹ 899.00 ₹ 1,199.00 ₹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</si>
  <si>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</si>
  <si>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https://m.media-amazon.com/images/W/WEBP_402378-T1/images/I/31RktQKvhoL._SX300_SY300_QL70_FMwebp_.jpg</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</si>
  <si>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</si>
  <si>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</si>
  <si>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</si>
  <si>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</si>
  <si>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</si>
  <si>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</si>
  <si>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</si>
  <si>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</si>
  <si>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</si>
  <si>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</si>
  <si>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</si>
  <si>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</si>
  <si>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</si>
  <si>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</si>
  <si>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</si>
  <si>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</si>
  <si>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</si>
  <si>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</si>
  <si>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</si>
  <si>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</si>
  <si>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</si>
  <si>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</si>
  <si>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</si>
  <si>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</si>
  <si>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</si>
  <si>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</si>
  <si>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</si>
  <si>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</si>
  <si>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</si>
  <si>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</si>
  <si>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</si>
  <si>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</si>
  <si>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</si>
  <si>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</si>
  <si>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</si>
  <si>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</si>
  <si>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</si>
  <si>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</si>
  <si>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</si>
  <si>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</si>
  <si>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</si>
  <si>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</si>
  <si>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</si>
  <si>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</si>
  <si>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</si>
  <si>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</si>
  <si>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</si>
  <si>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</si>
  <si>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</si>
  <si>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</si>
  <si>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</si>
  <si>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</si>
  <si>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</si>
  <si>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</si>
  <si>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</si>
  <si>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</si>
  <si>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</si>
  <si>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</si>
  <si>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</si>
  <si>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</si>
  <si>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</si>
  <si>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</si>
  <si>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</si>
  <si>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</si>
  <si>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</si>
  <si>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</si>
  <si>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</si>
  <si>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</si>
  <si>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</si>
  <si>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👍💯,Good 👍</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</si>
  <si>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t>
  </si>
  <si>
    <t>https://m.media-amazon.com/images/W/WEBP_402378-T2/images/I/31ZMMGdh5nL._SX300_SY300_QL70_FMwebp_.jpg</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</si>
  <si>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it’s useful for not to brake the cable</t>
  </si>
  <si>
    <t>https://m.media-amazon.com/images/W/WEBP_402378-T1/images/I/511g3fIVsqL._SY300_SX300_QL70_FMwebp_.jpg</t>
  </si>
  <si>
    <t>https://m.media-amazon.com/images/W/WEBP_402378-T2/images/I/31dJ+lXJq3L._SY300_SX300_.jpg</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</si>
  <si>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</si>
  <si>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</si>
  <si>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</si>
  <si>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Product,Good,👍,Meets purpose,Nice battery,Good,Value for money,Works flawlessly</t>
  </si>
  <si>
    <t>Made in Indonesia, (thankfully not China).,Good for long use of remote,👏,Battery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</si>
  <si>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</si>
  <si>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</si>
  <si>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</si>
  <si>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</si>
  <si>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</si>
  <si>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</si>
  <si>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</si>
  <si>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AEZPNXZLF5U7XEX6TOW3J56C3XDA,AGG3ECGCIKNPZJEVJKMFI24VBSCQ,AHJWICC6V4BPVHNSGZ3FCIC4KUBQ,AF3SNGFXLO2ONOHN3SHCJZMEWYFQ,AHTBWFIYIZUPOLJC7KOWKDPK4PGQ,AGNE5T4E7SEMJUDM4COI6JBNJQBQ,AFMW4FWA573DFJ2FLM5SVSJ2RABA,AFMZYKMUK4P6MPASSKTR6OB22Y2A</t>
  </si>
  <si>
    <t>Amita,Ganesh,zhiv,Sarasij Pal,ज्ञानेंद्र सिंह,Ehsan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</si>
  <si>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</si>
  <si>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</si>
  <si>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</si>
  <si>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</si>
  <si>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https://m.media-amazon.com/images/I/41pfjyUPZLL._SX300_SY300_QL70_FMwebp_.jpg</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</si>
  <si>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</si>
  <si>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</si>
  <si>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</si>
  <si>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</si>
  <si>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</si>
  <si>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</si>
  <si>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</si>
  <si>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</si>
  <si>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</si>
  <si>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</si>
  <si>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</si>
  <si>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</si>
  <si>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</si>
  <si>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</si>
  <si>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</si>
  <si>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</si>
  <si>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 now i ordered zeb bang pro(699)rsIf it also sound loud thing, then i shutdown with boat 400 (900rs) segmentNote: if i get boat 660 in initially , i wont go for these alllllll). Bcoz unbeaten and full fil my all expect thanknu😊,Sound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☺️,It is overall a nice product</t>
  </si>
  <si>
    <t>https://m.media-amazon.com/images/I/41AP5QV2M0L._SX300_SY300_QL70_FMwebp_.jpg</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</si>
  <si>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</si>
  <si>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</si>
  <si>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</si>
  <si>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</si>
  <si>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</si>
  <si>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</si>
  <si>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</si>
  <si>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</si>
  <si>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</si>
  <si>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</si>
  <si>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</si>
  <si>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</si>
  <si>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</si>
  <si>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</si>
  <si>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</si>
  <si>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</si>
  <si>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</si>
  <si>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</si>
  <si>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</si>
  <si>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</si>
  <si>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</si>
  <si>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</si>
  <si>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</si>
  <si>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</si>
  <si>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https://m.media-amazon.com/images/I/41z7FRqEerL._SX300_SY300_QL70_FMwebp_.jpg</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</si>
  <si>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</si>
  <si>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</si>
  <si>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</si>
  <si>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</si>
  <si>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</si>
  <si>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</si>
  <si>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</si>
  <si>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</si>
  <si>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</si>
  <si>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</si>
  <si>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</si>
  <si>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</si>
  <si>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</si>
  <si>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</si>
  <si>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</si>
  <si>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 Good</t>
  </si>
  <si>
    <t>Review after using it for about a month -pros-• battery backup is the most amazing of all.• sound quality is amazing but bass is on the low side.• build quality is well made almost feels premium but could be improved.• very comfy even after a long day use.cons-• There's a noticable delay in touch controls (most irritating one).• There's no such thing as no delay during gaming on wireless earphones. just get wired instead of this if you are planning on using it for gaming.• Noise cancellation calling or enc doesnt work, also while calling 2nd person most of the time says that "I can't hear you well" or "Your voice is so low" on outdoors.• Sometimes a earphone doesn't turns on, so I have to manually turn it on.•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</si>
  <si>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</si>
  <si>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</si>
  <si>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</si>
  <si>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</si>
  <si>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</si>
  <si>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</si>
  <si>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</si>
  <si>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</si>
  <si>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</si>
  <si>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</si>
  <si>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</si>
  <si>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</si>
  <si>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</si>
  <si>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AHECNVXSW6REC5TOGBH6OJXIBL4A,AFWAX2O5B5I36ESHPOWZKN25BYPA,AHSDH2Q4Q2QSUYUGEAGPIR22MT7Q,AFSJOIQSSLDDJPOWX3DDKXDA6T5A,AF7YEBOIUIR3AWM2L4PCV2MCTUOA,AGUXZXNTCLWNP7Y5QA2KYEJLBMKA,AGBT7W456GGMVOR73SNSIGLSK5DQ,AGYF2BCD5W756VOY2V5HJQCX4H4A</t>
  </si>
  <si>
    <t>Ankita Dwivedi,Malathi Alunkar,Shubham♎,Oishi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</si>
  <si>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</si>
  <si>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</si>
  <si>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</si>
  <si>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</si>
  <si>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</si>
  <si>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</si>
  <si>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</si>
  <si>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</si>
  <si>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doesn’t look much durable.</t>
  </si>
  <si>
    <t>https://m.media-amazon.com/images/W/WEBP_402378-T2/images/I/3172BJyynBS._SY300_SX300_QL70_FMwebp_.jpg</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</si>
  <si>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</si>
  <si>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</si>
  <si>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</si>
  <si>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</si>
  <si>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</si>
  <si>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</si>
  <si>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</si>
  <si>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</si>
  <si>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</si>
  <si>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</si>
  <si>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it’s worth product. The cushion on the mic comes out easily , couldn’t have been fixed properly,Good,The built design is ok for the product. Everytime i wear and do the resizing my hair gets stuck in the band which is irritating. Rest sound and all is good👍🏻,I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</si>
  <si>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</si>
  <si>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AEACCLBAYRCRJLUMTQVS5JSOYYVA,AEBFS3LI626ABZMQMQQZAVCZMSEA,AEPNFXQVCUUGVV74K5KGJEIGCBMA,AE7YHD67JEECIX3IESFI44QL4HNQ,AFCCTAOXYH2XQNESLRQRH72G27ZQ,AGSVOGYYWRHJDZKU3MCFFYIPEVWQ,AGWVUW6YRWVQ3III5WXH7X4RE4DA,AHEH2QAVUEPNGB7EQJJWPYAOCAAQ</t>
  </si>
  <si>
    <t>Joel Thomas,Joy Ghosh,Amazon Customer,Pıŋkɘsh Goʋɽ,Deepak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</si>
  <si>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</si>
  <si>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</si>
  <si>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</si>
  <si>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</si>
  <si>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https://m.media-amazon.com/images/I/31gaP7qpBNL._SX300_SY300_QL70_FMwebp_.jpg</t>
  </si>
  <si>
    <t>https://m.media-amazon.com/images/I/41TZJiPRRwL._SX300_SY300_QL70_FMwebp_.jpg</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</si>
  <si>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</si>
  <si>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</si>
  <si>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</si>
  <si>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...!!!!👍,Single band. 2.4 ghz only,Difficult,Valued for money,So far all is good,Ok,it’s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</si>
  <si>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it’s been working perfectly with great signal strength!,It is a good product valued for money but I think it should be sometimes give low speed,I wish I could have ordered dual band ...But so far it's giving satisfactory service,Working fine,Product is ok but it’s only for 2.4ghz mistakenly got it</t>
  </si>
  <si>
    <t>https://m.media-amazon.com/images/W/WEBP_402378-T1/images/I/21n1BGPOHBL._SX300_SY300_QL70_FMwebp_.jpg</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</si>
  <si>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</si>
  <si>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</si>
  <si>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</si>
  <si>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</si>
  <si>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</si>
  <si>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</si>
  <si>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</si>
  <si>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</si>
  <si>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</si>
  <si>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</si>
  <si>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80’s.. but one problem is few don’t develop at all.,Nice, as per expectations,This is bad after 1 month,Okay productWorth the purchase.</t>
  </si>
  <si>
    <t>https://m.media-amazon.com/images/I/51fEftU7HAL._SX300_SY300_QL70_FMwebp_.jpg</t>
  </si>
  <si>
    <t>https://m.media-amazon.com/images/I/41ziJKWj9LL._SX300_SY300_QL70_FMwebp_.jpg</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</si>
  <si>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</si>
  <si>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</si>
  <si>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</si>
  <si>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</si>
  <si>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</si>
  <si>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</si>
  <si>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</si>
  <si>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</si>
  <si>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</si>
  <si>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</si>
  <si>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</si>
  <si>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</si>
  <si>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</si>
  <si>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</si>
  <si>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</si>
  <si>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</si>
  <si>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</si>
  <si>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</si>
  <si>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</si>
  <si>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</si>
  <si>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</si>
  <si>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</si>
  <si>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</si>
  <si>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</si>
  <si>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AEKLUZARDMPMWERNPZFR6JD3BYBA,AFZLO4JX4Y2XDISGVAWMFE4GIZZA,AFGENKSKOZGTS6YYL5CYWKMV5MCA,AF4XQLEHSE3N5EXHAFITQTURTKUA,AEOHSSPCLSTWA4MAPWJJLJHSJDMQ,AFWL3FG6OEIIFL3TUJIB76DXYWXQ,AEUYQQW6ZI6DK2MJQTX2O7SNRENA,AHCEHLGVT3XPNMBLTOFSQRRZ3ZTQ</t>
  </si>
  <si>
    <t>Mr. Nøbødy,Muzammil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</si>
  <si>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</si>
  <si>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</si>
  <si>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</si>
  <si>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</si>
  <si>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</si>
  <si>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</si>
  <si>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</si>
  <si>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</si>
  <si>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</si>
  <si>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</si>
  <si>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</si>
  <si>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</si>
  <si>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</si>
  <si>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charger,Good,बहुत ही अच्छा चार्जर है</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</si>
  <si>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</si>
  <si>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</si>
  <si>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</si>
  <si>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</si>
  <si>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</si>
  <si>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</si>
  <si>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“M”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don’t consider its music quality a con for the product. There’s one limitation about charging connector to. It comes with a charging port compatible to A/B type connector, so if you have a charger with data cable supporting “C”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“Bluebatt” or “Bluetooth check ringtone and show battery level”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company’s product packaging. Manufacturing date was of May-2021.,I like it,Portability and Bluetooth connection is good.,Awesome 😎👍</t>
  </si>
  <si>
    <t>https://m.media-amazon.com/images/I/41goRo3UXhL._SX300_SY300_QL70_FMwebp_.jpg</t>
  </si>
  <si>
    <t>https://m.media-amazon.com/images/I/31jgUvSar0L._SX300_SY300_QL70_FMwebp_.jpg</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</si>
  <si>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</si>
  <si>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</si>
  <si>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</si>
  <si>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</si>
  <si>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t>
  </si>
  <si>
    <t>https://m.media-amazon.com/images/I/3164hjUSFdL._SX300_SY300_QL70_FMwebp_.jpg</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</si>
  <si>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</si>
  <si>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</si>
  <si>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</si>
  <si>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</si>
  <si>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</si>
  <si>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</si>
  <si>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</si>
  <si>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</si>
  <si>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</si>
  <si>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</si>
  <si>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</si>
  <si>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</si>
  <si>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</si>
  <si>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</si>
  <si>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</si>
  <si>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</si>
  <si>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today’s comfort-seeking world, who’s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“SanDisk Ultra - Dual Drive m3.0” and is the newer 2017 version of its previous iteration. Here I need to quote that the term “Ultra”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that’s a relief to anyone.The format would surely work well with most of the TVs, tablets and mobiles though check it with the car audio head unit and try to change to NTFS if it doesn’t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“Ultra”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 write which looked like a mere consolation. Transfer between my Samsung S7 mobile &amp; S2 tablet too was not fast.Verdict : Yes my friends , all other reviews about this being slow to the point of being unbearable are absolutely right and maybe San disk should retag it as “Ultra-slow”.@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Hपेनड्राइव ओरिजिनल हैं क्वालिटी भी काफी अच्छी हैं थोड़ा सा स्टोरेज कम मिलता हैं तीन जीबी का 64 जीबी कि जगह 61 जीबी ही मिलता हैं पर काम अच्छा करता हैं, इस्तेमाल करते टाइम थोड़ा गर्म  होता हैं पर अच्छा काम करता हैं |,Good</t>
  </si>
  <si>
    <t>https://m.media-amazon.com/images/I/41sAt4BZydL._SX300_SY300_QL70_FMwebp_.jpg</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</si>
  <si>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</si>
  <si>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</si>
  <si>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</si>
  <si>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</si>
  <si>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</si>
  <si>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</si>
  <si>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</si>
  <si>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</si>
  <si>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</si>
  <si>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</si>
  <si>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</si>
  <si>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</si>
  <si>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</si>
  <si>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</si>
  <si>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</si>
  <si>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</si>
  <si>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</si>
  <si>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</si>
  <si>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https://m.media-amazon.com/images/I/31MIyzg8uzL._SX300_SY300_QL70_FMwebp_.jpg</t>
  </si>
  <si>
    <t>https://m.media-amazon.com/images/I/51q3+E64azL._SX300_SY300_.jpg</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</si>
  <si>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</si>
  <si>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</si>
  <si>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</si>
  <si>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</si>
  <si>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</si>
  <si>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</si>
  <si>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https://m.media-amazon.com/images/W/WEBP_402378-T1/images/I/317lVfwVu8L._SX300_SY300_QL70_FMwebp_.jpg</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</si>
  <si>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</si>
  <si>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</si>
  <si>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</si>
  <si>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</si>
  <si>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purchase.,सभी  अच्छा है।</t>
  </si>
  <si>
    <t>https://m.media-amazon.com/images/W/WEBP_402378-T2/images/I/51owoY2Xq7L._SX300_SY300_QL70_FMwebp_.jpg</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</si>
  <si>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</si>
  <si>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</si>
  <si>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</si>
  <si>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</si>
  <si>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it’s wire,Value for money, go for it without any confusion. I will update my review after some uses,Good one,Looks good. Quality is also good.</t>
  </si>
  <si>
    <t>https://m.media-amazon.com/images/W/WEBP_402378-T2/images/I/51E0xvwRCpL._SX300_SY300_QL70_FMwebp_.jpg</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</si>
  <si>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</si>
  <si>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</si>
  <si>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</si>
  <si>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</si>
  <si>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</si>
  <si>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</si>
  <si>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</si>
  <si>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</si>
  <si>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</si>
  <si>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</si>
  <si>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❤️Portable also connectivity is fastCharged is late,JBL Go2 is actually good 👍..but sound quality is not much better, according to price..over all ,good... delivery aur packaging bhi bhot acha hai.💟,Battery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</si>
  <si>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</si>
  <si>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</si>
  <si>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</si>
  <si>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</si>
  <si>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</si>
  <si>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</si>
  <si>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</si>
  <si>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</si>
  <si>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</si>
  <si>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</si>
  <si>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</si>
  <si>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</si>
  <si>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</si>
  <si>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</si>
  <si>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</si>
  <si>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</si>
  <si>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</si>
  <si>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</si>
  <si>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</si>
  <si>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https://m.media-amazon.com/images/I/31SKRsp7Y1L._SX300_SY300_QL70_FMwebp_.jpg</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</si>
  <si>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</si>
  <si>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</si>
  <si>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</si>
  <si>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</si>
  <si>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</si>
  <si>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</si>
  <si>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</si>
  <si>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</si>
  <si>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</si>
  <si>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👍,Mouse light is not working but it’s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</si>
  <si>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you’re coming from an ultrabook keyboard).Packaging: No cover. Nothing. Just the box, which was literally torn with visible brown cardboard insides. Yikes!,Good,</t>
  </si>
  <si>
    <t>https://m.media-amazon.com/images/I/41tLaG2nSpL._SX300_SY300_QL70_FMwebp_.jpg</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</si>
  <si>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</si>
  <si>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</si>
  <si>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</si>
  <si>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</si>
  <si>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</si>
  <si>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</si>
  <si>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</si>
  <si>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</si>
  <si>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</si>
  <si>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</si>
  <si>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</si>
  <si>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</si>
  <si>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https://m.media-amazon.com/images/W/WEBP_402378-T1/images/I/31bKIZtFGWL._SX300_SY300_QL70_FMwebp_.jpg</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</si>
  <si>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</si>
  <si>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</si>
  <si>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</si>
  <si>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</si>
  <si>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</si>
  <si>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</si>
  <si>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</si>
  <si>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</si>
  <si>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</si>
  <si>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it’s work,Nice product working absolutely fine,Good,Good product,Value for Money,Okay overall,Value for money..,Good product for i phone users</t>
  </si>
  <si>
    <t>Using it to connect my type C Plantronic headphones to Dell laptop and it’s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t>
  </si>
  <si>
    <t>https://m.media-amazon.com/images/W/WEBP_402378-T2/images/I/51JIngdPfEL._SX300_SY300_QL70_FMwebp_.jpg</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</si>
  <si>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</si>
  <si>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</si>
  <si>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</si>
  <si>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</si>
  <si>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</si>
  <si>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</si>
  <si>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AGDY4LIW3A477KFMINSUKYRMSK7Q,AHX6FDK45XLTIXMOCTEJLIVTHJDQ,AH7QP5VH5777BLVSP5M6KE2IEOWA,AG3B6VHXNSP3NV4QKN6S2UYW3IHA,AGK67PKY5YNSHMUNIPVHWPQKPBLA,AH75SNR4HB6LTEAQRARKQV4PGRJQ,AGCF4OSJR3ZAIS426KF77KR7N52Q,AESIFL6Q25WEMARTHLWMLOCS7ALQ</t>
  </si>
  <si>
    <t>Dilip Kumar,Aakash Purohit,ÂRUN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</si>
  <si>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</si>
  <si>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</si>
  <si>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</si>
  <si>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</si>
  <si>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https://m.media-amazon.com/images/W/WEBP_402378-T2/images/I/41UD9vNsIjS._SX300_SY300_QL70_FMwebp_.jpg</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</si>
  <si>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</si>
  <si>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</si>
  <si>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</si>
  <si>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</si>
  <si>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</si>
  <si>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</si>
  <si>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</si>
  <si>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</si>
  <si>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</si>
  <si>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</si>
  <si>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</si>
  <si>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</si>
  <si>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</si>
  <si>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</si>
  <si>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</si>
  <si>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</si>
  <si>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</si>
  <si>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</si>
  <si>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</si>
  <si>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</si>
  <si>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</si>
  <si>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</si>
  <si>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</si>
  <si>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</si>
  <si>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</si>
  <si>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</si>
  <si>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</si>
  <si>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</si>
  <si>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</si>
  <si>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</si>
  <si>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</si>
  <si>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</si>
  <si>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</si>
  <si>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</si>
  <si>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</si>
  <si>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</si>
  <si>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</si>
  <si>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</si>
  <si>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</si>
  <si>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</si>
  <si>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🙂,nice way to use usb-a devices on macbook air m2 in a cheap price</t>
  </si>
  <si>
    <t>https://m.media-amazon.com/images/I/21qdAZyu9xL._SX300_SY300_QL70_FMwebp_.jpg</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</si>
  <si>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</si>
  <si>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</si>
  <si>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</si>
  <si>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</si>
  <si>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</si>
  <si>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</si>
  <si>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</si>
  <si>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</si>
  <si>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</si>
  <si>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</si>
  <si>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</si>
  <si>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</si>
  <si>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</si>
  <si>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</si>
  <si>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</si>
  <si>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</si>
  <si>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</si>
  <si>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</si>
  <si>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</si>
  <si>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</si>
  <si>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</si>
  <si>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</si>
  <si>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</si>
  <si>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</si>
  <si>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</si>
  <si>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</si>
  <si>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</si>
  <si>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</si>
  <si>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</si>
  <si>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</si>
  <si>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</si>
  <si>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</si>
  <si>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</si>
  <si>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</si>
  <si>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</si>
  <si>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</si>
  <si>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</si>
  <si>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</si>
  <si>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</si>
  <si>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</si>
  <si>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</si>
  <si>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</si>
  <si>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</si>
  <si>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</si>
  <si>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</si>
  <si>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</si>
  <si>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 Boat BassHeads 225 have a frequency range of 20 Hz to 20 kHz. It Features 10 mm drivers. Rated Impedance of 16 ohms. Comes with 1.2 meter Flat Tangle Free Cable. 3.5 mm Gold-Plated L-Shaped Audio Jack (90 degrees).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</si>
  <si>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</si>
  <si>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</si>
  <si>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</si>
  <si>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</si>
  <si>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</si>
  <si>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</si>
  <si>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</si>
  <si>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</si>
  <si>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</si>
  <si>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</si>
  <si>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</si>
  <si>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</si>
  <si>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</si>
  <si>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</si>
  <si>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</si>
  <si>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</si>
  <si>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</si>
  <si>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</si>
  <si>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</si>
  <si>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</si>
  <si>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</si>
  <si>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</si>
  <si>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</si>
  <si>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</si>
  <si>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</si>
  <si>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</si>
  <si>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</si>
  <si>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</si>
  <si>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</si>
  <si>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👌,expensive,I could have gotten Parker  jotter but it feels to thick to hold. this one is slim and smooth feels good in hand too,Very good,Easy to hold, value for money or comfort,The pen was good</t>
  </si>
  <si>
    <t>https://m.media-amazon.com/images/I/41Ae67XZACL._SX300_SY300_QL70_FMwebp_.jpg</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</si>
  <si>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👍,Super,https://m.media-amazon.com/images/W/WEBP_402378-T2/images/I/615xQV8mNDL._SY88.jpg,Amazing look,Screen refresh rate is bit low ,but a great product for this price !,Best product</t>
  </si>
  <si>
    <t>https://m.media-amazon.com/images/W/WEBP_402378-T2/images/I/416+IXsM9lL._SY300_SX300_.jpg</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</si>
  <si>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</si>
  <si>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</si>
  <si>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</si>
  <si>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</si>
  <si>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</si>
  <si>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</si>
  <si>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https://m.media-amazon.com/images/I/41GeM83DzzL._SX300_SY300_QL70_FMwebp_.jpg</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</si>
  <si>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</si>
  <si>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</si>
  <si>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</si>
  <si>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</si>
  <si>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</si>
  <si>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</si>
  <si>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</si>
  <si>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</si>
  <si>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</si>
  <si>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</si>
  <si>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</si>
  <si>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</si>
  <si>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</si>
  <si>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</si>
  <si>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</si>
  <si>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</si>
  <si>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</si>
  <si>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</si>
  <si>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</si>
  <si>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</si>
  <si>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</si>
  <si>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</si>
  <si>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</si>
  <si>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</si>
  <si>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</si>
  <si>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</si>
  <si>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</si>
  <si>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</si>
  <si>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👍🏼,Fulfil purpose, easy to carry, solid material. Think it will last long.,Nice,Liked the product. Easy to carry, portable,  foldable, lightweight.,Good</t>
  </si>
  <si>
    <t>https://m.media-amazon.com/images/I/21VBjRnsH6L._SX300_SY300_QL70_FMwebp_.jpg</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</si>
  <si>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</si>
  <si>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</si>
  <si>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</si>
  <si>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</si>
  <si>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</si>
  <si>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</si>
  <si>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</si>
  <si>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</si>
  <si>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</si>
  <si>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</si>
  <si>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</si>
  <si>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</si>
  <si>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</si>
  <si>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</si>
  <si>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</si>
  <si>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</si>
  <si>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</si>
  <si>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</si>
  <si>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</si>
  <si>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</si>
  <si>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</si>
  <si>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</si>
  <si>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</si>
  <si>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</si>
  <si>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</si>
  <si>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</si>
  <si>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</si>
  <si>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</si>
  <si>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</si>
  <si>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</si>
  <si>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</si>
  <si>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</si>
  <si>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</si>
  <si>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product😡,Ok product,Good product 👍,Good.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</si>
  <si>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t>
  </si>
  <si>
    <t>https://m.media-amazon.com/images/W/WEBP_402378-T1/images/I/31bUanm+oRL._SY300_SX300_.jpg</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</si>
  <si>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</si>
  <si>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</si>
  <si>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</si>
  <si>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</si>
  <si>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</si>
  <si>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</si>
  <si>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</si>
  <si>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</si>
  <si>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</si>
  <si>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</si>
  <si>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</si>
  <si>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</si>
  <si>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</si>
  <si>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</si>
  <si>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</si>
  <si>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</si>
  <si>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</si>
  <si>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</si>
  <si>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https://m.media-amazon.com/images/I/4177nw8okbL._SX300_SY300_QL70_FMwebp_.jpg</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</si>
  <si>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</si>
  <si>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Roy,ÁJíth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</si>
  <si>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</si>
  <si>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</si>
  <si>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</si>
  <si>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</si>
  <si>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</si>
  <si>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</si>
  <si>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</si>
  <si>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</si>
  <si>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it’ll hold up. Worth it just for the price.,Good quality &amp; comfort. But it isn't washable. Will have to throw it eventually even if it doesn't go bad.</t>
  </si>
  <si>
    <t>https://m.media-amazon.com/images/W/WEBP_402378-T1/images/I/31tk9yOK-qL._SX300_SY300_QL70_FMwebp_.jpg</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</si>
  <si>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</si>
  <si>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</si>
  <si>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</si>
  <si>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</si>
  <si>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</si>
  <si>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</si>
  <si>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AFMALPNH6MGGBFCSBABKO6HN2KKA,AHVP3JOVGO4JRMQQPHMEUNYSLZEA,AGMHQJ2A77R33DA4XP3ZHYOMOTHQ,AF5VMYLEUAE5OBUOA4XYAVE3FJEA,AH5UVEDAQ5T5QN3ZCZIDM5TNAAFQ,AHKX52UJ5M3DNLQFUIONNKE3TSUA,AFWTGD4FCS2E2U2TDCOEOGP2FWEA,AFAFL4TW6TSNMNULD4R22QMZVDIA</t>
  </si>
  <si>
    <t>Bikki Chowdhury,m̶a̶n̶n̶u̶ m̶e̶h̶t̶a̶,Well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</si>
  <si>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</si>
  <si>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</si>
  <si>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😊👍Instant support must buy 👍Totally satisfied with the product 👍👍👍😊,Highly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</si>
  <si>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</si>
  <si>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</si>
  <si>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</si>
  <si>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</si>
  <si>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</si>
  <si>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</si>
  <si>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</si>
  <si>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</si>
  <si>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</si>
  <si>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</si>
  <si>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👍,Product is Good,VALUE FOR MONEY,Worth it,Notebook is good and paking in very bad,Very nice book and good packaging,Nice set of 12 Lovely 😍 Books 📚,The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</si>
  <si>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</si>
  <si>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</si>
  <si>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</si>
  <si>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</si>
  <si>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</si>
  <si>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</si>
  <si>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</si>
  <si>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</si>
  <si>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</si>
  <si>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</si>
  <si>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</si>
  <si>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</si>
  <si>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t>
  </si>
  <si>
    <t>https://m.media-amazon.com/images/W/WEBP_402378-T1/images/I/41bvBlmqDdL._SX300_SY300_QL70_FMwebp_.jpg</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</si>
  <si>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</si>
  <si>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</si>
  <si>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</si>
  <si>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</si>
  <si>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</si>
  <si>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</si>
  <si>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</si>
  <si>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</si>
  <si>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</si>
  <si>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</si>
  <si>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</si>
  <si>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</si>
  <si>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</si>
  <si>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</si>
  <si>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</si>
  <si>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</si>
  <si>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</si>
  <si>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</si>
  <si>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</si>
  <si>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</si>
  <si>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</si>
  <si>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</si>
  <si>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</si>
  <si>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</si>
  <si>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</si>
  <si>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</si>
  <si>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</si>
  <si>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</si>
  <si>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</si>
  <si>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</si>
  <si>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</si>
  <si>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</si>
  <si>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</si>
  <si>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</si>
  <si>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</si>
  <si>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</si>
  <si>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</si>
  <si>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</si>
  <si>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</si>
  <si>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</si>
  <si>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</si>
  <si>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AHQ4Q75NBEWOM4OWOXUZW7V247NQ,AEQCAMSZJTMNIKXAPXCKT5XLOWIA,AGCHPEKLU5ZFHDV7K3QYXNJQP6JA,AFFXN6T5QGDHRUO24P4PM56E7AAA,AGUPZJ4VI66F5L3GN2VT6QDZEAJQ,AFVIFCKLO7ADXYQAQ2T74HUJEBEA,AFRCL2UST67EVGUTDLV2JGI4OKUA,AFCCTAOXYH2XQNESLRQRH72G27ZQ</t>
  </si>
  <si>
    <t>ˢᴰ82ˢᶜ ✔️,Manish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</si>
  <si>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</si>
  <si>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t>
  </si>
  <si>
    <t>at Rs.319 it's a great deal. I use it for mobile vlogging.,Noice cancellation is not working,Value of money 💰,Good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t>
  </si>
  <si>
    <t>https://m.media-amazon.com/images/W/WEBP_402378-T1/images/I/413viCgpI+L._SY300_SX300_.jpg</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</si>
  <si>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</si>
  <si>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</si>
  <si>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</si>
  <si>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</si>
  <si>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</si>
  <si>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</si>
  <si>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https://m.media-amazon.com/images/W/WEBP_402378-T1/images/I/41Fqm0bR7PL._SX300_SY300_QL70_FMwebp_.jpg</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</si>
  <si>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</si>
  <si>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</si>
  <si>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</si>
  <si>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</si>
  <si>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</si>
  <si>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</si>
  <si>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</si>
  <si>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</si>
  <si>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</si>
  <si>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👌,VFM PRODUCT BUT THERE'S MORE TO IT. READ ON!,Excellent sound quality, i like this speaker sooooooo much 👌👌👌</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</si>
  <si>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</si>
  <si>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</si>
  <si>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</si>
  <si>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</si>
  <si>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</si>
  <si>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</si>
  <si>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</si>
  <si>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</si>
  <si>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</si>
  <si>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</si>
  <si>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</si>
  <si>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</si>
  <si>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</si>
  <si>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</si>
  <si>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</si>
  <si>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</si>
  <si>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</si>
  <si>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</si>
  <si>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</si>
  <si>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</si>
  <si>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</si>
  <si>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</si>
  <si>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</si>
  <si>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👍🏻,Nice dark colors...,black  and dark blue paper not supplied  as it should be also there making it 4x12,Quality is too good,Nice bright colour</t>
  </si>
  <si>
    <t>Good value of money if u have students at home,Liked it,Good product,Product was good 👍🏻value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</si>
  <si>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</si>
  <si>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</si>
  <si>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</si>
  <si>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</si>
  <si>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</si>
  <si>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</si>
  <si>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</si>
  <si>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</si>
  <si>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</si>
  <si>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</si>
  <si>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</si>
  <si>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</si>
  <si>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</si>
  <si>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</si>
  <si>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</si>
  <si>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</si>
  <si>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</si>
  <si>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diary😀,Like its sharpness and style,Liked it,Product is good ...but I thought it is a A4 pad. But o k..Small but Good.,,Notebook is good</t>
  </si>
  <si>
    <t>https://m.media-amazon.com/images/W/WEBP_402378-T1/images/I/51o0rLZiIjL._SX300_SY300_QL70_FMwebp_.jpg</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</si>
  <si>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</si>
  <si>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</si>
  <si>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</si>
  <si>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</si>
  <si>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it’s some what moved to the right side instead of mostly to the left side, then the laptop gets the air correctly so laptop don’t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</si>
  <si>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</si>
  <si>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</si>
  <si>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</si>
  <si>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</si>
  <si>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</si>
  <si>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</si>
  <si>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</si>
  <si>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</si>
  <si>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</si>
  <si>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</si>
  <si>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</si>
  <si>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</si>
  <si>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</si>
  <si>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</si>
  <si>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</si>
  <si>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</si>
  <si>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</si>
  <si>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</si>
  <si>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</si>
  <si>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</si>
  <si>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</si>
  <si>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</si>
  <si>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</si>
  <si>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</si>
  <si>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</si>
  <si>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</si>
  <si>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</si>
  <si>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</si>
  <si>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</si>
  <si>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</si>
  <si>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</si>
  <si>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</si>
  <si>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</si>
  <si>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</si>
  <si>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</si>
  <si>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t>
  </si>
  <si>
    <t>https://m.media-amazon.com/images/I/31YZ2ZYT66L._SX300_SY300_QL70_FMwebp_.jpg</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</si>
  <si>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</si>
  <si>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</si>
  <si>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</si>
  <si>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</si>
  <si>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👍🏻,Best quality... And size is also according to my need.. best product at this price</t>
  </si>
  <si>
    <t>https://m.media-amazon.com/images/W/WEBP_402378-T1/images/I/41NYfAbBY2L._SX300_SY300_QL70_FMwebp_.jpg</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</si>
  <si>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</si>
  <si>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</si>
  <si>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</si>
  <si>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</si>
  <si>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</si>
  <si>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</si>
  <si>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</si>
  <si>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</si>
  <si>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</si>
  <si>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</si>
  <si>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</si>
  <si>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</si>
  <si>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https://m.media-amazon.com/images/W/WEBP_402378-T2/images/I/419QKVTxaSL._SX300_SY300_QL70_FMwebp_.jpg</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</si>
  <si>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</si>
  <si>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</si>
  <si>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</si>
  <si>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</si>
  <si>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</si>
  <si>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</si>
  <si>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</si>
  <si>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</si>
  <si>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</si>
  <si>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</si>
  <si>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</si>
  <si>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</si>
  <si>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</si>
  <si>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</si>
  <si>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</si>
  <si>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</si>
  <si>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</si>
  <si>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</si>
  <si>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</si>
  <si>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</si>
  <si>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</si>
  <si>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</si>
  <si>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 pm me Alarm lagana bohut zaroori hota he. But nhi lagte he. Sirf am me lga skte hai. very disappointed😖 baki battery backup is good 👍 looks achcha hai👌comfortable hai,It’s a good watch but not switching on right now due to some issue,Amazing watch amazing colour! Just bought yesterday, will share feedback again after the usage.</t>
  </si>
  <si>
    <t>https://m.media-amazon.com/images/W/WEBP_402378-T2/images/I/41W4O2H532L._SX300_SY300_QL70_FMwebp_.jpg</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</si>
  <si>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</si>
  <si>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</si>
  <si>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</si>
  <si>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</si>
  <si>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</si>
  <si>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</si>
  <si>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</si>
  <si>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</si>
  <si>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</si>
  <si>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</si>
  <si>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</si>
  <si>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</si>
  <si>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</si>
  <si>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</si>
  <si>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</si>
  <si>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</si>
  <si>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</si>
  <si>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</si>
  <si>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</si>
  <si>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</si>
  <si>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</si>
  <si>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</si>
  <si>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</si>
  <si>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</si>
  <si>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</si>
  <si>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</si>
  <si>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</si>
  <si>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t>
  </si>
  <si>
    <t>Really it is solid and effeciant. Net signal is very fast,It's working fine,value for money,Nice product 👍,Idk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</si>
  <si>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</si>
  <si>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</si>
  <si>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</si>
  <si>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</si>
  <si>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</si>
  <si>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</si>
  <si>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</si>
  <si>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</si>
  <si>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</si>
  <si>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</si>
  <si>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</si>
  <si>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</si>
  <si>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</si>
  <si>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</si>
  <si>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</si>
  <si>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AEF5RCDWM36RUTBBON7LXA26PTCA,AGLAZIZLDXX7FKDCSJ6ZLKSHW47A,AGUL3ZHFKXB2FHBKW6EMPCOZBV6A,AGGJYZTRMD5LELUKQE5ZNVQ326BA,AHTOUZO3OWX3CDI6OWWD2QY3NYWQ,AHY7SA7H5WSKZPBFECKTY6UWHFAA,AFE7A5UHWCAOYQVYDUDDHOUJFMMA,AHXG6CXWUZKDMM5DNC6BELMP26QA</t>
  </si>
  <si>
    <t>अशोक वैष्णव,Satish,KBK,rajendra,BuyerOfProducts,Manjush Mohan,M.A.SAMAD KHAN,laxman pallikonda</t>
  </si>
  <si>
    <t>R2VFXFP75ZPQF6,R31BYR22O09BLQ,RKMFDAV9I8Z3,R3VO2OQU0NX1GE,R3H4WLHQYRTZ3H,REW2CYD532JB3,R1QTUL5N1ZE9S3,R15FMRVH2UDP2X</t>
  </si>
  <si>
    <t>कुछ खास नहीं बस ठीक ठाक है,Not good for regular use,pathetic battery back up,good,Does as it should,Very pathetic battery - never buy,Worth buy,Good, but 1.2 v please check when buying</t>
  </si>
  <si>
    <t>बैटरी के रेट ठीक हैं डिलीवरी ज्यादा है 40 रुपएटोटल 290 ₹ देने पड़े,Charging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</si>
  <si>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</si>
  <si>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</si>
  <si>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</si>
  <si>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</si>
  <si>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</si>
  <si>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☺️,a Bit loud and the cables are very thin. But for 199 it's good .</t>
  </si>
  <si>
    <t>https://m.media-amazon.com/images/W/WEBP_402378-T1/images/I/31CndDabh2L._SX300_SY300_QL70_FMwebp_.jpg</t>
  </si>
  <si>
    <t>https://m.media-amazon.com/images/W/WEBP_402378-T2/images/I/3183iGEWksL._SX300_SY300_QL70_FMwebp_.jpg</t>
  </si>
  <si>
    <t>https://m.media-amazon.com/images/I/41P2EdQI1ZL._SY445_SX342_QL70_FMwebp_.jpg</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</si>
  <si>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</si>
  <si>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</si>
  <si>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</si>
  <si>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</si>
  <si>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</si>
  <si>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</si>
  <si>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</si>
  <si>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</si>
  <si>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</si>
  <si>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</si>
  <si>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 I'm proud of my kid 😂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product.,Na,It’s a nice product to use and save paper and for this price range I guess it’s the good option.</t>
  </si>
  <si>
    <t>https://m.media-amazon.com/images/W/WEBP_402378-T2/images/I/41t4-FpawsL._SX300_SY300_QL70_FMwebp_.jpg</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</si>
  <si>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</si>
  <si>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</si>
  <si>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</si>
  <si>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</si>
  <si>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</si>
  <si>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</si>
  <si>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</si>
  <si>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</si>
  <si>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</si>
  <si>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</si>
  <si>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</si>
  <si>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</si>
  <si>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</si>
  <si>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</si>
  <si>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</si>
  <si>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</si>
  <si>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</si>
  <si>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</si>
  <si>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</si>
  <si>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</si>
  <si>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</si>
  <si>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</si>
  <si>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</si>
  <si>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</si>
  <si>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</si>
  <si>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</si>
  <si>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</si>
  <si>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</si>
  <si>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</si>
  <si>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</si>
  <si>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</si>
  <si>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</si>
  <si>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</si>
  <si>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</si>
  <si>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</si>
  <si>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</si>
  <si>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</si>
  <si>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</si>
  <si>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</si>
  <si>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</si>
  <si>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</si>
  <si>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</si>
  <si>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</si>
  <si>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</si>
  <si>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</si>
  <si>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</si>
  <si>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</si>
  <si>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</si>
  <si>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https://m.media-amazon.com/images/I/41v5BQZzfAL._SX300_SY300_QL70_FMwebp_.jpg</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</si>
  <si>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</si>
  <si>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</si>
  <si>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</si>
  <si>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</si>
  <si>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one.,It’s a nice product for the price.It’s very small so it’s very easy to carry around .But than can also be slight problem if you have big hand , not a deal breaker though,My sister said it looks a little old, the colour looks a bit…oldBut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</si>
  <si>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</si>
  <si>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</si>
  <si>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</si>
  <si>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</si>
  <si>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</si>
  <si>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</si>
  <si>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</si>
  <si>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</si>
  <si>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</si>
  <si>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</si>
  <si>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</si>
  <si>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mouse.😥Conclusion: =&gt; good for light use like web browsers,  coding,  etc.Warning ⚠️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</si>
  <si>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</si>
  <si>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</si>
  <si>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</si>
  <si>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</si>
  <si>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</si>
  <si>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</si>
  <si>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</si>
  <si>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</si>
  <si>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</si>
  <si>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</si>
  <si>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👍,Best price,Nice pen,Good pen</t>
  </si>
  <si>
    <t>Everything is fine but it's bit dark and stickey.It's good.,Didn't verified for water resistant 😜. But product is good,just one issue of non- cartridge system 😂😅. For save tree campaign 😋,It's good to have original products,I really like these pens, they write pretty well, good looking and grip is pretty good.Not good for smooth papers, it will eventually smidge.,Good👍,Best price,Pen was not working on exam answer sheet but pen is working on copy and books. Pen is good,Good pen  but too pricy</t>
  </si>
  <si>
    <t>https://m.media-amazon.com/images/I/31pJvN8OkSL._SX300_SY300_QL70_FMwebp_.jpg</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</si>
  <si>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</si>
  <si>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</si>
  <si>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</si>
  <si>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</si>
  <si>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</si>
  <si>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</si>
  <si>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</si>
  <si>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</si>
  <si>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</si>
  <si>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</si>
  <si>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</si>
  <si>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</si>
  <si>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</si>
  <si>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</si>
  <si>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</si>
  <si>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cool.,avearage,Nicee,अच्छा है,ABC</t>
  </si>
  <si>
    <t>I wanted it for my shop laptop , i am using it on a grass mat, quality is nice, working very nice.,Good 👍,, print colour also still there,Useful and easy to handle 😜,Happy ENDING.,it is ok,Very Good,अच्छा की,ABC</t>
  </si>
  <si>
    <t>https://m.media-amazon.com/images/W/WEBP_402378-T1/images/I/31I1oK5hM1L._SY300_SX300_QL70_FMwebp_.jpg</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</si>
  <si>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</si>
  <si>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</si>
  <si>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</si>
  <si>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</si>
  <si>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</si>
  <si>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</si>
  <si>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</si>
  <si>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</si>
  <si>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</si>
  <si>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</si>
  <si>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</si>
  <si>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</si>
  <si>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</si>
  <si>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</si>
  <si>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</si>
  <si>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</si>
  <si>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</si>
  <si>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</si>
  <si>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</si>
  <si>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</si>
  <si>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</si>
  <si>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</si>
  <si>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</si>
  <si>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</si>
  <si>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</si>
  <si>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</si>
  <si>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</si>
  <si>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</si>
  <si>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</si>
  <si>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</si>
  <si>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</si>
  <si>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</si>
  <si>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</si>
  <si>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</si>
  <si>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👍,I am not sure what to say! It's good for music but not useful for use for calls extremely non useful if you will speak anything the person other side  hear anything,</t>
  </si>
  <si>
    <t>https://m.media-amazon.com/images/W/WEBP_402378-T1/images/I/31nIcqmP0zL._SX300_SY300_QL70_FMwebp_.jpg</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</si>
  <si>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</si>
  <si>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</si>
  <si>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</si>
  <si>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</si>
  <si>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</si>
  <si>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</si>
  <si>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https://m.media-amazon.com/images/I/31EHCPHbSlL._SX300_SY300_QL70_FMwebp_.jpg</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</si>
  <si>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</si>
  <si>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</si>
  <si>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</si>
  <si>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</si>
  <si>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</si>
  <si>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</si>
  <si>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AF63ZFTFFODG7SUOLW4HXHDUQPSA,AHCXNGYHWBSZ6FJZPUDRAFN6IVDA,AF7KWHU33BSKUSJ3JTPU4X2NBYLQ,AGHD4B4QRRL44PJCZEPMGONDVTJQ,AGI3IQPHZ7GWIDMB52JK2PXNFFTQ,AHV2PXIU5JTWA4FJ3IDGCHRFLGIA,AFSRWHDNHTHHZGPN7I2QBDAMOIVA,AEUZCEJW3VTJKTBTONLMQFYOGBNQ</t>
  </si>
  <si>
    <t>🤘🏻🤘🏻,Kabi,Manoj kumar ware,om,Hemant Kumar,pawan r.,Anshu,Pavan kamar</t>
  </si>
  <si>
    <t>R2JX4PS0VEXLP8,R2Z993M5W7NJG7,R3IGL48GSRQXBK,R1BYNHCUKYRIY7,R2UO0TB6OD6VT,R2XRTP1KSM2DSA,RTKFSPNDCXIKO,R3MBRCZ7N5RCQG</t>
  </si>
  <si>
    <t>Fine🤘🏻🙏🏻,Good,Best for kids,Easy clean and use,Nice product,bahut accha,Really liked this product,Erase button not working 🤬</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</si>
  <si>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</si>
  <si>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</si>
  <si>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</si>
  <si>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</si>
  <si>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</si>
  <si>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</si>
  <si>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t>
  </si>
  <si>
    <t>https://m.media-amazon.com/images/I/21o8KsIQqRL._SY300_SX300_QL70_FMwebp_.jpg</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</si>
  <si>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</si>
  <si>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</si>
  <si>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</si>
  <si>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</si>
  <si>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</si>
  <si>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</si>
  <si>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</si>
  <si>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</si>
  <si>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</si>
  <si>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</si>
  <si>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I’m using it almost more than a year,Wireless range is not too much good</t>
  </si>
  <si>
    <t>https://m.media-amazon.com/images/W/WEBP_402378-T1/images/I/31c6zDmtEnL._SY300_SX300_QL70_FMwebp_.jpg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</si>
  <si>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</si>
  <si>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</si>
  <si>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</si>
  <si>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</si>
  <si>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doesn’t seems very long lasting but great product</t>
  </si>
  <si>
    <t>https://m.media-amazon.com/images/W/WEBP_402378-T2/images/I/41J8nz5uEUL._SX300_SY300_QL70_FMwebp_.jpg</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</si>
  <si>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</si>
  <si>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</si>
  <si>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</si>
  <si>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</si>
  <si>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</si>
  <si>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</si>
  <si>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</si>
  <si>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</si>
  <si>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</si>
  <si>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</si>
  <si>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</si>
  <si>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</si>
  <si>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</si>
  <si>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</si>
  <si>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</si>
  <si>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</si>
  <si>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</si>
  <si>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</si>
  <si>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</si>
  <si>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</si>
  <si>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</si>
  <si>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</si>
  <si>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</si>
  <si>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</si>
  <si>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</si>
  <si>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Sharma,EvͥᎥlͣkͫᎥŇg𒆜VᎥckץ,L.Sherpa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</si>
  <si>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</si>
  <si>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</si>
  <si>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</si>
  <si>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</si>
  <si>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https://m.media-amazon.com/images/W/WEBP_402378-T2/images/I/31+NwZ8gb1L._SX300_SY300_.jpg</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</si>
  <si>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</si>
  <si>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</si>
  <si>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</si>
  <si>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</si>
  <si>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</si>
  <si>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</si>
  <si>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</si>
  <si>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</si>
  <si>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</si>
  <si>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</si>
  <si>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👌🏻Just a big and only problem, it doesn't support dual Connectivity 🙁 (which is available in even Boat's below ₹1000 headphones)Dual Connectivity is very much required for many, as we have to work together on smartphone &amp; laptop simultaneously.so, again &amp; again disconnecting from lapy the connecting to mobile is just pain.😢So,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</si>
  <si>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</si>
  <si>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</si>
  <si>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</si>
  <si>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</si>
  <si>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</si>
  <si>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</si>
  <si>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</si>
  <si>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</si>
  <si>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</si>
  <si>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</si>
  <si>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</si>
  <si>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</si>
  <si>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</si>
  <si>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</si>
  <si>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</si>
  <si>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</si>
  <si>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</si>
  <si>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</si>
  <si>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</si>
  <si>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https://m.media-amazon.com/images/W/WEBP_402378-T1/images/I/41PeQz-jDSL._SX300_SY300_QL70_FMwebp_.jpg</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</si>
  <si>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</si>
  <si>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</si>
  <si>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</si>
  <si>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</si>
  <si>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</si>
  <si>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</si>
  <si>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</si>
  <si>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</si>
  <si>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</si>
  <si>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</si>
  <si>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</si>
  <si>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</si>
  <si>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</si>
  <si>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</si>
  <si>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</si>
  <si>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</si>
  <si>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It’s a good product in this price, I would hardly get any worst thing about the product as far I am using this it’s totally fine. Battery life is good, case is good, looks is good, and the sound is great. This range this product is good. If you are thinking about other companies than that’s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</si>
  <si>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</si>
  <si>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</si>
  <si>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</si>
  <si>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</si>
  <si>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</si>
  <si>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</si>
  <si>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</si>
  <si>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</si>
  <si>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</si>
  <si>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</si>
  <si>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</si>
  <si>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well….,Product is nice and it works smoothly but I didn't get the refils. Otherwise it is very nice,Reasonably okay,Why only 20 pens?It said there are 25 pens</t>
  </si>
  <si>
    <t>https://m.media-amazon.com/images/W/WEBP_402378-T2/images/I/41rm-mc937L._SX300_SY300_QL70_FMwebp_.jpg</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</si>
  <si>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</si>
  <si>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t>
  </si>
  <si>
    <t>R1NXQAUJ3LO3OW,R1MWEBTA35BES8,R2OTG33BME1DP2,R2ADKUIQDNC4CS,RXCSU83UL85LG,R1IU2CXD6J2VT9,RXCA5L1FET3BK,R2PXB1JH0VU4MO</t>
  </si>
  <si>
    <t>Very good,WORTH TO BUY.,Writes neat but smells bad,Like ok ok,Nice,👍,Amajin!,One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</si>
  <si>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👍,https://m.media-amazon.com/images/W/WEBP_402378-T2/images/I/71J4WF7wTSL._SY88.jpg</t>
  </si>
  <si>
    <t>https://m.media-amazon.com/images/W/WEBP_402378-T2/images/I/51zIKeCjN-L._SX300_SY300_QL70_FMwebp_.jpg</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</si>
  <si>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</si>
  <si>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</si>
  <si>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</si>
  <si>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</si>
  <si>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doesn’t plug in correctly. Charge holds for good time over a day’s usage Kingone is cheaper in AGIF Sale and this one was relatively expensive but at price point compared to apple this is good for casual use.</t>
  </si>
  <si>
    <t>https://m.media-amazon.com/images/I/414zbaw52sL._SX300_SY300_QL70_FMwebp_.jpg</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</si>
  <si>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</si>
  <si>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</si>
  <si>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</si>
  <si>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</si>
  <si>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it’s amazing. Can’t get better but for gaming, i would want a mouse with a little sturdier click, i click heavy during gaming and the mouse may take it but it remains in my head. So even for light gaming it’s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quality,It’s little big but the mouse is giving it’s best for gaming</t>
  </si>
  <si>
    <t>https://m.media-amazon.com/images/W/WEBP_402378-T2/images/I/41zEY42v1tL._SX300_SY300_QL70_FMwebp_.jpg</t>
  </si>
  <si>
    <t>https://m.media-amazon.com/images/W/WEBP_402378-T2/images/I/31kw1RgU5yL._SX300_SY300_QL70_FMwebp_.jpg</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</si>
  <si>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</si>
  <si>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</si>
  <si>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</si>
  <si>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</si>
  <si>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</si>
  <si>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</si>
  <si>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</si>
  <si>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</si>
  <si>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</si>
  <si>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</si>
  <si>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</si>
  <si>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</si>
  <si>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https://m.media-amazon.com/images/I/31Oj5BsHwdL._SX300_SY300_QL70_FMwebp_.jpg</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</si>
  <si>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</si>
  <si>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</si>
  <si>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</si>
  <si>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</si>
  <si>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</si>
  <si>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</si>
  <si>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</si>
  <si>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</si>
  <si>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</si>
  <si>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</si>
  <si>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</si>
  <si>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</si>
  <si>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</si>
  <si>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</si>
  <si>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</si>
  <si>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</si>
  <si>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</si>
  <si>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</si>
  <si>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</si>
  <si>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</si>
  <si>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</si>
  <si>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</si>
  <si>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</si>
  <si>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</si>
  <si>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</si>
  <si>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</si>
  <si>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</si>
  <si>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</si>
  <si>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☺️😊,I bought it in october month but now is not wprking properly</t>
  </si>
  <si>
    <t>https://m.media-amazon.com/images/I/31eE6slx4EL._SX300_SY300_QL70_FMwebp_.jpg</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</si>
  <si>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</si>
  <si>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</si>
  <si>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</si>
  <si>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</si>
  <si>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</si>
  <si>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</si>
  <si>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https://m.media-amazon.com/images/I/41rbKciLrcL._SX300_SY300_QL70_FMwebp_.jpg</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</si>
  <si>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</si>
  <si>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</si>
  <si>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</si>
  <si>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</si>
  <si>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</si>
  <si>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</si>
  <si>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https://m.media-amazon.com/images/I/41YBVJ+UTxL._SY300_SX300_.jpg</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</si>
  <si>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</si>
  <si>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</si>
  <si>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</si>
  <si>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</si>
  <si>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😁,Best,Nice prodect,Remote playback so best mujhe to acha laga #tag zebronic</t>
  </si>
  <si>
    <t>https://m.media-amazon.com/images/I/31flGUWUY9L._SX300_SY300_QL70_FMwebp_.jpg</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</si>
  <si>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</si>
  <si>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</si>
  <si>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</si>
  <si>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👍,Super,Good,Good quality at that price,Sounds good and looks good</t>
  </si>
  <si>
    <t>The Sound quality is Great 👍🏻..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</si>
  <si>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</si>
  <si>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</si>
  <si>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</si>
  <si>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</si>
  <si>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👌,5 bati,Charge seems to be very low.,Good batteries.,working fine with my car remote,Original Duracell,Great,SANTOSH PRASAD</t>
  </si>
  <si>
    <t>👌,1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</si>
  <si>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</si>
  <si>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</si>
  <si>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</si>
  <si>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</si>
  <si>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</si>
  <si>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</si>
  <si>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</si>
  <si>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</si>
  <si>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</si>
  <si>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</si>
  <si>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</si>
  <si>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</si>
  <si>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</si>
  <si>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</si>
  <si>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</si>
  <si>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</si>
  <si>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</si>
  <si>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</si>
  <si>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</si>
  <si>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</si>
  <si>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</si>
  <si>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</si>
  <si>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</si>
  <si>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bubbles,👍🏻✅,I ended up wasting one tempered glass because of air bubbles that wouldn’t go away. I skipped wiping with micro fibre cloth which may have led to the problem. However the other glass worked fine, I had to take off my iPad cover to enable the application, the previous one wouldn’t align with the cover in place. Adhesion of the first one gave up as soon as I tried to lift and reapply, again might be attributable to the fact that I didn’t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fast…application is very easy but take care there is no dust on the ipad because if a bubble’s formed you CANNOT correct it,Good,</t>
  </si>
  <si>
    <t>https://m.media-amazon.com/images/I/51VIQVc-6XL._SX300_SY300_QL70_FMwebp_.jpg</t>
  </si>
  <si>
    <t>https://m.media-amazon.com/images/W/WEBP_402378-T2/images/I/41zejggGzLL._SX300_SY300_QL70_FMwebp_.jpg</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</si>
  <si>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</si>
  <si>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</si>
  <si>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</si>
  <si>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</si>
  <si>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</si>
  <si>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</si>
  <si>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</si>
  <si>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</si>
  <si>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</si>
  <si>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</si>
  <si>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</si>
  <si>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</si>
  <si>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</si>
  <si>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</si>
  <si>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</si>
  <si>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</si>
  <si>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</si>
  <si>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</si>
  <si>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</si>
  <si>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</si>
  <si>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</si>
  <si>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</si>
  <si>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</si>
  <si>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</si>
  <si>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</si>
  <si>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</si>
  <si>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</si>
  <si>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</si>
  <si>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</si>
  <si>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</si>
  <si>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</si>
  <si>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</si>
  <si>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</si>
  <si>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</si>
  <si>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</si>
  <si>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</si>
  <si>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</si>
  <si>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</si>
  <si>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</si>
  <si>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</si>
  <si>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</si>
  <si>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</si>
  <si>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</si>
  <si>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</si>
  <si>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</si>
  <si>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</si>
  <si>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</si>
  <si>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</si>
  <si>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https://m.media-amazon.com/images/I/31pQZsxPR4L._SX300_SY300_QL70_FMwebp_.jpg</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</si>
  <si>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</si>
  <si>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</si>
  <si>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</si>
  <si>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</si>
  <si>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</si>
  <si>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</si>
  <si>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</si>
  <si>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</si>
  <si>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</si>
  <si>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👍realme buds🎧,Please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</si>
  <si>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 the double-bass, in particular —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 with unwavering consistency, and we like it for that.Pros⚫1  Looks good🔥2  Light and comfortable3  Detailed, rich sound for the priceCons⚫1  Magnetic power switch is troublesome2  Inconsistent performance on voice callsRatings (out of 5)Design/ comfort: 4.0Audio quality: 3.8Battery life: 4.5Value for money: 4.8Overall: 4.0Go and purchased🙂👍,First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t>
  </si>
  <si>
    <t>https://m.media-amazon.com/images/I/41ZCYvl4noL._SX300_SY300_QL70_FMwebp_.jpg</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</si>
  <si>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</si>
  <si>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</si>
  <si>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</si>
  <si>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</si>
  <si>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</si>
  <si>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</si>
  <si>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</si>
  <si>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</si>
  <si>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</si>
  <si>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..👍,Nice product. It is very nice product in this price range 😊.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</si>
  <si>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</si>
  <si>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</si>
  <si>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</si>
  <si>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</si>
  <si>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</si>
  <si>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</si>
  <si>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</si>
  <si>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</si>
  <si>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</si>
  <si>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</si>
  <si>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</si>
  <si>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</si>
  <si>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</si>
  <si>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</si>
  <si>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</si>
  <si>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</si>
  <si>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</si>
  <si>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</si>
  <si>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</si>
  <si>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</si>
  <si>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</si>
  <si>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</si>
  <si>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</si>
  <si>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</si>
  <si>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</si>
  <si>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</si>
  <si>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https://m.media-amazon.com/images/I/21uJX5AqizL._SX300_SY300_QL70_FMwebp_.jpg</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</si>
  <si>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</si>
  <si>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</si>
  <si>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</si>
  <si>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</si>
  <si>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</si>
  <si>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</si>
  <si>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</si>
  <si>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</si>
  <si>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</si>
  <si>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</si>
  <si>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</si>
  <si>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</si>
  <si>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</si>
  <si>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</si>
  <si>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</si>
  <si>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</si>
  <si>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cañon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 And genuine product. And my g3010 printing is fine. No head problem. Thank you seller for good packing and amazon .,Very good product I always use it</t>
  </si>
  <si>
    <t>https://m.media-amazon.com/images/I/512ah5e1LsL._SY300_SX300_QL70_FMwebp_.jpg</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</si>
  <si>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</si>
  <si>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</si>
  <si>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</si>
  <si>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</si>
  <si>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</si>
  <si>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</si>
  <si>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https://m.media-amazon.com/images/W/WEBP_402378-T1/images/I/414y0iu5NUL._SX300_SY300_QL70_FMwebp_.jpg</t>
  </si>
  <si>
    <t>https://m.media-amazon.com/images/W/WEBP_402378-T1/images/I/51pl09bEsHL._SY445_SX342_QL70_FMwebp_.jpg</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</si>
  <si>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</si>
  <si>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</si>
  <si>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</si>
  <si>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</si>
  <si>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</si>
  <si>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</si>
  <si>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</si>
  <si>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</si>
  <si>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</si>
  <si>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</si>
  <si>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</si>
  <si>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</si>
  <si>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</si>
  <si>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</si>
  <si>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</si>
  <si>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</si>
  <si>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</si>
  <si>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</si>
  <si>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</si>
  <si>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</si>
  <si>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</si>
  <si>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</si>
  <si>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 build quality amazing all amazing simply go For it</t>
  </si>
  <si>
    <t>https://m.media-amazon.com/images/W/WEBP_402378-T1/images/I/41NxAkv7knL._SX300_SY300_QL70_FMwebp_.jpg</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</si>
  <si>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</si>
  <si>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</si>
  <si>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</si>
  <si>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</si>
  <si>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</si>
  <si>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</si>
  <si>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</si>
  <si>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</si>
  <si>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</si>
  <si>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</si>
  <si>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</si>
  <si>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</si>
  <si>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</si>
  <si>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</si>
  <si>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</si>
  <si>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</si>
  <si>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soft.,It’s been few weeks now, hence posting the review.This desk spread was available in my budget and looks great so went for it and now while it’s in use, it’s work as expected. I went for the Yellow and Blue one &amp; as of this moment I am using the yellow side up as its in contrasts with my desk.Love the feel.Keeps my desk clean and free from scratches.Also easy to clean.Just go for it.#bhavneetapproved 😀,Good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</si>
  <si>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</si>
  <si>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</si>
  <si>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</si>
  <si>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</si>
  <si>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</si>
  <si>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</si>
  <si>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</si>
  <si>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https://m.media-amazon.com/images/I/41611VFTGwL._SY300_SX300_QL70_FMwebp_.jpg</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</si>
  <si>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</si>
  <si>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</si>
  <si>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</si>
  <si>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</si>
  <si>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</si>
  <si>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</si>
  <si>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</si>
  <si>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</si>
  <si>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</si>
  <si>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</si>
  <si>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</si>
  <si>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</si>
  <si>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</si>
  <si>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</si>
  <si>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</si>
  <si>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👎Disappointed 👎Review after 1 year 3 months of usage,Good product and received latest V4,Good Budget Gigabit Router with Beamforming and multiple options in firmware,Range is issue for 5g every where,Value For Money,Go for it,Super 👍,Signal,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</si>
  <si>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🏠,Please go ahead,Its easy to use, easy to install , more function to control the router</t>
  </si>
  <si>
    <t>https://m.media-amazon.com/images/W/WEBP_402378-T1/images/I/41SNaWjuZWL._SX300_SY300_QL70_FMwebp_.jpg</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</si>
  <si>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</si>
  <si>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</si>
  <si>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</si>
  <si>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</si>
  <si>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 something’s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</si>
  <si>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</si>
  <si>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https://m.media-amazon.com/images/I/31gNcDrEskL._SX300_SY300_QL70_FMwebp_.jpg</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</si>
  <si>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</si>
  <si>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</si>
  <si>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</si>
  <si>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</si>
  <si>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 👏SatisfiedWorking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</si>
  <si>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</si>
  <si>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</si>
  <si>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</si>
  <si>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</si>
  <si>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</si>
  <si>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</si>
  <si>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</si>
  <si>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</si>
  <si>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</si>
  <si>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</si>
  <si>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Customer,अभिनव,Suman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</si>
  <si>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</si>
  <si>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</si>
  <si>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</si>
  <si>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</si>
  <si>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</si>
  <si>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</si>
  <si>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</si>
  <si>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</si>
  <si>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</si>
  <si>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</si>
  <si>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</si>
  <si>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</si>
  <si>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</si>
  <si>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</si>
  <si>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</si>
  <si>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</si>
  <si>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</si>
  <si>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</si>
  <si>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</si>
  <si>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</si>
  <si>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good.,It’s one of the best budget keyboards I have ever used.. the membrane keys are very soft and easy to click… not lift off weight … easy on the fingers … it’s been around 1yr since I bought this keyboard … and Iam using it ever since … no issues so far and Iam highly satisfied with my purchase… definitely gonna recommend it ….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</si>
  <si>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</si>
  <si>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</si>
  <si>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</si>
  <si>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</si>
  <si>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</si>
  <si>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</si>
  <si>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</si>
  <si>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</si>
  <si>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</si>
  <si>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</si>
  <si>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</si>
  <si>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</si>
  <si>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</si>
  <si>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</si>
  <si>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</si>
  <si>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</si>
  <si>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</si>
  <si>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</si>
  <si>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</si>
  <si>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</si>
  <si>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Pasupuleti,😈loki😈,Madhav Upadhyaya,Dhiraj Kumar Gupta,99BestDeal</t>
  </si>
  <si>
    <t>R17OSOGCSZ1TU1,R2V3IDY4X5DO07,R10YPJXXLIT9PF,R2NI83SF805SZB,R2O53KW0B4KLDY,R24235I5D6EXHG,R2ATCM75K287E3,R15Z1PSJ93SSWJ</t>
  </si>
  <si>
    <t>Pretty good,I m happy 😊got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</si>
  <si>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</si>
  <si>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</si>
  <si>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</si>
  <si>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Neema,ÂRUN MOHAN,Ankit Nagvekar,Gautham Panchavadi,Akshay Kaushik</t>
  </si>
  <si>
    <t>R268UIIQ8R8LOR,R15VZPEXXYZB7I,R3R1OIOGZG4W4C,R3EQ4KGEQ3TQLL,R2N86U6QNUP5VH,R3E30BZGJ93XEM,R3M5YID5J08Y5T,R3BE5A24UBV6J7</t>
  </si>
  <si>
    <t>Excellent product. vlue for money,Decent product,यह अच्छा प्रोडक्ट है ।पैसा वसूल,It’s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</si>
  <si>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.,It’s almost 4 months purchasing the product now, Doing and last well so far no complaint.,पैसा वसूल,While charging my laptop, this charger gets heated up more than the original charger. That’s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it’s like a yearly subscription based charger, will work well for a year, then you have to order a new one.,Value for money and as far as now it’s working perfectly. Quality wise also not that bad.,The charger is working fine on my macbook 13 inch retina display for the. past 5 months</t>
  </si>
  <si>
    <t>https://m.media-amazon.com/images/I/31Wm6eo+yYL._SY300_SX300_.jpg</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</si>
  <si>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</si>
  <si>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</si>
  <si>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</si>
  <si>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</si>
  <si>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</si>
  <si>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</si>
  <si>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</si>
  <si>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</si>
  <si>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</si>
  <si>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</si>
  <si>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 Bought it for 34 Rupees cuz I didn't wanna pay the 80🤨 Rs. shipping on my order of 466.🤣,Fair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</si>
  <si>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</si>
  <si>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</si>
  <si>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</si>
  <si>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</si>
  <si>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</si>
  <si>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</si>
  <si>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</si>
  <si>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</si>
  <si>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</si>
  <si>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</si>
  <si>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</si>
  <si>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Sony’s bass could get really deep &amp; low with its 12mm drivers and neodymium magnets. For purists senneheiser does its job quite honestly but in general as for sony “A little make-up won’t Hurt ”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.Sony’s wire were tangle free, earphone pieces felt indestructible, noise isolation was “Ultimate”.Next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 boAt - Flat cables which is tangle free in true sense. Metal housing holds up good, but colour sheds off after 5-6 months. Perfect "L" shaped connector which is apt for using with laptops while resting.● JBL - Small round cables, shredding off after 7-8 months of moderate usage. Plastic housing doing great so far.Connector is bent, but not in perfect "L" shape, so its quite pain to use while resting.● Sennheiser - Small round cables, holding up good after 1 year of rough use. Plastic housing has become slick, as rubber coating on it has shredded off. Perfect "L" shaped connector which is apt for using with laptops while resting.●● WINNER- boAt 225 ●●COMFORT :------------● boAt - comfortable enough when used while in upright position. These are VERY UNCOMFORTABLE when you use them while resting on couch or bed for watching movies or so. Has very long earphone head.● JBL - Comfortable enough in upright position. Slightly uncomfortable using while resting, as these have offset opening.● Sennheisers - Comfortable in both the position. These are apt for long duration usage.●● WINNER - sennheisers cx180 ●●LOUDNESS :-------------CX180 &gt; boAt 225 &gt; JBL CS100SI● boAt - tends to distort above 75% level of volume.● JBL - Crystal clear even at full volume, but has least sound level in all of three.● Sennheisers - tends to distort above 75% level of volume, but has greater sound level of all.●● WINNER - sennheisers cx180 ●●SOUND QUALITY ( Bass, mids &amp; lows ) :---------------------------------------------I noticed that all of them have almost same Mids &amp; lows, which are strong &amp; Crisp. But bass levels are different.● boAt - has average bass, I am very disappointed with it, since these earphones are marketed as bassheads.● JBL - has least bass of all, I felt treble is high in these.● Sennheisers - ton of bass and when used proper eartips, its just a treat for bass lovers.●● WINNER - sennheisers cx180 ●●SOUND QUALITY OVER CALL :----------------------------------● boAt - I noticed in early few months, quality over call was great, but started to deplete after 5-6 months. But its still good, not as good as new. Noise cancellation is good and noticeable by person on other side.● JBL - its quite average and has maintained the quality over a year now.● Sennheisers - their NO microphone, lol :PNOTE: boAt &amp; JBL both's mics works with android and iOS perfectly.●● WINNER - boAt 225 ●●CUSTOMER CARE :--------------------● boAt : 1 Year warranty. Had no issues till date, so didn't got chance to check it. But some of my friends who ran into issue had mixed experiences.● JBL : 1 Year warranty. Had issue with one ear piece and was replaced within 2 weeks after contacting nearest service center.●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 WINNER : sennheiser cx180 ●●CONNECTIVITY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</si>
  <si>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</si>
  <si>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</si>
  <si>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</si>
  <si>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</si>
  <si>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</si>
  <si>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</si>
  <si>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</si>
  <si>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</si>
  <si>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</si>
  <si>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</si>
  <si>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</si>
  <si>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</si>
  <si>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</si>
  <si>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</si>
  <si>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</si>
  <si>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</si>
  <si>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</si>
  <si>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</si>
  <si>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</si>
  <si>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</si>
  <si>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</si>
  <si>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</si>
  <si>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</si>
  <si>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</si>
  <si>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</si>
  <si>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</si>
  <si>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</si>
  <si>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</si>
  <si>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</si>
  <si>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</si>
  <si>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</si>
  <si>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</si>
  <si>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</si>
  <si>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</si>
  <si>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</si>
  <si>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</si>
  <si>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t>
  </si>
  <si>
    <t>it has a good grip and a good handling, smooth chalta hain aur speed changing button se mast se speed change hoti hain. only thing i am worried is that the cord will damage with wear and tear.,Very awesome and smooth to use, very helpful while gaming .,Good,Looking for gaming 😏,Actualy performance is awesome ..but its build quality is very worst .. plastic which is use in left and right click buttons has highly chance of breaking.... So this product not satisfied me,Nice gaming Mouse from HP in the price range. Thank you Amazon for the fast delivery.,,👍🤗</t>
  </si>
  <si>
    <t>https://m.media-amazon.com/images/I/31mYeD0VSTL._SX300_SY300_QL70_FMwebp_.jpg</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</si>
  <si>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</si>
  <si>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</si>
  <si>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</si>
  <si>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</si>
  <si>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</si>
  <si>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</si>
  <si>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</si>
  <si>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</si>
  <si>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</si>
  <si>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</si>
  <si>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</si>
  <si>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</si>
  <si>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</si>
  <si>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</si>
  <si>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</si>
  <si>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</si>
  <si>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</si>
  <si>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</si>
  <si>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https://m.media-amazon.com/images/W/WEBP_402378-T2/images/I/31x3IUfMneL._SX300_SY300_QL70_FMwebp_.jpg</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</si>
  <si>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</si>
  <si>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</si>
  <si>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</si>
  <si>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</si>
  <si>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</si>
  <si>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</si>
  <si>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https://m.media-amazon.com/images/I/31l-eZHBfKL._SX300_SY300_QL70_FMwebp_.jpg</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</si>
  <si>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</si>
  <si>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</si>
  <si>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</si>
  <si>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</si>
  <si>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</si>
  <si>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</si>
  <si>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</si>
  <si>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</si>
  <si>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</si>
  <si>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</si>
  <si>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</si>
  <si>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</si>
  <si>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</si>
  <si>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</si>
  <si>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</si>
  <si>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</si>
  <si>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</si>
  <si>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</si>
  <si>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</si>
  <si>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</si>
  <si>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</si>
  <si>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👍,Nice to purchase,Aesthetic look but not sure about the reverse side,worth the money,Zipless and logoless but great product,Value for money product,Looks good,Size</t>
  </si>
  <si>
    <t>it's quality is really good and it can carry 15.6" to 16" laptops easily 👍,No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</si>
  <si>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</si>
  <si>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</si>
  <si>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</si>
  <si>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</si>
  <si>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</si>
  <si>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</si>
  <si>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</si>
  <si>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</si>
  <si>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</si>
  <si>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</si>
  <si>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</si>
  <si>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</si>
  <si>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</si>
  <si>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</si>
  <si>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</si>
  <si>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</si>
  <si>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</si>
  <si>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</si>
  <si>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</si>
  <si>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</si>
  <si>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</si>
  <si>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</si>
  <si>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</si>
  <si>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</si>
  <si>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</si>
  <si>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</si>
  <si>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</si>
  <si>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</si>
  <si>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</si>
  <si>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</si>
  <si>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</si>
  <si>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</si>
  <si>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</si>
  <si>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</si>
  <si>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</si>
  <si>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</si>
  <si>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</si>
  <si>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</si>
  <si>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</si>
  <si>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</si>
  <si>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</si>
  <si>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🤩I have every used and it have came my 😲main😲parker pen I have 10 to 15 pens of parker😅🤪 but this is my main pen now😁 don't think twice just go with it 😃😁its the best pen pls buy 😏if get a chance😏 . Very good Amazon😄</t>
  </si>
  <si>
    <t>https://m.media-amazon.com/images/W/WEBP_402378-T1/images/I/31-wcLwDaBL._SX300_SY300_QL70_FMwebp_.jpg</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</si>
  <si>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</si>
  <si>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</si>
  <si>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</si>
  <si>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</si>
  <si>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Didn’t replace as the Color didn’t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don’t use the pen for sometime. The pen doesn’t write at all. I have to wet the nib or do something or the other in order to make it start writing. It writes great when it starts writing. But the initial pick up is really bad. I have a platinum preppy too. It’s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 First of all, it came in a really bad condition. The package was almost flattened. All thanks to the people connected with the transition and delivery. Thank God it doesn't have any dent.★ Secondly, it is probably a used product. Because it came with the smell of ink in it out of the box.★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 Fourthly, the grip is average.★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</si>
  <si>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</si>
  <si>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</si>
  <si>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</si>
  <si>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</si>
  <si>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</si>
  <si>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</si>
  <si>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</si>
  <si>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https://m.media-amazon.com/images/I/41fDM4QUfvL._SX300_SY300_QL70_FMwebp_.jpg</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</si>
  <si>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</si>
  <si>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</si>
  <si>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</si>
  <si>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</si>
  <si>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</si>
  <si>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</si>
  <si>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</si>
  <si>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</si>
  <si>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</si>
  <si>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</si>
  <si>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</si>
  <si>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</si>
  <si>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https://m.media-amazon.com/images/I/41J6oGU8w5L._SX300_SY300_QL70_FMwebp_.jpg</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</si>
  <si>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</si>
  <si>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</si>
  <si>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</si>
  <si>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</si>
  <si>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</si>
  <si>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</si>
  <si>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</si>
  <si>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</si>
  <si>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</si>
  <si>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</si>
  <si>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</si>
  <si>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</si>
  <si>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</si>
  <si>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</si>
  <si>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</si>
  <si>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</si>
  <si>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</si>
  <si>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</si>
  <si>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</si>
  <si>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</si>
  <si>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</si>
  <si>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</si>
  <si>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</si>
  <si>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</si>
  <si>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</si>
  <si>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</si>
  <si>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</si>
  <si>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</si>
  <si>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</si>
  <si>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</si>
  <si>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</si>
  <si>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</si>
  <si>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</si>
  <si>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</si>
  <si>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</si>
  <si>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</si>
  <si>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https://m.media-amazon.com/images/I/217Lv1D3bHL._SX300_SY300_QL70_FMwebp_.jpg</t>
  </si>
  <si>
    <t>https://m.media-amazon.com/images/W/WEBP_402378-T2/images/I/31mgo4D-kPL._SX300_SY300_QL70_FMwebp_.jpg</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</si>
  <si>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</si>
  <si>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</si>
  <si>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</si>
  <si>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</si>
  <si>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</si>
  <si>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</si>
  <si>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</si>
  <si>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</si>
  <si>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</si>
  <si>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</si>
  <si>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</si>
  <si>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</si>
  <si>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</si>
  <si>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</si>
  <si>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</si>
  <si>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</si>
  <si>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</si>
  <si>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</si>
  <si>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</si>
  <si>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</si>
  <si>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</si>
  <si>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</si>
  <si>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it’s look worthy. Hope will work like this in future too.,Good for one small room (120sq ft),Good,Heating capacity is not that much good.,Good product</t>
  </si>
  <si>
    <t>https://m.media-amazon.com/images/I/514Zxz-eqKL._SX300_SY300_QL70_FMwebp_.jpg</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</si>
  <si>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</si>
  <si>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</si>
  <si>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</si>
  <si>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👍,Good,Good product,Good product,Lovable and nice product,Nice product,Compact and easy to use. Suitable for a room</t>
  </si>
  <si>
    <t>Good product under Rs. 1100..Easy to use...,Good product ❤️Thanks 👍,It's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</si>
  <si>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</si>
  <si>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</si>
  <si>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</si>
  <si>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</si>
  <si>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</si>
  <si>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 but caps was little loose,It's a decent product and very easy to handle. Not sure of the durability as it's been over a week only. Will update the review after some few months.</t>
  </si>
  <si>
    <t>https://m.media-amazon.com/images/I/415CYtympZL._SX300_SY300_QL70_FMwebp_.jpg</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</si>
  <si>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</si>
  <si>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</si>
  <si>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</si>
  <si>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</si>
  <si>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</si>
  <si>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</si>
  <si>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</si>
  <si>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</si>
  <si>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</si>
  <si>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</si>
  <si>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</si>
  <si>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</si>
  <si>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</si>
  <si>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</si>
  <si>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</si>
  <si>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</si>
  <si>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</si>
  <si>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</si>
  <si>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</si>
  <si>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</si>
  <si>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</si>
  <si>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</si>
  <si>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 after full charged,Only disappointed with the cord length.,Lovely ProductSturdyNice colorIssue is, if your house has 🐜...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</si>
  <si>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</si>
  <si>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</si>
  <si>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</si>
  <si>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</si>
  <si>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</si>
  <si>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</si>
  <si>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</si>
  <si>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</si>
  <si>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</si>
  <si>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</si>
  <si>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kettle,It’s ok,Good product 👍🏼</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</si>
  <si>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</si>
  <si>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</si>
  <si>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</si>
  <si>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</si>
  <si>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</si>
  <si>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cooldown,लाजवाब हे,Good,Value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</si>
  <si>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cooldown,कमाल का प्रॉडक्ट हे,Good,Value for Money,Good product.easy to operate,Value for money..</t>
  </si>
  <si>
    <t>https://m.media-amazon.com/images/W/WEBP_402378-T1/images/I/411pUp4t0OL._SX300_SY300_QL70_FMwebp_.jpg</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</si>
  <si>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</si>
  <si>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</si>
  <si>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</si>
  <si>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</si>
  <si>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</si>
  <si>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</si>
  <si>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</si>
  <si>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</si>
  <si>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</si>
  <si>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</si>
  <si>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</si>
  <si>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</si>
  <si>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</si>
  <si>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</si>
  <si>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</si>
  <si>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</si>
  <si>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</si>
  <si>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</si>
  <si>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</si>
  <si>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</si>
  <si>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</si>
  <si>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</si>
  <si>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it.,It’s easy to use but creates a mess when I try to make coffee froth. Doesn’t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</si>
  <si>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</si>
  <si>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AEWW4RY2BE6FRKM6CVAJ2Z4ZTR7Q,AHJRPRAXBOIRLYMCRQ4HCACPXDVQ,AFCCVMGUWTBRWJCYRW6PAMN5AXLQ,AEL3F2M663FPAM5NGOPIHDLQLQGA,AGTBHLMFZBZYGUWZPZRHRJVZKZ3A,AHK7J2EVK33WETV524DZPUYL24YQ,AFT2MH26JCXVVBN73QZEFU3ZCQ4A,AEPUWVGQ64XTHKV2C3CFSR5Y34SA</t>
  </si>
  <si>
    <t>Chittibabu M,Sagarjit,Samiran Mondal,ᴀᴅᴡᴀɪᴛʜ,Ramjan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</si>
  <si>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</si>
  <si>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</si>
  <si>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</si>
  <si>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</si>
  <si>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</si>
  <si>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</si>
  <si>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</si>
  <si>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👍,It's affordable but cheap quality</t>
  </si>
  <si>
    <t>पार्टी में फिश बनाने के लिए लगातार लगभग 5किलो लहसुन ,पोस्ता दाना , सरसो तथा अन्य मसाले की पिसाई की,Ok but quality not good,Thoda product small h baki sb mst h,Good,I did not get warranty card,Good for small family.,OK 👍,If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</si>
  <si>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</si>
  <si>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</si>
  <si>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</si>
  <si>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</si>
  <si>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</si>
  <si>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it’s meets our expectations I would recommend this product to purchase.,Easy installation. Purchased for kitchen. Working well.,Nice product and good service</t>
  </si>
  <si>
    <t>https://m.media-amazon.com/images/W/WEBP_402378-T1/images/I/31991seDfcL._SY300_SX300_QL70_FMwebp_.jpg</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</si>
  <si>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</si>
  <si>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</si>
  <si>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</si>
  <si>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</si>
  <si>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</si>
  <si>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</si>
  <si>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</si>
  <si>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</si>
  <si>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</si>
  <si>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</si>
  <si>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 One star deducted because of the length of the chord.,wire short,Nice,It's awesome!Much more than expected. 👍🏼So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t>
  </si>
  <si>
    <t>https://m.media-amazon.com/images/I/31S74o1sCSS._SY300_SX300_QL70_FMwebp_.jpg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</si>
  <si>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</si>
  <si>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</si>
  <si>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</si>
  <si>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</si>
  <si>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</si>
  <si>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</si>
  <si>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</si>
  <si>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nale,ਚੰਦਨਦੀਪ ਸਿੰਘ ਬਾਲੀ,Sherry,Saket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</si>
  <si>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</si>
  <si>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</si>
  <si>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♥️Thank you Amazon once again..,Good for home and out of home useVery fast response for hot nature</t>
  </si>
  <si>
    <t>https://m.media-amazon.com/images/I/4150hW2kHwL._SX300_SY300_QL70_FMwebp_.jpg</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</si>
  <si>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</si>
  <si>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</si>
  <si>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</si>
  <si>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</si>
  <si>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</si>
  <si>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</si>
  <si>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</si>
  <si>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</si>
  <si>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</si>
  <si>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</si>
  <si>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</si>
  <si>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</si>
  <si>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</si>
  <si>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</si>
  <si>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</si>
  <si>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</si>
  <si>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👈👈👈👈,Good product,https://m.media-amazon.com/images/W/WEBP_402378-T1/images/I/711PBdCVuvL._SY88.jpg</t>
  </si>
  <si>
    <t>https://m.media-amazon.com/images/W/WEBP_402378-T1/images/I/41jBJfPQFwL._SY300_SX300_QL70_FMwebp_.jpg</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</si>
  <si>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</si>
  <si>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</si>
  <si>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</si>
  <si>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it.👍🏻,3 PIN Plug should be there,Mixer is good as well as jar is good.But packing is very bad.,Too much noise,Good quality product......,Good,Nc,Useful</t>
  </si>
  <si>
    <t>Product is so good but packaging was so bad😠.,Not able to plug JN sockets just because it has 2 pin plug,Packing is too bad. Mixer is good,Except noise everything looks good. Very irritating noise.,I like the product most. Worth for money...Fully sastisfy from this product.. Thanks amazon,Produce noise but good 👍,Nice,Useful</t>
  </si>
  <si>
    <t>https://m.media-amazon.com/images/W/WEBP_402378-T1/images/I/31rucE-db2L._SX300_SY300_QL70_FMwebp_.jpg</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</si>
  <si>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</si>
  <si>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</si>
  <si>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</si>
  <si>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</si>
  <si>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</si>
  <si>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</si>
  <si>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</si>
  <si>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</si>
  <si>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</si>
  <si>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</si>
  <si>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</si>
  <si>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</si>
  <si>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</si>
  <si>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</si>
  <si>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</si>
  <si>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</si>
  <si>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</si>
  <si>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</si>
  <si>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</si>
  <si>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</si>
  <si>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</si>
  <si>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</si>
  <si>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</si>
  <si>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</si>
  <si>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</si>
  <si>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</si>
  <si>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</si>
  <si>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</si>
  <si>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</si>
  <si>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</si>
  <si>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</si>
  <si>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</si>
  <si>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</si>
  <si>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</si>
  <si>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😌,nice product</t>
  </si>
  <si>
    <t>https://m.media-amazon.com/images/I/41Y8kHM144L._SY300_SX300_QL70_FMwebp_.jpg</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</si>
  <si>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</si>
  <si>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</si>
  <si>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</si>
  <si>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</si>
  <si>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</si>
  <si>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</si>
  <si>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</si>
  <si>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</si>
  <si>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</si>
  <si>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</si>
  <si>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</si>
  <si>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</si>
  <si>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AF7IXQKBUL6NEIQG4R53LMJJUGXQ,AGBITVO2DOMNZU6DB4QF2WXXELLA,AFKLAG22RFOVUU5PLNHQ5K6J44ZA,AFLBQUGX2NEY6DLJBUN7O6LGH4QQ,AFESOELYFWWZ3LND4HLBVI3PLAYA,AF7N24U3P7U7KXYPZXEKACPE2KEA,AELHJ3ZSDT52K3IHCRSBUZF4LXQA,AEOEMKEL2KZN2YOOK6FKZ7NYK3XQ</t>
  </si>
  <si>
    <t>Neeraj Vishwakarma,⚡ Pushpendra Singh Patel ⚡,Sanjeev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</si>
  <si>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</si>
  <si>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</si>
  <si>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“not so careful handling and care”.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“Still-Decent Looking “model.6.) FEATURES LIKE ANTI DRIP ,ANTI-CALC, GRIP:xxxxxxxxxxxxxxxxxxxxxxxxxxxxxxxxxxxxxxxxxxxxxxxxxxxTo tell you the truth these are more of a fancy terms rather than actual purpose  for most of the users. Presence of these features, isn’t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soleplate.•••••••••••••••INSIDE BOX•••••••••••••••→Steam Iron inside a poly pack→Instruction leaflet/Warranty card•••••••••ABOUT•••••••••Wattage: 1440 wattWeight: ~1 kgWater Capacity: 180 mlCord length: 1.8 meterIndicator: on/off (based on temperature setting)Max Water level markingWarranty: 2 years•••••••PROS•••••••1.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only.)••••••••CONS••••••••1.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 Cons are temporary and don't affect functionality in the long run. So a ★★★★★ device.•••••••••••••••••••••••••BUTTONS &amp; KNOBS•••••••••••••••••••••••••Spray Button→ push to spraySteam Knob→ Off: no steam→ Low: less steam→ High: high steam→ Calc clean mode: calcium deposit cleaning (more below)Temperature Dial→ Rotate to set temperature cutoff for different fabric types (Linen, Cotton, Woolen, Silk, etc)••••••••••••••••••USAGE GUIDE••••••••••••••••••1.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required.•••••••••••••••USAGE TIPS•••••••••••••••1.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shocks.•••••••••••••••••••••••••••••CALC CLEANING MODE•••••••••••••••••••••••••••••This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 The principle behind this function is a sudden change in temperatures of inside zone, which leads to contraction &amp; expansion resulting in scaling shredding and flush out.•••••••••••••••••••••••••••••••••••••••••••••••••••••••••••••••••••••••••••••••••••••••••••••••••••••••••••••••••••••••••••CLARIFICATION: DAMAGE TO BODY OR PLATE &amp; OTHER ISSUES (concerns raised by other users)•••••••••••••••••••••••••••••••••••••••••••••••••••••••••••••••••••••••••••••••••••••••••••••••••••••••••••••••••••••••••••Several users posted about the damaged product or soleplate on arrival and other usage issues. Let me put my insights into those.→ I had no issue with the quality of the product delivered. It arrived in proper condition without any damage anywhere, as proper care was taken for this using air cushions. Maybe their seller was careless enough and that resulted in damage during transit.→ Soleplate had no marks on it. Yes, here Philips can provide a protective sticker or film on the plate which will reduce the ratio of complaints, for the damaged sole plate on arrival.→ Temperature dial works properly and markings are intact after months of usage.→ Slight difference in color tone maybe there across different zones, as different materials are used as per requirement. Say hot zone near plate vs cold zone at back.→ Leakage will be there if the steam knob is in steam position and iron is not sufficiently hot to convert incoming water. So it's passed directly, &amp; appears as leakage. Philips has explicitly mentioned this in product details.▶ Remember to order it from a reputed seller. Check seller ratings, reviews and amazon verified tag to avoid any issues, like the faulty product, duplicate product, etc.••••••••••••••••••••••••••••••••••••••••••••••••••••••••••••••••••••••••••••DON'T GET CONFUSED (There's No Steam Burst Mode Here)••••••••••••••••••••••••••••••••••••••••••••••••••••••••••••••••••••••••••••1.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17g/min.•••••••••••••••••••FINAL VERDICT•••••••••••••••••••▶ If you are looking for good quality, durable steaming iron in the 1.5k range, Philips is the name you should seek for. This model of Philips has got good build quality &amp; features which are more than enough for an average home user. So at any point, you can go for this model.▶ If on a lower budget (&lt;1k range) you can go for Philips GC1011 1200w or Bajaj MX 3 1250w but both are low power and Philips one misses steam spray function too. But still, both will cover most of the usage pattern of a home user.▶ Heavy users may go for Philips EasySpeed Plus GC2040 2100w or Black+Decker BD BXIR2001IN 2000w or Morphy Richards Super Glide 2000w in 2k range.••••••••NOTE••••••••→ Unlike regular lightweight irons, steam irons generally don't go easy with repairs.→ Unlike regular iron, If the coil is damaged in the steam iron whole of the bottom plate needs to be replaced &amp; if you are out of warranty it will cost you a lot. In fact, for the cost of the plate plus a few bucks, you get a new iron.→ So, check your requirement for regular vs steam iron &amp; choose wisely.,I tried removing hard wrinkles of a jeans but it couldn’t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</si>
  <si>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</si>
  <si>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</si>
  <si>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</si>
  <si>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</si>
  <si>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</si>
  <si>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</si>
  <si>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</si>
  <si>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</si>
  <si>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</si>
  <si>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</si>
  <si>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</si>
  <si>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</si>
  <si>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</si>
  <si>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</si>
  <si>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</si>
  <si>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</si>
  <si>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</si>
  <si>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</si>
  <si>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</si>
  <si>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</si>
  <si>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</si>
  <si>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</si>
  <si>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</si>
  <si>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purée and small portion grindingsLess noiseLess space requiredEasily portable compact in sizeConsThe small jar started to crack a bit don’t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</si>
  <si>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</si>
  <si>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</si>
  <si>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</si>
  <si>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</si>
  <si>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</si>
  <si>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</si>
  <si>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</si>
  <si>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</si>
  <si>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</si>
  <si>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</si>
  <si>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</si>
  <si>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</si>
  <si>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</si>
  <si>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</si>
  <si>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</si>
  <si>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</si>
  <si>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</si>
  <si>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usage.,It’s a good vaccum, good suction and easy to clean up. However the suction sound is quite loud. Nevertheless it’s a good machine. Does the job well.,The product works well. It just heats up after using for 15mins.</t>
  </si>
  <si>
    <t>https://m.media-amazon.com/images/W/WEBP_402378-T1/images/I/41IymCXFA7L._SX300_SY300_QL70_FMwebp_.jpg</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</si>
  <si>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</si>
  <si>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</si>
  <si>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</si>
  <si>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value,No1,तेल गर्म करने में परेशानी,Good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</si>
  <si>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nearly.,No1,तेल गर्म करने में परेशानी,Ordered 3 one was faulty</t>
  </si>
  <si>
    <t>https://m.media-amazon.com/images/I/41Bnylq337S._SX300_SY300_QL70_FMwebp_.jpg</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</si>
  <si>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</si>
  <si>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</si>
  <si>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</si>
  <si>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</si>
  <si>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👍🏻,Good product,Works fine issue with delivery product bit damaged,Satisfied,Its timer functions is so easy</t>
  </si>
  <si>
    <t>https://m.media-amazon.com/images/W/WEBP_402378-T2/images/I/41xXipZ7vjL._SX300_SY300_QL70_FMwebp_.jpg</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</si>
  <si>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</si>
  <si>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</si>
  <si>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</si>
  <si>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</si>
  <si>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users.😅,Liked the design and operation. However cord length could be longer. Temperature control is good but knob need some modifications. Overall happy with this product.</t>
  </si>
  <si>
    <t>https://m.media-amazon.com/images/I/41NW-vJum5L._SX300_SY300_QL70_FMwebp_.jpg</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</si>
  <si>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</si>
  <si>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</si>
  <si>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</si>
  <si>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</si>
  <si>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पहले भी 2 बजाज के रूम हीटर मैंने अमेजन से मंगवाए थे जो बजाज के पैकेजिंग डिब्बे को एक दूसरे बड़े अमेजन के डिब्बे में पैक करके आया था और सुरक्षित प्राप्त हुए। इस बार सीधे ही बजाज के डिब्बे पे  एड्रेस चिपका के भेज दिया मेरे पास आने तक डिब्बा कई जगह से फट गया था  प्लीज पैकिंग को पुनः एक और डिब्बे में करके भेजे,Nice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</si>
  <si>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</si>
  <si>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</si>
  <si>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</si>
  <si>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</si>
  <si>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👍,Good performance with cheap look,User manual book and Warranty card not in Box.,Satisfied 😁</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</si>
  <si>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</si>
  <si>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</si>
  <si>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</si>
  <si>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</si>
  <si>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</si>
  <si>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</si>
  <si>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 Nice!! eggs are perfectly boiled after 10 minAm little bit afraid to clean the bottom as it is electricThak you☺️,This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</si>
  <si>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</si>
  <si>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</si>
  <si>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</si>
  <si>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</si>
  <si>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</si>
  <si>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</si>
  <si>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</si>
  <si>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</si>
  <si>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</si>
  <si>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</si>
  <si>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</si>
  <si>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</si>
  <si>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</si>
  <si>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</si>
  <si>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</si>
  <si>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</si>
  <si>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</si>
  <si>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</si>
  <si>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</si>
  <si>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</si>
  <si>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</si>
  <si>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</si>
  <si>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</si>
  <si>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</si>
  <si>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</si>
  <si>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</si>
  <si>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</si>
  <si>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</si>
  <si>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</si>
  <si>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properly……,Wire length is too small which is useless . तार से कितना बचा लोगे भाई</t>
  </si>
  <si>
    <t>https://images-na.ssl-images-amazon.com/images/W/WEBP_402378-T1/images/I/41d17oVYVeL._SX300_SY300_QL70_FMwebp_.jpg</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</si>
  <si>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</si>
  <si>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</si>
  <si>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</si>
  <si>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</si>
  <si>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👍👍,Good One iron. Value for money and best one to used it</t>
  </si>
  <si>
    <t>https://m.media-amazon.com/images/I/41SkG6Puq5L._SX300_SY300_QL70_FMwebp_.jpg</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</si>
  <si>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</si>
  <si>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</si>
  <si>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</si>
  <si>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</si>
  <si>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</si>
  <si>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</si>
  <si>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</si>
  <si>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</si>
  <si>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</si>
  <si>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</si>
  <si>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</si>
  <si>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</si>
  <si>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</si>
  <si>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</si>
  <si>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</si>
  <si>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पैसा वसूल,Nice,Not a good dilvery by bajaj,Almost gud product but takes time for getting hot water,Uuummhh,Good product,Overall average to good product.,Good</t>
  </si>
  <si>
    <t>पैसा वसूल,Goid,Product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</si>
  <si>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</si>
  <si>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</si>
  <si>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</si>
  <si>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</si>
  <si>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</si>
  <si>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doesn’t completely satisfy your purpose.</t>
  </si>
  <si>
    <t>https://m.media-amazon.com/images/W/WEBP_402378-T2/images/I/31LsgYDJNkL._SX300_SY300_QL70_FMwebp_.jpg</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</si>
  <si>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</si>
  <si>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</si>
  <si>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</si>
  <si>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</si>
  <si>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😁,This is Very good product,It’s good for smaller space.</t>
  </si>
  <si>
    <t>https://m.media-amazon.com/images/W/WEBP_402378-T1/images/I/51ey0zzictL._SX300_SY300_QL70_FMwebp_.jpg</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</si>
  <si>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</si>
  <si>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</si>
  <si>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</si>
  <si>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</si>
  <si>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</si>
  <si>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</si>
  <si>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</si>
  <si>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</si>
  <si>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</si>
  <si>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</si>
  <si>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</si>
  <si>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</si>
  <si>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</si>
  <si>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</si>
  <si>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</si>
  <si>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</si>
  <si>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it’s worthy,Button got defected after a year so we changed it otherwise its good only</t>
  </si>
  <si>
    <t>https://m.media-amazon.com/images/I/41cxgOxlbYL._SX300_SY300_QL70_FMwebp_.jpg</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</si>
  <si>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</si>
  <si>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</si>
  <si>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</si>
  <si>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 😃,Good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</si>
  <si>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</si>
  <si>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</si>
  <si>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</si>
  <si>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</si>
  <si>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</si>
  <si>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</si>
  <si>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</si>
  <si>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</si>
  <si>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</si>
  <si>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</si>
  <si>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</si>
  <si>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</si>
  <si>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</si>
  <si>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</si>
  <si>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</si>
  <si>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</si>
  <si>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</si>
  <si>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</si>
  <si>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 is not good and other jar 🏺 very good design average product good 👍,Good products,Create too much noise, overall good product,Mixer se tak tak hilane pe aawaj aata hai,Daal ko pisne ke liye Kiya</t>
  </si>
  <si>
    <t>https://m.media-amazon.com/images/W/WEBP_402378-T2/images/I/41QNSlZeKiL._SX300_SY300_QL70_FMwebp_.jpg</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</si>
  <si>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</si>
  <si>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</si>
  <si>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</si>
  <si>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</si>
  <si>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</si>
  <si>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</si>
  <si>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</si>
  <si>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</si>
  <si>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</si>
  <si>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👍,Good...,Good Product,Satisfied,Good for small room,Unsure,Not bad,Don't bye it....</t>
  </si>
  <si>
    <t>It's working,Good,Good Product 👍,Nice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</si>
  <si>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</si>
  <si>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</si>
  <si>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</si>
  <si>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</si>
  <si>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</si>
  <si>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</si>
  <si>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</si>
  <si>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</si>
  <si>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</si>
  <si>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</si>
  <si>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</si>
  <si>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</si>
  <si>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</si>
  <si>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</si>
  <si>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</si>
  <si>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</si>
  <si>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</si>
  <si>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machine.Do’s &amp; Don’tI feel if we follow certain guidelines we can best out of the product1. Do not overload2. Do not use for more than a minute without giving a little rest.3. When turning the speed knobs – don’t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 use cold water to grind – that way the jar will never heat up.6. DO NOT grind hot ingredients. Many people have complained about the rubber gaskets melting –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don’t use a spoon to avoid scratches to the jar. You can use your hand and a brush ( used for this purpose only).11. This is an expensive piece of equipment – In my house only I &amp; my husband use it. We do not allow  children or household help/cooks to use it. This way the machine will not be misused.12. If you mixer does not work  – please check the overload protector button on the underside of the machine. Remove some of the ingredients and try again.13. Take care while handling jar lids and lid tops –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 but this is not a big deal –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</si>
  <si>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</si>
  <si>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</si>
  <si>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</si>
  <si>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</si>
  <si>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</si>
  <si>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</si>
  <si>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</si>
  <si>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</si>
  <si>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</si>
  <si>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</si>
  <si>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</si>
  <si>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</si>
  <si>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</si>
  <si>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</si>
  <si>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</si>
  <si>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</si>
  <si>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👍,This is quality product at given price and reliable.,My favourite fan,Correction needed to the product description,Good product,Nice👍👏😊,It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</si>
  <si>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nice👍👏👏,Value for money,Installation parts are not adequate and make clicking sound in low speed (anything below full speed. If we live with that then everything is ok</t>
  </si>
  <si>
    <t>https://m.media-amazon.com/images/W/WEBP_402378-T1/images/I/21rUca9axYL._SX300_SY300_QL70_FMwebp_.jpg</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</si>
  <si>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</si>
  <si>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</si>
  <si>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</si>
  <si>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</si>
  <si>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</si>
  <si>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</si>
  <si>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</si>
  <si>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</si>
  <si>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</si>
  <si>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</si>
  <si>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</si>
  <si>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</si>
  <si>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</si>
  <si>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</si>
  <si>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</si>
  <si>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</si>
  <si>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</si>
  <si>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</si>
  <si>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</si>
  <si>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</si>
  <si>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</si>
  <si>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👍,Good performance,Good product</t>
  </si>
  <si>
    <t>Cord length is very short. Can plug near to switch only. Easy to clean. Overall nice product.,Cord length,Best price an other brand. Thanks amazone,Easy to clean. Cord length is sufficient. Steel body looks a bit fragile. Overall good product, go for it.👍,This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👍,More moicy while heating,Good size and easy to clean</t>
  </si>
  <si>
    <t>https://m.media-amazon.com/images/W/WEBP_402378-T1/images/I/31TLru4LT8L._SX300_SY300_QL70_FMwebp_.jpg</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</si>
  <si>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</si>
  <si>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</si>
  <si>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</si>
  <si>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</si>
  <si>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</si>
  <si>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</si>
  <si>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</si>
  <si>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</si>
  <si>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</si>
  <si>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</si>
  <si>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</si>
  <si>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</si>
  <si>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</si>
  <si>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</si>
  <si>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</si>
  <si>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</si>
  <si>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</si>
  <si>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</si>
  <si>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</si>
  <si>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</si>
  <si>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</si>
  <si>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</si>
  <si>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इस Road Heater से एक बाल्टी पानी गर्म करने में कम से कम 20 मिनट लगते हैं जिसमे काफी बिजली कंज्यूम होती है.  इसका दाम भी ज्यादा है, इसका दाम ₹ 500/- तक होना चाहिए.It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</si>
  <si>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</si>
  <si>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</si>
  <si>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</si>
  <si>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</si>
  <si>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</si>
  <si>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</si>
  <si>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</si>
  <si>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</si>
  <si>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</si>
  <si>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</si>
  <si>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</si>
  <si>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</si>
  <si>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</si>
  <si>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</si>
  <si>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</si>
  <si>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</si>
  <si>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</si>
  <si>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👍,I bought it in 2019, using it everyday. I haven't faced any problem or a simple glitch all these years. If it is still in market, i would highly recommend.</t>
  </si>
  <si>
    <t>https://m.media-amazon.com/images/W/WEBP_402378-T2/images/I/21OWOIM1wML._SX300_SY300_QL70_FMwebp_.jpg</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</si>
  <si>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</si>
  <si>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</si>
  <si>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</si>
  <si>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</si>
  <si>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</si>
  <si>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</si>
  <si>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</si>
  <si>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</si>
  <si>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</si>
  <si>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</si>
  <si>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It’s also light weight and quite easy to handle. But it’s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</si>
  <si>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</si>
  <si>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</si>
  <si>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</si>
  <si>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</si>
  <si>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</si>
  <si>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</si>
  <si>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</si>
  <si>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</si>
  <si>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</si>
  <si>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</si>
  <si>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</si>
  <si>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</si>
  <si>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</si>
  <si>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</si>
  <si>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</si>
  <si>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</si>
  <si>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</si>
  <si>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t>
  </si>
  <si>
    <t>https://m.media-amazon.com/images/W/WEBP_402378-T1/images/I/31CLpobJstL._SY300_SX300_QL70_FMwebp_.jpg</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</si>
  <si>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</si>
  <si>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</si>
  <si>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</si>
  <si>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</si>
  <si>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</si>
  <si>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</si>
  <si>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</si>
  <si>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</si>
  <si>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</si>
  <si>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</si>
  <si>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 Twin Blade fan♦ Thermostat built-in (Like AC, will turn on/off as per temp changes)♦ 1000W/2000W operation (2000W means faster heating)♦ Fan only mode for normal table fan type! (Can't adjust speed/ ON-OFF)♦ Power LED when it operates♦ Fan noise is high and a bit annoying if your room is very calm♦ 15A Power plug and 1m cord length♦ Retracting stand to elevate height about 2 inches♦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 Power on, select 1000w/2000w (The switch is not easy to operate)♠ Set to thermostat switch to MAX (Anti-clockwise)♠ Let the heater run till you feel comfortable (Warm inside)♠ Reduce the thermostat slowly till the point where the unit turns off♠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🤩,The cord is very short and required 16 amp plug point. It eats up available oxygen in closed room,Using since one year , found fit for house use.</t>
  </si>
  <si>
    <t>https://m.media-amazon.com/images/I/41A8H7PSidL._SY300_SX300_QL70_FMwebp_.jpg</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</si>
  <si>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</si>
  <si>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</si>
  <si>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</si>
  <si>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</si>
  <si>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</si>
  <si>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</si>
  <si>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</si>
  <si>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</si>
  <si>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</si>
  <si>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</si>
  <si>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</si>
  <si>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</si>
  <si>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</si>
  <si>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</si>
  <si>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</si>
  <si>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</si>
  <si>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uses,वारंटी कार्ड क्यों नहीं दिया गया है. वारंटी कार्ड भेजिए,Better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</si>
  <si>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</si>
  <si>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</si>
  <si>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</si>
  <si>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</si>
  <si>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</si>
  <si>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</si>
  <si>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</si>
  <si>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</si>
  <si>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</si>
  <si>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</si>
  <si>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</si>
  <si>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 then it’s broke down,It's to good ☺️,Value for money....,Plug is too large for this type of plug you have should have 16 amp socket board,</t>
  </si>
  <si>
    <t>https://m.media-amazon.com/images/I/31uLbVqjaqL._SX300_SY300_QL70_FMwebp_.jpg</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</si>
  <si>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</si>
  <si>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</si>
  <si>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</si>
  <si>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</si>
  <si>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</si>
  <si>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</si>
  <si>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</si>
  <si>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</si>
  <si>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</si>
  <si>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👌👌👌,Heating is not even and happens only side of the kettle.,There is no flame adjustment</t>
  </si>
  <si>
    <t>Go for it .... Nice product,I loved the product. It is easy and simple to use . The quality is also fair according to the price …and it best fit for guys who stays in hostel or pg .. they can make maggi 🤤 , boil water🤫 , warm the milk 😆 and it will be ur buddy for serving you hot meals !!Don’t think you can go for it … 👍🏻Enjoy the hottness 🤔,It's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</si>
  <si>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</si>
  <si>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</si>
  <si>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</si>
  <si>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</si>
  <si>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</si>
  <si>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 you can see the picture I hv shared.</t>
  </si>
  <si>
    <t>https://m.media-amazon.com/images/W/WEBP_402378-T1/images/I/416wtLbGHvL._SX300_SY300_QL70_FMwebp_.jpg</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</si>
  <si>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</si>
  <si>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</si>
  <si>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</si>
  <si>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</si>
  <si>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</si>
  <si>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</si>
  <si>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</si>
  <si>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</si>
  <si>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</si>
  <si>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</si>
  <si>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you’ve turned it on for a while, you can turn the heat settings off and the fan will still blow warm air. Very effective and doesn’t give you headache like the rod heaters do. Has auto cutoff as well.</t>
  </si>
  <si>
    <t>https://m.media-amazon.com/images/I/41PhEVR4X4L._SX300_SY300_QL70_FMwebp_.jpg</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</si>
  <si>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</si>
  <si>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</si>
  <si>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</si>
  <si>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</si>
  <si>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</si>
  <si>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</si>
  <si>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</si>
  <si>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</si>
  <si>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</si>
  <si>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</si>
  <si>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</si>
  <si>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</si>
  <si>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</si>
  <si>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</si>
  <si>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</si>
  <si>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</si>
  <si>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</si>
  <si>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</si>
  <si>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</si>
  <si>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</si>
  <si>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</si>
  <si>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</si>
  <si>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</si>
  <si>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</si>
  <si>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</si>
  <si>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</si>
  <si>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</si>
  <si>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</si>
  <si>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</si>
  <si>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</si>
  <si>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</si>
  <si>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</si>
  <si>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</si>
  <si>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</si>
  <si>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</si>
  <si>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</si>
  <si>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</si>
  <si>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</si>
  <si>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</si>
  <si>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</si>
  <si>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</si>
  <si>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</si>
  <si>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</si>
  <si>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</si>
  <si>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</si>
  <si>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</si>
  <si>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</si>
  <si>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</si>
  <si>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</si>
  <si>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</si>
  <si>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</si>
  <si>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</si>
  <si>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</si>
  <si>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</si>
  <si>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</si>
  <si>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</si>
  <si>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</si>
  <si>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</si>
  <si>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</si>
  <si>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</si>
  <si>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</si>
  <si>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</si>
  <si>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</si>
  <si>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concerns,साथ मे इसके सहायक पॉट्स नही निकले है कृपया भिजबने का कस्ट करे इसके बिना इसका यूज़ नही हो पा रहा है,It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</si>
  <si>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great.,उपरोक्त,It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</si>
  <si>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</si>
  <si>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</si>
  <si>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</si>
  <si>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</si>
  <si>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</si>
  <si>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</si>
  <si>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</si>
  <si>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</si>
  <si>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</si>
  <si>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</si>
  <si>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</si>
  <si>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</si>
  <si>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</si>
  <si>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</si>
  <si>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</si>
  <si>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</si>
  <si>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</si>
  <si>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</si>
  <si>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</si>
  <si>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</si>
  <si>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</si>
  <si>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</si>
  <si>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</si>
  <si>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</si>
  <si>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</si>
  <si>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</si>
  <si>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</si>
  <si>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</si>
  <si>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</si>
  <si>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</si>
  <si>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</si>
  <si>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</si>
  <si>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</si>
  <si>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</si>
  <si>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</si>
  <si>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</si>
  <si>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</si>
  <si>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AGBITVO2DOMNZU6DB4QF2WXXELLA,AFMPYDPXNEAOY7V6ESN3RHHIFOLA,AEXMSOQXFSGNINYXVTPXWF6LNSOQ,AHJ36WVWO52FUAO4F7W2V2HUVIOA,AHDVRIPXBUVBEU4SPWOC6RGAYRPQ,AEM6HSXS6EAAW2W2YCJDURHPAOHQ,AHGWXO3TIN5RERBOPO6KS5HW6PQQ,AF476TMP4LI7EBRKEYTFE33CHLLA</t>
  </si>
  <si>
    <t>⚡ Pushpendra Singh Patel ⚡,Mukul,Sauron,Amazon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</si>
  <si>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</si>
  <si>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</si>
  <si>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 INSIDE BOX•••••••••••••••••••1.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 OBSERVATIONS &amp; PROS•••••••••••••••••••••••••••••••••••••1. Device has high suction power and can be cleaned easily with a bagless design where dust collects in a chamber, and you can empty it in the dustbin—no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 OBSERVATIONS &amp; CONS•••••••••••••••••••••••••••••••••••••1.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 Attachments•••••••••••••••••••••••••••••••••••••-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 FINAL VERDICT•••••••••••••••••••••••This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‘Croma’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</si>
  <si>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</si>
  <si>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</si>
  <si>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</si>
  <si>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</si>
  <si>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</si>
  <si>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use.👍,It is easy to use .</t>
  </si>
  <si>
    <t>https://m.media-amazon.com/images/I/41J7JQ+P7WL._SX300_SY300_.jpg</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</si>
  <si>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</si>
  <si>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</si>
  <si>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</si>
  <si>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</si>
  <si>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responsive..☺👍,Good customer care</t>
  </si>
  <si>
    <t>https://m.media-amazon.com/images/I/41nBjnlp-ML._SY300_SX300_QL70_FMwebp_.jpg</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</si>
  <si>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</si>
  <si>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</si>
  <si>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</si>
  <si>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</si>
  <si>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</si>
  <si>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</si>
  <si>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AEU7DVFEL43XZ6T4D572W2ZLBRKQ,AGWOH7CFDMUVW52NMZWQBKBNNQOA,AGZN422FGG7JO3T5YY6IVUELOODA</t>
  </si>
  <si>
    <t>Yogita g.,Amazon Customer,Mimsy</t>
  </si>
  <si>
    <t>R2WHW4PEF14WOD,R2DCCZWUGI0O0K,R1FA1HH6VL1RAL</t>
  </si>
  <si>
    <t>Best Product,It’s expansive but it works well upto 800sqft area,Great product</t>
  </si>
  <si>
    <t>Must buy best Fabulous product I recommend this👍👍,For small place it’s gud,A great product. Works wonders on my vitrified tile floors.</t>
  </si>
  <si>
    <t>https://m.media-amazon.com/images/I/41+t2HWvwFL._SY300_SX300_.jpg</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</si>
  <si>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</si>
  <si>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</si>
  <si>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</si>
  <si>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</si>
  <si>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</si>
  <si>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</si>
  <si>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</si>
  <si>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</si>
  <si>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</si>
  <si>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</si>
  <si>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</si>
  <si>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</si>
  <si>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</si>
  <si>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</si>
  <si>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</si>
  <si>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</si>
  <si>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</si>
  <si>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</si>
  <si>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</si>
  <si>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</si>
  <si>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</si>
  <si>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</si>
  <si>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</si>
  <si>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</si>
  <si>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</si>
  <si>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</si>
  <si>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</si>
  <si>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</si>
  <si>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</si>
  <si>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</si>
  <si>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</si>
  <si>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</si>
  <si>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</si>
  <si>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</si>
  <si>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</si>
  <si>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</si>
  <si>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</si>
  <si>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</si>
  <si>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</si>
  <si>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</si>
  <si>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priced.,👏👏👏👍👍👍,Worth to buy,Very useful product as I have 2 cats at home. Loving it</t>
  </si>
  <si>
    <t>https://m.media-amazon.com/images/W/WEBP_402378-T2/images/I/31MNWLE6vuL._SY300_SX300_QL70_FMwebp_.jpg</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</si>
  <si>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</si>
  <si>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</si>
  <si>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</si>
  <si>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</si>
  <si>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</si>
  <si>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</si>
  <si>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</si>
  <si>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</si>
  <si>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</si>
  <si>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</si>
  <si>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t>
  </si>
  <si>
    <t>https://m.media-amazon.com/images/W/WEBP_402378-T1/images/I/31NRaw6L7KL._SX300_SY300_QL70_FMwebp_.jpg</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</si>
  <si>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</si>
  <si>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</si>
  <si>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</si>
  <si>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money,कीमत के हिसाब से बेहतर वस्तु है,Good product,Average,Very Good,After sell service,Good</t>
  </si>
  <si>
    <t>Useful,Takes long time to heat up water , not very quick with heating,पसंद हैकीमत कम काम ज्यादा अच्छा हैबहुत जल्दी हीटिंग चाय दूध या पानी गरम करना सभी काम आसानी से हो जाते इंडक्शन की बजाय इस प्रोडक्ट को बेहतर मान सकते है केतली जैसे 5 लीटर में या 7 लीटर में उपकरण उपलब्ध हो तो बता दीजिए ।तार की लंबाई कम से कम 1.5मीटर हो,Nothing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</si>
  <si>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</si>
  <si>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</si>
  <si>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</si>
  <si>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</si>
  <si>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t>
  </si>
  <si>
    <t>Induction is good working,Lightweight and easy to use,V nice,Good quality product,Good Usha product induction 👍👍👍,Tea,,I have been using it for 2 weeks, so far there is no problem, but the current option probably comes in all.</t>
  </si>
  <si>
    <t>https://m.media-amazon.com/images/W/WEBP_402378-T1/images/I/41-kc5sVOQL._SX300_SY300_QL70_FMwebp_.jpg</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</si>
  <si>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</si>
  <si>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</si>
  <si>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</si>
  <si>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</si>
  <si>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</si>
  <si>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</si>
  <si>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</si>
  <si>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</si>
  <si>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</si>
  <si>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</si>
  <si>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</si>
  <si>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</si>
  <si>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</si>
  <si>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</si>
  <si>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</si>
  <si>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</si>
  <si>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</si>
  <si>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</si>
  <si>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</si>
  <si>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</si>
  <si>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</si>
  <si>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</si>
  <si>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</si>
  <si>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</si>
  <si>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</si>
  <si>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</si>
  <si>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</si>
  <si>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</si>
  <si>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</si>
  <si>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</si>
  <si>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</si>
  <si>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</si>
  <si>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</si>
  <si>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</si>
  <si>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</si>
  <si>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</si>
  <si>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</si>
  <si>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</si>
  <si>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</si>
  <si>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Good👌,Good built quality,Quality Product under 3000,good price,Nice product,Good product,Exlent❤,Outlet is very slow</t>
  </si>
  <si>
    <t>Good 👍,Easy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</si>
  <si>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</si>
  <si>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</si>
  <si>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</si>
  <si>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</si>
  <si>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product😚,Good working</t>
  </si>
  <si>
    <t>I like this product 😍 function great,Easy to use, value for money, easy to install, very much useful. It is as too good purchase.,👍,I used it its good.,This heater is very handy and can be operate easily.,It look great,,Excellent</t>
  </si>
  <si>
    <t>https://m.media-amazon.com/images/I/31dCji7nmsL._SX300_SY300_QL70_FMwebp_.jpg</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</si>
  <si>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</si>
  <si>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</si>
  <si>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</si>
  <si>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</si>
  <si>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</si>
  <si>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</si>
  <si>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</si>
  <si>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</si>
  <si>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</si>
  <si>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</si>
  <si>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</si>
  <si>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</si>
  <si>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</si>
  <si>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</si>
  <si>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</si>
  <si>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</si>
  <si>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</si>
  <si>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</si>
  <si>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</si>
  <si>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</si>
  <si>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</si>
  <si>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</si>
  <si>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</si>
  <si>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</si>
  <si>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</si>
  <si>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</si>
  <si>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</si>
  <si>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</si>
  <si>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</si>
  <si>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</si>
  <si>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</si>
  <si>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</si>
  <si>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</si>
  <si>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buying,It’s to early heating and wire smelling were is the service centre,Nice product worth it 👍🏻,The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</si>
  <si>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</si>
  <si>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</si>
  <si>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</si>
  <si>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</si>
  <si>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</si>
  <si>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</si>
  <si>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</si>
  <si>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</si>
  <si>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</si>
  <si>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</si>
  <si>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</si>
  <si>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</si>
  <si>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</si>
  <si>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</si>
  <si>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</si>
  <si>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</si>
  <si>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</si>
  <si>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</si>
  <si>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</si>
  <si>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</si>
  <si>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</si>
  <si>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</si>
  <si>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</si>
  <si>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</si>
  <si>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⭐,Like,Need to change frequently,Good  quality,Good quality product</t>
  </si>
  <si>
    <t>https://m.media-amazon.com/images/I/31N5vx+L1KL._SY300_SX300_.jpg</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</si>
  <si>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</si>
  <si>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</si>
  <si>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</si>
  <si>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</si>
  <si>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</si>
  <si>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</si>
  <si>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</si>
  <si>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</si>
  <si>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</si>
  <si>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</si>
  <si>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t>
  </si>
  <si>
    <t>https://m.media-amazon.com/images/I/51zhY6X2NqL._SX300_SY300_QL70_FMwebp_.jpg</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</si>
  <si>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</si>
  <si>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</si>
  <si>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</si>
  <si>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</si>
  <si>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</si>
  <si>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</si>
  <si>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</si>
  <si>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</si>
  <si>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</si>
  <si>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</si>
  <si>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</si>
  <si>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</si>
  <si>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</si>
  <si>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</si>
  <si>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</si>
  <si>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💥,Considering the price range, it’s a good one,Worthy,Good products,Good,Good as brand,Ok Product,Value for money,</t>
  </si>
  <si>
    <t>Nice,This fan is working fine, I’ve been using it since 1 month. The thing which Bajaj can improve is the noise level of both motor and while cutting the air(design of blades) but considering the price it’s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</si>
  <si>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</si>
  <si>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</si>
  <si>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</si>
  <si>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</si>
  <si>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</si>
  <si>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</si>
  <si>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</si>
  <si>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</si>
  <si>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</si>
  <si>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</si>
  <si>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</si>
  <si>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</si>
  <si>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</si>
  <si>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</si>
  <si>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</si>
  <si>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</si>
  <si>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</si>
  <si>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</si>
  <si>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</si>
  <si>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</si>
  <si>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</si>
  <si>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</si>
  <si>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</si>
  <si>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</si>
  <si>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</si>
  <si>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</si>
  <si>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</si>
  <si>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</si>
  <si>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</si>
  <si>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 any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👍Very lightweight and convenient to use</t>
  </si>
  <si>
    <t>https://m.media-amazon.com/images/I/41WPlte6OmL._SY300_SX300_QL70_FMwebp_.jpg</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</si>
  <si>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</si>
  <si>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</si>
  <si>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</si>
  <si>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</si>
  <si>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</si>
  <si>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</si>
  <si>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</si>
  <si>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</si>
  <si>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</si>
  <si>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</si>
  <si>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didn’t like is it does not stand and which irritates sometimes,Very easy to use and can be folded and can be stored anywhere.. Must have product</t>
  </si>
  <si>
    <t>https://m.media-amazon.com/images/I/41VQTjrYaCL._SX300_SY300_QL70_FMwebp_.jpg</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</si>
  <si>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</si>
  <si>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</si>
  <si>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</si>
  <si>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</si>
  <si>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It’s really easy to use. I would definitely recommend it to everyone.,Good quality,Must buy value for money</t>
  </si>
  <si>
    <t>https://m.media-amazon.com/images/I/41yrqUum9EL._SY300_SX300_QL70_FMwebp_.jpg</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</si>
  <si>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</si>
  <si>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</si>
  <si>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</si>
  <si>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</si>
  <si>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</si>
  <si>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</si>
  <si>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</si>
  <si>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</si>
  <si>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</si>
  <si>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</si>
  <si>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</si>
  <si>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</si>
  <si>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</si>
  <si>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</si>
  <si>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</si>
  <si>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</si>
  <si>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</si>
  <si>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</si>
  <si>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</si>
  <si>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</si>
  <si>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</si>
  <si>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</si>
  <si>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</si>
  <si>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</si>
  <si>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</si>
  <si>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</si>
  <si>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</si>
  <si>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</si>
  <si>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</si>
  <si>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</si>
  <si>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</si>
  <si>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</si>
  <si>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</si>
  <si>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</si>
  <si>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</si>
  <si>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</si>
  <si>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</si>
  <si>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</si>
  <si>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</si>
  <si>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</si>
  <si>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</si>
  <si>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</si>
  <si>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</si>
  <si>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</si>
  <si>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</si>
  <si>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</si>
  <si>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</si>
  <si>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</si>
  <si>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</si>
  <si>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</si>
  <si>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</si>
  <si>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</si>
  <si>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</si>
  <si>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</si>
  <si>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</si>
  <si>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</si>
  <si>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</si>
  <si>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</si>
  <si>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👍🏼,These spray bottles are made of high quality plastic and the spray is also very effective.I found this product very helpful and easy to use, highly recommended!!Regards,Manish.,It is very useful... 👍,Plastic quality is very good,Nice bottles.....good plastic material</t>
  </si>
  <si>
    <t>https://m.media-amazon.com/images/W/WEBP_402378-T2/images/I/41cAIdLrGPL._SX300_SY300_QL70_FMwebp_.jpg</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</si>
  <si>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</si>
  <si>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</si>
  <si>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</si>
  <si>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effective,अभी यूज करते हुए जड टाइम नहीं हुआ है</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</si>
  <si>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</si>
  <si>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</si>
  <si>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</si>
  <si>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</si>
  <si>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</si>
  <si>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</si>
  <si>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easily.,It’s diameter is not so large as seen in photo, and also it doesn’t have wire supports to stand on its own. If you’re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</si>
  <si>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</si>
  <si>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</si>
  <si>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</si>
  <si>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</si>
  <si>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</si>
  <si>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it,It’s one of the most Convenient product and multiple use. It’s durable and easy to use. I really like this product. 10/10.Must buy it.,Great product! Value for money. Go for it!</t>
  </si>
  <si>
    <t>https://m.media-amazon.com/images/W/WEBP_402378-T1/images/I/41V4DpKc7sL._SX300_SY300_QL70_FMwebp_.jpg</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</si>
  <si>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</si>
  <si>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</si>
  <si>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</si>
  <si>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</si>
  <si>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too.👍😊😊,Best milk frother for coffeeIt is easy to use.,Every coffee lover must try this electric coffee frother</t>
  </si>
  <si>
    <t>https://m.media-amazon.com/images/W/WEBP_402378-T2/images/I/41t3WVUlRmL._SX300_SY300_QL70_FMwebp_.jpg</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</si>
  <si>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</si>
  <si>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</si>
  <si>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</si>
  <si>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</si>
  <si>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👌,while running on low speed, heavy noise is coming, havells need to improve..,Good fan,Does the work,,Air delivery satisfactory but chrome color not matched.</t>
  </si>
  <si>
    <t>https://m.media-amazon.com/images/W/WEBP_402378-T2/images/I/21SHZOWOynL._SX300_SY300_QL70_FMwebp_.jpg</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</si>
  <si>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</si>
  <si>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</si>
  <si>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</si>
  <si>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money,It’s goog,Nice &amp; Easy to use product,Not good,Wonder Product!,Good product,Right product at right price,Value for money</t>
  </si>
  <si>
    <t>It’s easy to use and is okay I guess, doesn’t clean the lint completely but enough to not be spotted from the viewers point of view,It’s good,Nice &amp; Easy to use product,It’s very bad and within 2 -6 use it’s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</si>
  <si>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</si>
  <si>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</si>
  <si>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</si>
  <si>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</si>
  <si>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Nice,👍,Very easy and useful, but too expensive compared to remaining company products,Grt,reviews,Good product.,Very Handy product,Warranty registration needs to be user friendly</t>
  </si>
  <si>
    <t>Easy to use.,Worked so well..you can go for it💯,Easy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</si>
  <si>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</si>
  <si>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</si>
  <si>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</si>
  <si>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</si>
  <si>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</si>
  <si>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</si>
  <si>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</si>
  <si>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</si>
  <si>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</si>
  <si>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</si>
  <si>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</si>
  <si>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</si>
  <si>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</si>
  <si>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</si>
  <si>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</si>
  <si>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</si>
  <si>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</si>
  <si>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</si>
  <si>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</si>
  <si>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</si>
  <si>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</si>
  <si>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</si>
  <si>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</si>
  <si>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</si>
  <si>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</si>
  <si>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</si>
  <si>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</si>
  <si>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</si>
  <si>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quality,పర్వాలేదు,perfect for use,Good,👍</t>
  </si>
  <si>
    <t>Good product. Weight is reduced a bit,Damage product deliveredTwo times,works fine even after 4 months as of now going good,Fine  good to use,లైట్ వెయిట్,perfect for use,Good,👍 👍 👍 👍 👍</t>
  </si>
  <si>
    <t>https://m.media-amazon.com/images/W/WEBP_402378-T2/images/I/411ZPXAMTlL._SY300_SX300_QL70_FMwebp_.jpg</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</si>
  <si>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</si>
  <si>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</si>
  <si>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</si>
  <si>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</si>
  <si>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didn’t install propery, due to which water was not being purified for last one month. Poor service from eureka forbes,Most Value for Price from Aquaguard,Good,Ok,Tap leakage issue</t>
  </si>
  <si>
    <t>https://m.media-amazon.com/images/I/31Gulp0B-0L._SX300_SY300_QL70_FMwebp_.jpg</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</si>
  <si>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</si>
  <si>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</si>
  <si>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</si>
  <si>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👌👍,Such a beautiful product,Fantastic,Useless product. Poor quality material used. Could not give satisfaction of a singal Rupee.</t>
  </si>
  <si>
    <t>Good,Easy to clean and use really a good one..,I try to grain orange yes it’s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t>
  </si>
  <si>
    <t>https://m.media-amazon.com/images/I/519LLyO+jtL._SY300_SX300_.jpg</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</si>
  <si>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</si>
  <si>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</si>
  <si>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</si>
  <si>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</si>
  <si>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✓2.dust ✓3.tiles ✓4. Light weight ✓Over all decent product. Go for it,10/10</t>
  </si>
  <si>
    <t>https://m.media-amazon.com/images/I/31B24fjfiTL._SX300_SY300_QL70_FMwebp_.jpg</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</si>
  <si>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</si>
  <si>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</si>
  <si>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</si>
  <si>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</si>
  <si>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</si>
  <si>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</si>
  <si>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</si>
  <si>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</si>
  <si>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</si>
  <si>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</si>
  <si>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</si>
  <si>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</si>
  <si>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</si>
  <si>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</si>
  <si>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</si>
  <si>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</si>
  <si>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</si>
  <si>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</si>
  <si>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</si>
  <si>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</si>
  <si>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</si>
  <si>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</si>
  <si>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</si>
  <si>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</si>
  <si>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</si>
  <si>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</si>
  <si>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</si>
  <si>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</si>
  <si>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</si>
  <si>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</si>
  <si>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</si>
  <si>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</si>
  <si>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</si>
  <si>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</si>
  <si>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</si>
  <si>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</si>
  <si>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</si>
  <si>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</si>
  <si>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</si>
  <si>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</si>
  <si>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</si>
  <si>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</si>
  <si>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</si>
  <si>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</si>
  <si>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</si>
  <si>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</si>
  <si>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egg.It’s power cord is very short so it’s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</si>
  <si>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</si>
  <si>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</si>
  <si>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</si>
  <si>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</si>
  <si>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</si>
  <si>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</si>
  <si>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</si>
  <si>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</si>
  <si>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</si>
  <si>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</si>
  <si>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</si>
  <si>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</si>
  <si>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</si>
  <si>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</si>
  <si>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</si>
  <si>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</si>
  <si>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</si>
  <si>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</si>
  <si>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</si>
  <si>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</si>
  <si>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</si>
  <si>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</si>
  <si>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</si>
  <si>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t>
  </si>
  <si>
    <t>https://m.media-amazon.com/images/W/WEBP_402378-T2/images/I/41+pYgFJpBL._SY300_SX300_.jpg</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</si>
  <si>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</si>
  <si>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</si>
  <si>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</si>
  <si>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</si>
  <si>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</si>
  <si>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</si>
  <si>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</si>
  <si>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</si>
  <si>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</si>
  <si>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</si>
  <si>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😊,Easy to use excellent,Value for moneyNd easy to use</t>
  </si>
  <si>
    <t>https://m.media-amazon.com/images/I/41714O1hnmS._SY300_SX300_QL70_FMwebp_.jpg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</si>
  <si>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</si>
  <si>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</si>
  <si>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</si>
  <si>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</si>
  <si>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</si>
  <si>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</si>
  <si>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</si>
  <si>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</si>
  <si>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</si>
  <si>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</si>
  <si>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</si>
  <si>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</si>
  <si>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</si>
  <si>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</si>
  <si>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</si>
  <si>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👍,Best product,Happy with the product,Compact product,Must buy item.,Havell’s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</si>
  <si>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</si>
  <si>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</si>
  <si>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</si>
  <si>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</si>
  <si>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</si>
  <si>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</si>
  <si>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</si>
  <si>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</si>
  <si>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</si>
  <si>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</si>
  <si>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</si>
  <si>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product👍👍😊😊,Easy to hang.It can be hanged at any place.,very bad product not ,work even 3 months, as well as seller is not supporting in warranty,I liked the size. It is light and easy to install.</t>
  </si>
  <si>
    <t>https://m.media-amazon.com/images/I/41OXzplcjtL._SX300_SY300_QL70_FMwebp_.jpg</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</si>
  <si>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</si>
  <si>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</si>
  <si>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</si>
  <si>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</si>
  <si>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</si>
  <si>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</si>
  <si>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</si>
  <si>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</si>
  <si>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</si>
  <si>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</si>
  <si>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</si>
  <si>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</si>
  <si>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</si>
  <si>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</si>
  <si>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</si>
  <si>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</si>
  <si>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</si>
  <si>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</si>
  <si>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</si>
  <si>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</si>
  <si>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</si>
  <si>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</si>
  <si>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</si>
  <si>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</si>
  <si>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</si>
  <si>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</si>
  <si>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</si>
  <si>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</si>
  <si>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product👍,ONE OF THE BEST BUY EVER.... AND OF COURSE THE BRAND,Made by air fryer...awsome product.,Quick to use and worth the money.</t>
  </si>
  <si>
    <t>https://m.media-amazon.com/images/I/31rniMTmdkL._SX300_SY300_QL70_FMwebp_.jpg</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</si>
  <si>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</si>
  <si>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</si>
  <si>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</si>
  <si>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</si>
  <si>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</si>
  <si>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</si>
  <si>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</si>
  <si>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</si>
  <si>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</si>
  <si>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</si>
  <si>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😒,Received a broked packedge. With broken item.,I thought it would make my task of ironing easy but it’s useless on cottons and silks . It’s great to use it on chiffon and polyester. Do not buy thinking you won’t need standard ironing anymore..,It is fantastic for marriages, where there are many dresses, net based where you can't use iron. Quick. Good for suits,It looks like an imitation product , pieces don’t match properly and some look very weak,valu Ed for money,It’s not effective and pressing clothes effectively seems to have an issue</t>
  </si>
  <si>
    <t>https://m.media-amazon.com/images/I/318JzFxYqtL._SX300_SY300_QL70_FMwebp_.jpg</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</si>
  <si>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</si>
  <si>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</si>
  <si>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</si>
  <si>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 LOSING A BATTLE”.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</si>
  <si>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‘C’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</si>
  <si>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</si>
  <si>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</si>
  <si>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</si>
  <si>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</si>
  <si>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</si>
  <si>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.,👌,there is no switch ,Its very difficult to use without switch in the mixi,Easy to use, easy to clean, space saver, handy,I used this product for making puree.Totally waste of purchase.One jar not working.</t>
  </si>
  <si>
    <t>https://m.media-amazon.com/images/I/51i84+E-LgL._SY300_SX300_.jpg</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</si>
  <si>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</si>
  <si>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</si>
  <si>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</si>
  <si>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</si>
  <si>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</si>
  <si>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</si>
  <si>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</si>
  <si>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</si>
  <si>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</si>
  <si>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</si>
  <si>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</si>
  <si>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</si>
  <si>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</si>
  <si>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</si>
  <si>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</si>
  <si>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</si>
  <si>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doesn’t blend at all,https://m.media-amazon.com/images/I/71IVsjyZ13L._SY88.jpg,First charge problemSecond motor proble,https://m.media-amazon.com/images/I/61aXXxIxPwL._SY88.jpg</t>
  </si>
  <si>
    <t>https://m.media-amazon.com/images/I/417TQs3uroL._SX300_SY300_QL70_FMwebp_.jpg</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</si>
  <si>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</si>
  <si>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</si>
  <si>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</si>
  <si>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</si>
  <si>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</si>
  <si>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</si>
  <si>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</si>
  <si>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</si>
  <si>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</si>
  <si>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</si>
  <si>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don’t like internal plastic body though I believe it’s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</si>
  <si>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</si>
  <si>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</si>
  <si>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</si>
  <si>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</si>
  <si>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</si>
  <si>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</si>
  <si>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</si>
  <si>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</si>
  <si>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</si>
  <si>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</si>
  <si>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</si>
  <si>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</si>
  <si>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</si>
  <si>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</si>
  <si>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</si>
  <si>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</si>
  <si>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</si>
  <si>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</si>
  <si>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</si>
  <si>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</si>
  <si>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</si>
  <si>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</si>
  <si>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</si>
  <si>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</si>
  <si>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</si>
  <si>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AF7QK5FHWPIIYYCVERDUJEZYTSXQ,AERRAASKR2QOMQ2YNIKRDQHAQGMQ,AH5S5HEUKPD2ZLHBH5XQFJRLLRCA,AHB4T3IC5YTSPMCDPFBABXVV34HA,AFR42H36VEYD3J2M5QXO2MV5B4KQ,AHKTL6AK4OY3ENQXT4IEV7SBIJ6A,AESQ6MV2NLTB3NJ73LIP763MMOCQ,AEAKZZZKAZKLEAAUUXG7QOL3XCQQ</t>
  </si>
  <si>
    <t>Angel👼,Neha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</si>
  <si>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</si>
  <si>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</si>
  <si>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jób as described. Only drawback is that, the motor unit heats up v very quickly🥵, even with very little use. I have only used this product twice so far, so I can't speak for its durability. Also the price has been dropping steadily on this product.  Wondering why🤔.Only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</si>
  <si>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</si>
  <si>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</si>
  <si>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</si>
  <si>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</si>
  <si>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</si>
  <si>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</si>
  <si>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</si>
  <si>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</si>
  <si>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</si>
  <si>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</si>
  <si>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</si>
  <si>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</si>
  <si>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</si>
  <si>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</si>
  <si>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</si>
  <si>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</si>
  <si>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</si>
  <si>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</si>
  <si>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</si>
  <si>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</si>
  <si>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</si>
  <si>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</si>
  <si>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</si>
  <si>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</si>
  <si>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</si>
  <si>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</si>
  <si>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</si>
  <si>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</si>
  <si>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</si>
  <si>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</si>
  <si>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</si>
  <si>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</si>
  <si>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</si>
  <si>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</si>
  <si>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</si>
  <si>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</si>
  <si>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</si>
  <si>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</si>
  <si>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</si>
  <si>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</si>
  <si>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frequently,It’s good product, however it’s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</si>
  <si>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product.,It’s mostly used for cleaning sofa and bed corners. It’s getting hot very fast and getting tripped.,This product is very helpful in cleaning.,Easily operate and many function so easy clean every corner and whole place,Hi Heat,Liked,Helpful</t>
  </si>
  <si>
    <t>https://m.media-amazon.com/images/I/41zqeckaQtS._SY300_SX300_QL70_FMwebp_.jpg</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</si>
  <si>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</si>
  <si>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</si>
  <si>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</si>
  <si>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</si>
  <si>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compact,छोटे परिवार के लिए सही है ज्यादा पानी वालों के लिए नहीं,Good,Quality of the product is not as I expected. I does not warm the water as it should be.</t>
  </si>
  <si>
    <t>https://m.media-amazon.com/images/W/WEBP_402378-T2/images/I/41AQNOLe6GL._SX300_SY300_QL70_FMwebp_.jpg</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</si>
  <si>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</si>
  <si>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</si>
  <si>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</si>
  <si>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</si>
  <si>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</si>
  <si>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</si>
  <si>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</si>
  <si>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</si>
  <si>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</si>
  <si>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</si>
  <si>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</si>
  <si>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</si>
  <si>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</si>
  <si>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</si>
  <si>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</si>
  <si>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 he,Iron worse grinder still usefull,Good,Nice work,Good for,Mixer is good. But package is very shabby. Wanted to gift it. But changed my mind,आवाज बहुत आती है बाकी मिक्सर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</si>
  <si>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</si>
  <si>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</si>
  <si>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</si>
  <si>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</si>
  <si>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</si>
  <si>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It’s a good product in this price.,Nice product,It's very good,Good for use,Velue for money product,Good product,Value for money purchase,It is worthy</t>
  </si>
  <si>
    <t>It’s a good product and I’m using it since 1 week and it’s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</si>
  <si>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</si>
  <si>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</si>
  <si>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</si>
  <si>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</si>
  <si>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</si>
  <si>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•low speed -3hrs  •Medium speed-2hrs  •High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</si>
  <si>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</si>
  <si>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</si>
  <si>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</si>
  <si>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</si>
  <si>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</si>
  <si>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it’s job well. Will update my review after using a couple of months.,It's light weight and easy to move,Good but nice product,Every points are ok.,Good</t>
  </si>
  <si>
    <t>https://m.media-amazon.com/images/I/31TSknJ2JbL._SY300_SX300_QL70_FMwebp_.jpg</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</si>
  <si>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</si>
  <si>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</si>
  <si>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</si>
  <si>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</si>
  <si>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</si>
  <si>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</si>
  <si>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</si>
  <si>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</si>
  <si>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</si>
  <si>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</si>
  <si>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</si>
  <si>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</si>
  <si>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</si>
  <si>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</si>
  <si>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</si>
  <si>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</si>
  <si>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</si>
  <si>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</si>
  <si>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</si>
  <si>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</si>
  <si>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</si>
  <si>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</si>
  <si>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</si>
  <si>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</si>
  <si>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</si>
  <si>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</si>
  <si>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</si>
  <si>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</si>
  <si>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</si>
  <si>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</si>
  <si>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</si>
  <si>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</si>
  <si>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</si>
  <si>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It’s a bit difficult to insert cells.,Worked well for a month,Extremely useful,Waste product,Value for money</t>
  </si>
  <si>
    <t>It’s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</si>
  <si>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</si>
  <si>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</si>
  <si>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</si>
  <si>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</si>
  <si>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</si>
  <si>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don’t stick. I use filter water to keep it clean</t>
  </si>
  <si>
    <t>https://m.media-amazon.com/images/W/WEBP_402378-T2/images/I/4145oJH-y0L._SX300_SY300_QL70_FMwebp_.jpg</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</si>
  <si>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</si>
  <si>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</si>
  <si>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</si>
  <si>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</si>
  <si>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</si>
  <si>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</si>
  <si>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</si>
  <si>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</si>
  <si>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</si>
  <si>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</si>
  <si>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</si>
  <si>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</si>
  <si>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</si>
  <si>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</si>
  <si>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</si>
  <si>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</si>
  <si>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</si>
  <si>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</si>
  <si>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</si>
  <si>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</si>
  <si>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</si>
  <si>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</si>
  <si>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</si>
  <si>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</si>
  <si>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</si>
  <si>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</si>
  <si>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</si>
  <si>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</si>
  <si>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</si>
  <si>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</si>
  <si>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</si>
  <si>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</si>
  <si>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</si>
  <si>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</si>
  <si>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</si>
  <si>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</si>
  <si>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</si>
  <si>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</si>
  <si>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</si>
  <si>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</si>
  <si>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</si>
  <si>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</si>
  <si>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</si>
  <si>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</si>
  <si>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</si>
  <si>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</si>
  <si>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</si>
  <si>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</si>
  <si>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</si>
  <si>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</si>
  <si>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</si>
  <si>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</si>
  <si>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</si>
  <si>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</si>
  <si>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</si>
  <si>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</si>
  <si>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</si>
  <si>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</si>
  <si>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</si>
  <si>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</si>
  <si>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</si>
  <si>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</si>
  <si>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</si>
  <si>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</si>
  <si>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</si>
  <si>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</si>
  <si>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</si>
  <si>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</si>
  <si>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</si>
  <si>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</si>
  <si>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</si>
  <si>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</si>
  <si>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</si>
  <si>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</si>
  <si>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</si>
  <si>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</si>
  <si>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</si>
  <si>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</si>
  <si>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</si>
  <si>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</si>
  <si>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</si>
  <si>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</si>
  <si>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</si>
  <si>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</si>
  <si>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</si>
  <si>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</si>
  <si>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</si>
  <si>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</si>
  <si>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</si>
  <si>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</si>
  <si>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</si>
  <si>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</si>
  <si>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</si>
  <si>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</si>
  <si>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👍,Good , while running time slightly shaking . We don't no why .. but it's fixed properly,Good</t>
  </si>
  <si>
    <t>https://m.media-amazon.com/images/W/WEBP_402378-T2/images/I/31uAkMaOShS._SX300_SY300_QL70_FMwebp_.jpg</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</si>
  <si>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</si>
  <si>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</si>
  <si>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</si>
  <si>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</si>
  <si>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</si>
  <si>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</si>
  <si>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</si>
  <si>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</si>
  <si>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</si>
  <si>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</si>
  <si>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</si>
  <si>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</si>
  <si>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</si>
  <si>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</si>
  <si>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</si>
  <si>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</si>
  <si>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</si>
  <si>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</si>
  <si>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</si>
  <si>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</si>
  <si>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</si>
  <si>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</si>
  <si>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</si>
  <si>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</si>
  <si>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</si>
  <si>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</si>
  <si>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</si>
  <si>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 piece,Value for money,Very good product,Good product,Good Quality 👌,Late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</si>
  <si>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</si>
  <si>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</si>
  <si>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</si>
  <si>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</si>
  <si>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</si>
  <si>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</si>
  <si>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🤩⭐👍,It maintain the room temperature and provides sufficient heat.,It was really excellent product I like it,Awesome product,Product is very good,</t>
  </si>
  <si>
    <t>https://m.media-amazon.com/images/I/41xLjSyJtYL._SX300_SY300_QL70_FMwebp_.jpg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</si>
  <si>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</si>
  <si>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</si>
  <si>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</si>
  <si>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</si>
  <si>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👌,https://m.media-amazon.com/images/I/61g3Yt9YAyL._SY88.jpg</t>
  </si>
  <si>
    <t>https://m.media-amazon.com/images/I/51CyJ9dUiWL._SX300_SY300_QL70_FMwebp_.jpg</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</si>
  <si>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</si>
  <si>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</si>
  <si>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</si>
  <si>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</si>
  <si>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amazing,I’ve been using it since last 4 months and it doesn’t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</si>
  <si>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</si>
  <si>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</si>
  <si>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</si>
  <si>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</si>
  <si>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</si>
  <si>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</si>
  <si>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</si>
  <si>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</si>
  <si>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</si>
  <si>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</si>
  <si>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</si>
  <si>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 Very Good quality steel and plastic build💯• The suction(28kpa) is really really good even with the thick carpets etc💯• The wheels are really good too,They move effortlessly 💯• You get a lot of accessories to clean different surfaces and they're good quality 💯• The blower function is really powerful 💯• The bag inside,which collects the dust &amp; dirt is big and can be cleaned &amp; Washed easily 💯• The noise level isn't much. Its okay, Not loud💯• The cord length is 5mtrs which is enough 💯• The overheating protection is Good💯• All the Accessories can be stored at the given spaces on the base💯Cons:• The only thing that I think should be improved is the locking mechanism of the extension pipes. They are good and fit well but if its a carpet or some other mats you're cleaning you need to tighten it well otherwise it loosens and needs to be tightened again and again.🌟 Overall a 10/10 Product which fits all your needs,Wet and Dry [Cleaning of course;⁠) ].Better than any other Vaccum cleaners in under 10k price range . Go for it 💯( P.s I've tried some other Vaccum cleaners too which are in the 6k and above range but this is the all in one OP Vaccum Cleaner💯),Good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</si>
  <si>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</si>
  <si>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</si>
  <si>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</si>
  <si>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</si>
  <si>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</si>
  <si>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💖,It's easy to use and useful especially in winters...</t>
  </si>
  <si>
    <t>https://m.media-amazon.com/images/W/WEBP_402378-T1/images/I/41Xg2TPKwyL._SX300_SY300_QL70_FMwebp_.jpg</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</si>
  <si>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</si>
  <si>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</si>
  <si>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</si>
  <si>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</si>
  <si>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</si>
  <si>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</si>
  <si>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</si>
  <si>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</si>
  <si>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</si>
  <si>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</si>
  <si>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it’s a nice mid budget product.,Good product great company service support HUL keep it up👍🏻</t>
  </si>
  <si>
    <t>https://m.media-amazon.com/images/W/WEBP_402378-T2/images/I/41ut+j+REdL._SY300_SX300_.jpg</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</si>
  <si>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</si>
  <si>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</si>
  <si>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</si>
  <si>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</si>
  <si>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</si>
  <si>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</si>
  <si>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</si>
  <si>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</si>
  <si>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</si>
  <si>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t>
  </si>
  <si>
    <t>It's okay,Product good,All ok but heat is less on full speed. Today is 6 October if u replace it with better quality .I will be thankful.today is last day.,Overall good quality product. Like it and recommend it.,I trust the Philips iron and this has delivered as expected.,Very nice 👌👌,पसंद है,Good</t>
  </si>
  <si>
    <t>https://images-na.ssl-images-amazon.com/images/W/WEBP_402378-T1/images/I/41EK0QNFSUL._SX300_SY300_QL70_FMwebp_.jpg</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</si>
  <si>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</si>
  <si>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</si>
  <si>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</si>
  <si>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</si>
  <si>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</si>
  <si>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</si>
  <si>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</si>
  <si>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</si>
  <si>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</si>
  <si>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</si>
  <si>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</si>
  <si>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</si>
  <si>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</si>
  <si>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</si>
  <si>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</si>
  <si>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</si>
  <si>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</si>
  <si>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</si>
  <si>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</si>
  <si>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</si>
  <si>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</si>
  <si>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</si>
  <si>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</si>
  <si>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</si>
  <si>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</si>
  <si>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</si>
  <si>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</si>
  <si>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issues,ಉತ್ತಮ</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</si>
  <si>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complaints.,ಉತ್ತಮ</t>
  </si>
  <si>
    <t>https://m.media-amazon.com/images/W/WEBP_402378-T2/images/I/41emm+fTJmL._SX300_SY300_.jpg</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</si>
  <si>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</si>
  <si>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</si>
  <si>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</si>
  <si>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</si>
  <si>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</si>
  <si>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</si>
  <si>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</si>
  <si>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</si>
  <si>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</si>
  <si>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</si>
  <si>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</si>
  <si>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</si>
  <si>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</si>
  <si>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</si>
  <si>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</si>
  <si>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</si>
  <si>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t>
  </si>
  <si>
    <t>https://m.media-amazon.com/images/W/WEBP_402378-T2/images/I/41-76LhAc4S._SX300_SY300_QL70_FMwebp_.jpg</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</si>
  <si>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</si>
  <si>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</si>
  <si>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</si>
  <si>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</si>
  <si>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😊,Value for money, working fine,It is not suitable for my tap,I liked..so product good. So happy amazon.. Liked amazon products provided Sum like this,</t>
  </si>
  <si>
    <t>https://m.media-amazon.com/images/I/41NJizePolL._SX300_SY300_QL70_FMwebp_.jpg</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</si>
  <si>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</si>
  <si>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</si>
  <si>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</si>
  <si>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</si>
  <si>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</si>
  <si>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</si>
  <si>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</si>
  <si>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</si>
  <si>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</si>
  <si>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</si>
  <si>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</si>
  <si>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</si>
  <si>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</si>
  <si>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</si>
  <si>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</si>
  <si>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</si>
  <si>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</si>
  <si>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</si>
  <si>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</si>
  <si>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</si>
  <si>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</si>
  <si>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</si>
  <si>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</si>
  <si>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</si>
  <si>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</si>
  <si>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</si>
  <si>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</si>
  <si>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</si>
  <si>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</si>
  <si>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</si>
  <si>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</si>
  <si>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</si>
  <si>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</si>
  <si>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</si>
  <si>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</si>
  <si>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</si>
  <si>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</si>
  <si>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</si>
  <si>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</si>
  <si>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</si>
  <si>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</si>
  <si>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</si>
  <si>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</si>
  <si>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</si>
  <si>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</si>
  <si>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👍,Good ✌️🤝❤️👏👍❤️❤️,Stopped working after a few days.,Excellent product pls buy,Very useful</t>
  </si>
  <si>
    <t>Very short wire to connect to my switch,Nice,,Very good product,Good,Turns on heat initially and then doesn’t heat up. Eventually needs to cool down completely to again start heating again. Wouldn’t recommend buying.,Excellent product pls buy.,Nice</t>
  </si>
  <si>
    <t>https://m.media-amazon.com/images/I/314V87LweLL._SX300_SY300_QL70_FMwebp_.jpg</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</si>
  <si>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</si>
  <si>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</si>
  <si>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</si>
  <si>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</si>
  <si>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  just on love with this 😍,It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</si>
  <si>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</si>
  <si>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</si>
  <si>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</si>
  <si>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</si>
  <si>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</si>
  <si>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</si>
  <si>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</si>
  <si>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</si>
  <si>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</si>
  <si>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</si>
  <si>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</si>
  <si>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</si>
  <si>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</si>
  <si>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</si>
  <si>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</si>
  <si>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</si>
  <si>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</si>
  <si>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</si>
  <si>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</si>
  <si>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</si>
  <si>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</si>
  <si>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</si>
  <si>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</si>
  <si>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doesn’t closed fully. Which is something that should be mentioned in the product description,NA</t>
  </si>
  <si>
    <t>https://m.media-amazon.com/images/I/51SvK5l5JRL._SX300_SY300_QL70_FMwebp_.jpg</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</si>
  <si>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</si>
  <si>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</si>
  <si>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</si>
  <si>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</si>
  <si>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</si>
  <si>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</si>
  <si>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</si>
  <si>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</si>
  <si>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</si>
  <si>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</si>
  <si>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</si>
  <si>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</si>
  <si>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</si>
  <si>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</si>
  <si>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</si>
  <si>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</si>
  <si>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</si>
  <si>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</si>
  <si>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</si>
  <si>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</si>
  <si>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</si>
  <si>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</si>
  <si>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</si>
  <si>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</si>
  <si>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</si>
  <si>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</si>
  <si>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</si>
  <si>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</si>
  <si>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</si>
  <si>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</si>
  <si>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</si>
  <si>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</si>
  <si>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</si>
  <si>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</si>
  <si>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</si>
  <si>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</si>
  <si>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</si>
  <si>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</si>
  <si>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</si>
  <si>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👌,Value for money,Discount is good,Good product for non continuous work,Good product,भाई कभी मत लेना नहीं तो पछतायो गे 6 महीना ईयूज किया हू और ये लोग वारंटी भी नहीं देते हैं,Best product</t>
  </si>
  <si>
    <t>Ok product 900/ma bast product A little family productNot resturant not hotel,No,Nice product,Good product,For Dry grinding of spices, motor heats up,👍,भाई कभी मत लेना नहीं तो पछतायो गे 6 महीना ईयूज किया हू और ये लोग वारंटी भी नहीं देते हैं कभी को कस्टमर नम्बर देगे कोई सुनता ही नहीं है बोलेंगे कंप्लेन दर्ज हो गया है और कोई सुनवाई नहीं हुई,https://m.media-amazon.com/images/I/71HMDwsW8bL._SY88.jpg</t>
  </si>
  <si>
    <t>https://m.media-amazon.com/images/I/41SWYTwG5-L._SX300_SY300_QL70_FMwebp_.jpg</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</si>
  <si>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</si>
  <si>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</si>
  <si>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</si>
  <si>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</si>
  <si>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t>
  </si>
  <si>
    <t>https://m.media-amazon.com/images/I/31YvxM2eDDL._SX300_SY300_QL70_FMwebp_.jpg</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</si>
  <si>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</si>
  <si>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</si>
  <si>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</si>
  <si>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</si>
  <si>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</si>
  <si>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</si>
  <si>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</si>
  <si>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</si>
  <si>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</si>
  <si>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</si>
  <si>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</si>
  <si>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</si>
  <si>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</si>
  <si>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</si>
  <si>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</si>
  <si>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</si>
  <si>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</si>
  <si>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</si>
  <si>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</si>
  <si>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</si>
  <si>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</si>
  <si>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</si>
  <si>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</si>
  <si>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</si>
  <si>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</si>
  <si>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</si>
  <si>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</si>
  <si>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</si>
  <si>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</si>
  <si>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</si>
  <si>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</si>
  <si>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</si>
  <si>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</si>
  <si>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</si>
  <si>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</si>
  <si>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</si>
  <si>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</si>
  <si>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</si>
  <si>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</si>
  <si>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heater,पानी गर्म होने में 15 मिनट से ज्यादा टाइम लेता हैं</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</si>
  <si>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perfect,रड की लंबाई के अनुसार पानी ज्यादा डालना पड़ता है इस कारण गर्म पानी होने में टाइम लगता हैं</t>
  </si>
  <si>
    <t>https://m.media-amazon.com/images/W/WEBP_402378-T2/images/I/31pzC6I+bEL._SY300_SX300_.jpg</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</si>
  <si>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</si>
  <si>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</si>
  <si>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</si>
  <si>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</si>
  <si>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</si>
  <si>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</si>
  <si>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</si>
  <si>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</si>
  <si>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</si>
  <si>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</si>
  <si>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</si>
  <si>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</si>
  <si>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</si>
  <si>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</si>
  <si>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</si>
  <si>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</si>
  <si>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</si>
  <si>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</si>
  <si>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</si>
  <si>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</si>
  <si>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</si>
  <si>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</si>
  <si>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</si>
  <si>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</si>
  <si>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</si>
  <si>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</si>
  <si>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</si>
  <si>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</si>
  <si>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</si>
  <si>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</si>
  <si>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</si>
  <si>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</si>
  <si>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</si>
  <si>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</si>
  <si>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</si>
  <si>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</si>
  <si>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</si>
  <si>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</si>
  <si>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</si>
  <si>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</si>
  <si>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</si>
  <si>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</si>
  <si>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</si>
  <si>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</si>
  <si>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</si>
  <si>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</si>
  <si>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</si>
  <si>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</si>
  <si>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</si>
  <si>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</si>
  <si>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</si>
  <si>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found,बेहतरीन,Good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</si>
  <si>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don’t holds hot water for atleast 6 hrs. Temperature control also not so good , after getting 2-3 liters itself , water becomes cold, even if it is on from 20 min,I’m using ao smith geyser in our one room from five years, no issue, again purchased 2 geysers for other two rooms , one is ao smith and other is this crompton, even though i spend more for this geyser I’m not satisfied. Better go for ao smith or racold..,,Waranty card are missing.,एक होम गीजर में जो होना चाहिए वो सब कुछ है सबसे अच्छी बात है पावर आफ होने के बाद भी गीजर के टेंक में बचा पानी 8 घंटे तक भी गर्म रहता है।,Good product using since 2 months working properly</t>
  </si>
  <si>
    <t>https://m.media-amazon.com/images/I/31kbrfC16XL._SX300_SY300_QL70_FMwebp_.jpg</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</si>
  <si>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</si>
  <si>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</si>
  <si>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</si>
  <si>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</si>
  <si>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</si>
  <si>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</si>
  <si>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</si>
  <si>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</si>
  <si>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</si>
  <si>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</si>
  <si>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 since no bubble wrap or anything to protect the product.Product:3/5—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</si>
  <si>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</si>
  <si>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</si>
  <si>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</si>
  <si>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</si>
  <si>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</si>
  <si>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</si>
  <si>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</si>
  <si>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</si>
  <si>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</si>
  <si>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</si>
  <si>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👌,Worth for the money but the knob is slippery,Good product,Good quality,Nothing,Worthy product,Good</t>
  </si>
  <si>
    <t>Good quality,Super 👌,Worth for the money but the knob is slippery,Good product,Nice,Ok,Little bit of noice,Good</t>
  </si>
  <si>
    <t>https://m.media-amazon.com/images/W/WEBP_402378-T1/images/I/41buv8eJQtL._SX300_SY300_QL70_FMwebp_.jpg</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</si>
  <si>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</si>
  <si>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</si>
  <si>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</si>
  <si>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</si>
  <si>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</si>
  <si>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</si>
  <si>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</si>
  <si>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</si>
  <si>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</si>
  <si>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</si>
  <si>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</si>
  <si>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</si>
  <si>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</si>
  <si>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</si>
  <si>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</si>
  <si>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</si>
  <si>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</si>
  <si>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</si>
  <si>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</si>
  <si>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</si>
  <si>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</si>
  <si>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</si>
  <si>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</si>
  <si>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</si>
  <si>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</si>
  <si>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</si>
  <si>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</si>
  <si>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</si>
  <si>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product,बहुत ही अच्छा है। मैं तीन टाइम खाना बनाता हूं। सब कुछ अच्छी तरीके से बनता है।,Top stand should be included in the item</t>
  </si>
  <si>
    <t>https://m.media-amazon.com/images/W/WEBP_402378-T2/images/I/51kEztAe73L._SX300_SY300_QL70_FMwebp_.jpg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</si>
  <si>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</si>
  <si>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</si>
  <si>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</si>
  <si>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</si>
  <si>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Good,It’s super product in every aspect 👍,Its a genuine product you can ho for it 👍🏻,Outstanding product,Original Sujata jar.</t>
  </si>
  <si>
    <t>https://m.media-amazon.com/images/W/WEBP_402378-T1/images/I/315uFBgWK3L._SX300_SY300_QL70_FMwebp_.jpg</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</si>
  <si>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</si>
  <si>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</si>
  <si>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</si>
  <si>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</si>
  <si>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</si>
  <si>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</si>
  <si>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</si>
  <si>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</si>
  <si>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</si>
  <si>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</si>
  <si>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</si>
  <si>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</si>
  <si>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</si>
  <si>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</si>
  <si>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</si>
  <si>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</si>
  <si>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</si>
  <si>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</si>
  <si>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</si>
  <si>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</si>
  <si>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</si>
  <si>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It’s amazing but I think waffle should be more crisp but it’s Ok.,Value for Money,Good product,Go for it!!,Takes a while to cook,Not giving it 5 stars as there was no measuring cup as promised.,Value for money,very good however size is small</t>
  </si>
  <si>
    <t>It’s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</si>
  <si>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</si>
  <si>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</si>
  <si>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</si>
  <si>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</si>
  <si>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</si>
  <si>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</si>
  <si>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</si>
  <si>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AGMYSLV6NNOAYES25JDTJPCZY47A,AG3Z5IUUFOD24P2S22VMAWPT7TSQ,AHJNMSXBXPENCCR5EVJ63LGMQG2A,AFGN7L5DTGD5IJJ5VQ4IY7G2J35A,AGH7NWRR5Q37GMEIR26FKOLJADBA,AH4B45HPRXTJ5B5FX3WZKJ7K4FSA,AFDPHEAIYTD7MJ4LF7OK6ODJZ5KA,AETMASW5U6WCMX7VZA6DVRGR3WTA</t>
  </si>
  <si>
    <t>Vikas kabra,Joel Joseph,Amazon,Sàñkêth,Md Tanwir Hassan,saurabh gupta,shobhit gupta,NAVIN JAIN</t>
  </si>
  <si>
    <t>R34GKFJOAIA0ZM,R21T7HG6Q62LKN,R2UXMZPMNM3JGP,R3FRIGI0KXGVOD,R1ZNM3HOV64QED,R21SPI0C2CAAWN,R1HSU2YSMNNHKF,RYX7V566YA4IQ</t>
  </si>
  <si>
    <t>Good product 👍,Perfect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</si>
  <si>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</si>
  <si>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</si>
  <si>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</si>
  <si>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</si>
  <si>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</si>
  <si>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</si>
  <si>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</si>
  <si>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</si>
  <si>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</si>
  <si>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</si>
  <si>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</si>
  <si>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</si>
  <si>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</si>
  <si>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</si>
  <si>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</si>
  <si>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</si>
  <si>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</si>
  <si>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</si>
  <si>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</si>
  <si>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</si>
  <si>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</si>
  <si>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</si>
  <si>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</si>
  <si>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</si>
  <si>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</si>
  <si>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</si>
  <si>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</si>
  <si>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</si>
  <si>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</si>
  <si>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</si>
  <si>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</si>
  <si>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</si>
  <si>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</si>
  <si>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</si>
  <si>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</si>
  <si>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👍,Good product,nice product,Satisfied,Value of money,Good filter,Excellent product,Overall this is a good product.</t>
  </si>
  <si>
    <t>👍,Good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</si>
  <si>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</si>
  <si>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</si>
  <si>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</si>
  <si>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</si>
  <si>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product,सुपर,Good,Superb,Excellent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</si>
  <si>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use,सुपर,Good,Awesome product everyone must buy highly recommend...I loved it ....,Excellent product by Havells.,Good</t>
  </si>
  <si>
    <t>https://m.media-amazon.com/images/W/WEBP_402378-T1/images/I/41JWKjRa+PL._SX300_SY300_.jpg</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</si>
  <si>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</si>
  <si>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</si>
  <si>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</si>
  <si>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</si>
  <si>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</si>
  <si>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</si>
  <si>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</si>
  <si>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</si>
  <si>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</si>
  <si>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</si>
  <si>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</si>
  <si>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</si>
  <si>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</si>
  <si>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</si>
  <si>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</si>
  <si>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</si>
  <si>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</si>
  <si>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</si>
  <si>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</si>
  <si>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</si>
  <si>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</si>
  <si>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</si>
  <si>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It’s easy to clean and better than plastic so it’s a win win,at this price it’s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t>
  </si>
  <si>
    <t>https://m.media-amazon.com/images/W/WEBP_402378-T1/images/I/41kr7l+z1FL._SY300_SX300_.jpg</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</si>
  <si>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</si>
  <si>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</si>
  <si>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</si>
  <si>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</si>
  <si>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❤.,The filter Quality is good, I order this once in every 4 months. I change filter my self.,I ordered and returned. Not suitable for Pureit Advance RO + MF,Good,Value for money</t>
  </si>
  <si>
    <t>https://m.media-amazon.com/images/W/WEBP_402378-T2/images/I/41UoZi45q9L._SX300_SY300_QL70_FMwebp_.jpg</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</si>
  <si>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</si>
  <si>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</si>
  <si>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</si>
  <si>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</si>
  <si>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</si>
  <si>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</si>
  <si>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</si>
  <si>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</si>
  <si>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</si>
  <si>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</si>
  <si>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</si>
  <si>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</si>
  <si>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</si>
  <si>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</si>
  <si>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</si>
  <si>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standard,నాకు ప్రొడక్ట్ ప్లగ్ డామేజ్ అయింది ఇప్పుడు రెండు నెలలు అయింది నాకు ప్రొడక్ట్ ప్లగ్ ఇప్పించగలరు,Good Product for Heating purpose,Good product,Easy , compact and quick solution,Ok product,Not worthy,Useful</t>
  </si>
  <si>
    <t>Na,గ్యారంటీ,Good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</si>
  <si>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</si>
  <si>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</si>
  <si>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</si>
  <si>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</si>
  <si>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</si>
  <si>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it’s hardly good as any RO water 💦.,Must buy product…Portable..sturdy &amp; a very useful tool to have…it raises pH level of water actually…..I have experienced wonderful results in my stomach related issues….Must buy….!!,,Useful. Water is alkaline definitely. But after installation,  6 to 8 washes are needed before drinking</t>
  </si>
  <si>
    <t>https://m.media-amazon.com/images/I/41EI+3OYGaL._SY300_SX300_.jpg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</si>
  <si>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</si>
  <si>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</si>
  <si>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</si>
  <si>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money,सबसे जरूरी बात ये है के इसमे सब पिस्ता है चाहे पत्थर भी दाल दो।😂।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</si>
  <si>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it.,मे इस से चावल का आटा बनाता हु,ओर मिर्ची का पाउडर बनाता हु,ओर धनिया का पावडर बनाता हु,ओर नारियल का चटनी बनाता हु,ओर जान ने के लिए इस पे क्लिक करोhttps://youtu.be/WBPca3j306k dekho isko☺️,Very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</si>
  <si>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</si>
  <si>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</si>
  <si>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</si>
  <si>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</si>
  <si>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👍,Value for money,Does the job which is intended from it,Nice product..,कीमत के अनुसार अच्छा उत्पाद है।,Not satisfied as expected. 😔,Awsme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</si>
  <si>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😔,Its a very good product.....low noise with powerful motor ....grind items very smoothly,Good in this price range..but noise level can be improved</t>
  </si>
  <si>
    <t>https://m.media-amazon.com/images/I/31Sh9NZmX-L._SX300_SY300_QL70_FMwebp_.jpg</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</si>
  <si>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</si>
  <si>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</si>
  <si>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</si>
  <si>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</si>
  <si>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🙂🙂🙂,Looks nice ...need to use it and get back,I used the product 4- 5 times in last 1 month and it is meeting the expectations.Value for money.,Good product,Verry Good,Nice</t>
  </si>
  <si>
    <t>https://m.media-amazon.com/images/I/41+oy999w7L._SY300_SX300_.jpg</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</si>
  <si>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</si>
  <si>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</si>
  <si>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</si>
  <si>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</si>
  <si>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</si>
  <si>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</si>
  <si>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</si>
  <si>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</si>
  <si>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</si>
  <si>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</si>
  <si>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</si>
  <si>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</si>
  <si>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</si>
  <si>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</si>
  <si>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</si>
  <si>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</si>
  <si>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</si>
  <si>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</si>
  <si>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</si>
  <si>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</si>
  <si>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</si>
  <si>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</si>
  <si>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</si>
  <si>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</si>
  <si>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</si>
  <si>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</si>
  <si>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</si>
  <si>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</si>
  <si>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 💰 💰 💰 💰 💰 💰 💰 💰 💰 💰</t>
  </si>
  <si>
    <t>https://m.media-amazon.com/images/W/WEBP_402378-T1/images/I/41hoHTbN5rL._SX300_SY300_QL70_FMwebp_.jpg</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</si>
  <si>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</si>
  <si>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</si>
  <si>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</si>
  <si>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</si>
  <si>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didn’t want to take a chance.As I’ve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</si>
  <si>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</si>
  <si>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</si>
  <si>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</si>
  <si>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</si>
  <si>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</si>
  <si>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it’s cordless and hassle free. Great suction power and it is so convenient to use. It’s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</si>
  <si>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</si>
  <si>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</si>
  <si>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</si>
  <si>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</si>
  <si>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</si>
  <si>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</si>
  <si>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</si>
  <si>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</si>
  <si>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</si>
  <si>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</si>
  <si>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</si>
  <si>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</si>
  <si>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</si>
  <si>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</si>
  <si>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</si>
  <si>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</si>
  <si>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</si>
  <si>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</si>
  <si>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</si>
  <si>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</si>
  <si>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</si>
  <si>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</si>
  <si>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बढिया है।वजन कम होने की वजह से जादा देर तक चला सकते है।,Nice product and easy to use,Heating issues,Bakwas,Nice,Good product,Good product,Good product</t>
  </si>
  <si>
    <t>हम संतुष्ट है हम जादा से जादा श्रीखंड बनाने काम आता है कभी कभी केक, आईस्क्रीम बनाते है।,Nice product and easy to use 👍,Sometimes gets heated when used for longer,Bakwas,Like this product,Good product , value for money,Good product on this price,Good Product</t>
  </si>
  <si>
    <t>https://m.media-amazon.com/images/W/WEBP_402378-T2/images/I/41F-EWC+v+L._SY300_SX300_.jpg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</si>
  <si>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</si>
  <si>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</si>
  <si>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</si>
  <si>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</si>
  <si>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</si>
  <si>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</si>
  <si>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</si>
  <si>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</si>
  <si>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</si>
  <si>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 love it,Its leaking product as small gap,Product is so amazing,The colour was dull.,Pretty good.,User friendly,I buy a product but in using of twice the product is not working iam totally unsatisfied of this</t>
  </si>
  <si>
    <t>Easy to make milkshakes and diet smoothies..Useful.,Very good quality 😌,,This product is very helpfull amd backup is good,The mixer was split throughout the blender.,Easy to clean, portable, easy to carry and easy to use or traveling..,Good for travelling,</t>
  </si>
  <si>
    <t>https://m.media-amazon.com/images/I/51V0CstI47L._SX300_SY300_QL70_FMwebp_.jpg</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</si>
  <si>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</si>
  <si>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</si>
  <si>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</si>
  <si>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</si>
  <si>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</si>
  <si>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</si>
  <si>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</si>
  <si>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</si>
  <si>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</si>
  <si>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</si>
  <si>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🔸Everything is nice,including design &amp; function,works as intended and mostly as description.🔹But here are things that couldimproved.🔹the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👌,Kettle is nice 👍 and cord length is also good but package 📦 is not good,at the time of delivery it was opened,</t>
  </si>
  <si>
    <t>https://m.media-amazon.com/images/I/310R9iLp3mL._SX300_SY300_QL70_FMwebp_.jpg</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</si>
  <si>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</si>
  <si>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</si>
  <si>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</si>
  <si>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</si>
  <si>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</si>
  <si>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</si>
  <si>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</si>
  <si>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</si>
  <si>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</si>
  <si>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</si>
  <si>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</si>
  <si>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</si>
  <si>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</si>
  <si>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</si>
  <si>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</si>
  <si>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</si>
  <si>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</si>
  <si>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</si>
  <si>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</si>
  <si>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</si>
  <si>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</si>
  <si>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</si>
  <si>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</si>
  <si>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</si>
  <si>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</si>
  <si>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</si>
  <si>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</si>
  <si>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</si>
  <si>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</si>
  <si>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</si>
  <si>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</si>
  <si>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</si>
  <si>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</si>
  <si>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</si>
  <si>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कुछ खाश नही है मगर ठीक है कोई ज्यादा खराब भी नही है,This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</si>
  <si>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</si>
  <si>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</si>
  <si>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</si>
  <si>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</si>
  <si>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</si>
  <si>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</si>
  <si>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</si>
  <si>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</si>
  <si>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</si>
  <si>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</si>
  <si>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</si>
  <si>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</si>
  <si>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</si>
  <si>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</si>
  <si>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</si>
  <si>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</si>
  <si>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instructions.,It’s good prodyct,Overall good,Works and gets out of your way,Water leakage after a 2 week of useage,Good reviews,Good product, delivering what was expected,mist is like a cloud</t>
  </si>
  <si>
    <t>,You can buy it.. it’s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</si>
  <si>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</si>
  <si>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</si>
  <si>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</si>
  <si>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</si>
  <si>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</si>
  <si>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</si>
  <si>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</si>
  <si>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</si>
  <si>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</si>
  <si>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</si>
  <si>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</si>
  <si>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containers.,That’s a nice utensil to have in kitchen. It gives a right measure of everything when baking,The material is made of plastic,Broken on first use,Quality was good and easy to use,Being low cost, good</t>
  </si>
  <si>
    <t>https://m.media-amazon.com/images/I/31Y+l9J1nYL._SY300_SX300_.jpg</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</si>
  <si>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</si>
  <si>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</si>
  <si>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</si>
  <si>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</si>
  <si>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 👏,Good price</t>
  </si>
  <si>
    <t>https://m.media-amazon.com/images/I/41wCglxg9qL._SX300_SY300_QL70_FMwebp_.jpg</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</si>
  <si>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</si>
  <si>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</si>
  <si>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</si>
  <si>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</si>
  <si>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</si>
  <si>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</si>
  <si>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</si>
  <si>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</si>
  <si>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</si>
  <si>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👍,Nice product,nice,V guard water purifier</t>
  </si>
  <si>
    <t>Harish has explained and installed the unit perfectly. His service is good,Product is good and water taste is also good.,Good product, easy installation process,Good👌,https://m.media-amazon.com/images/W/WEBP_402378-T2/images/I/61yALWPmzzL._SY88.jpg,Nice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</si>
  <si>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</si>
  <si>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</si>
  <si>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</si>
  <si>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</si>
  <si>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good,It’s a good product…not bad at all,Go to it</t>
  </si>
  <si>
    <t>Nice product,Go for it.Best mixer at this price,noisy,Bhut badhiya quality hai . Easy to use, easy to wash. Best grinder quality,Speedy mixer with good quality of output,Out station now,Certain pros and cons: Noise is there, of course its  a 750W motor…its not a silent mixie…the jars will lock and get jammed in the groove…all the jars same issue…then we need some rubber grip to twist it hard in the reverse direction to get unlocked…this is what I faced….otherwise, grinding is very much okay and doing fine…,This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</si>
  <si>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</si>
  <si>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</si>
  <si>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</si>
  <si>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</si>
  <si>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</si>
  <si>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</si>
  <si>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</si>
  <si>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</si>
  <si>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</si>
  <si>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</si>
  <si>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</si>
  <si>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</si>
  <si>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</si>
  <si>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</si>
  <si>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</si>
  <si>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</si>
  <si>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</si>
  <si>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</si>
  <si>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</si>
  <si>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</si>
  <si>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</si>
  <si>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</si>
  <si>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</si>
  <si>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isn’t designed as projected, that’s a bummer. Good for small families only.,Good product.</t>
  </si>
  <si>
    <t>https://m.media-amazon.com/images/I/416VJv+z7CL._SY300_SX300_.jpg</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</si>
  <si>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</si>
  <si>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</si>
  <si>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</si>
  <si>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</si>
  <si>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</si>
  <si>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</si>
  <si>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</si>
  <si>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</si>
  <si>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</si>
  <si>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</si>
  <si>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</si>
  <si>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</si>
  <si>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</si>
  <si>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</si>
  <si>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</si>
  <si>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</si>
  <si>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</si>
  <si>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</si>
  <si>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</si>
  <si>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</si>
  <si>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</si>
  <si>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</si>
  <si>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</si>
  <si>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</si>
  <si>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</si>
  <si>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</si>
  <si>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</si>
  <si>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</si>
  <si>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</si>
  <si>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</si>
  <si>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</si>
  <si>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</si>
  <si>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</si>
  <si>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</si>
  <si>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</si>
  <si>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</si>
  <si>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</si>
  <si>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</si>
  <si>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</si>
  <si>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</si>
  <si>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 260 but I have purchased at ₹ 325,Good one it's a genuine part,,Good and genuine product go for it,Good product,Authentic company product , cheaper price</t>
  </si>
  <si>
    <t>https://m.media-amazon.com/images/I/41ugz3c3G1L._SY300_SX300_QL70_FMwebp_.jpg</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</si>
  <si>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</si>
  <si>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</si>
  <si>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</si>
  <si>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</si>
  <si>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</si>
  <si>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</si>
  <si>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</si>
  <si>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</si>
  <si>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</si>
  <si>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</si>
  <si>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</si>
  <si>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</si>
  <si>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</si>
  <si>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</si>
  <si>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</si>
  <si>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Good👍,A nice product in budget price 👌,Not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</si>
  <si>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</si>
  <si>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</si>
  <si>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</si>
  <si>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</si>
  <si>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</si>
  <si>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</si>
  <si>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problem,👍,Excellent product!,This is such a big name in my family, and it holds the name true. Well packed, and really good finish. Very happy.</t>
  </si>
  <si>
    <t>https://m.media-amazon.com/images/I/415634DtKfL._SX300_SY300_QL70_FMwebp_.jpg</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</si>
  <si>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</si>
  <si>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</si>
  <si>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</si>
  <si>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</si>
  <si>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</si>
  <si>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</si>
  <si>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</si>
  <si>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</si>
  <si>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</si>
  <si>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</si>
  <si>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</si>
  <si>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</si>
  <si>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</si>
  <si>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</si>
  <si>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</si>
  <si>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</si>
  <si>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</si>
  <si>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</si>
  <si>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</si>
  <si>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</si>
  <si>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</si>
  <si>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</si>
  <si>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</si>
  <si>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</si>
  <si>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</si>
  <si>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</si>
  <si>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</si>
  <si>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</si>
  <si>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</si>
  <si>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</si>
  <si>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</si>
  <si>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</si>
  <si>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</si>
  <si>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</si>
  <si>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Let’s see if it lasts.,Very good, Easy, Good quality,Waffle maker in the market available, Very affordable price, Great deal</t>
  </si>
  <si>
    <t>https://m.media-amazon.com/images/W/WEBP_402378-T1/images/I/414fV+i+rcL._SY300_SX300_.jpg</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</si>
  <si>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</si>
  <si>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</si>
  <si>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</si>
  <si>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</si>
  <si>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</si>
  <si>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</si>
  <si>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</si>
  <si>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</si>
  <si>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</si>
  <si>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</si>
  <si>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</si>
  <si>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</si>
  <si>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</si>
  <si>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</si>
  <si>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</si>
  <si>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</si>
  <si>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</si>
  <si>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</si>
  <si>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</si>
  <si>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</si>
  <si>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</si>
  <si>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</si>
  <si>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</si>
  <si>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</si>
  <si>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</si>
  <si>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</si>
  <si>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</si>
  <si>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Tq🙏🏻🥰,Good productYou can buy it,Nice fan which one can consider at this price but should have different colour options white gets dirty early which needs care regularly otherwise nice product</t>
  </si>
  <si>
    <t>https://m.media-amazon.com/images/I/418vOzm6DZL._SX300_SY300_QL70_FMwebp_.jpg</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</si>
  <si>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</si>
  <si>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</si>
  <si>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</si>
  <si>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</si>
  <si>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</si>
  <si>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</si>
  <si>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</si>
  <si>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</si>
  <si>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</si>
  <si>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</si>
  <si>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</si>
  <si>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</si>
  <si>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</si>
  <si>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</si>
  <si>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</si>
  <si>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</si>
  <si>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</si>
  <si>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</si>
  <si>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</si>
  <si>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</si>
  <si>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</si>
  <si>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it…,Only for black coffee not with mil,Great coffee maker.,Good product,Great coffee maker,Best brews coffee,Nice coffee maker</t>
  </si>
  <si>
    <t>Alignment between mug and top springi is not good which resulted water stagnation at top section causing bitter coffee taste,Absolutely amazing….,You can use if you wish to have black coffee or filter coffee. You can’t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</si>
  <si>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</si>
  <si>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</si>
  <si>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</si>
  <si>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</si>
  <si>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</si>
  <si>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</si>
  <si>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</si>
  <si>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</si>
  <si>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</si>
  <si>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</si>
  <si>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</si>
  <si>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I’ll buy this for now. Normally I just put water n oil n walla it works but in this one u have a 2wicks given to u which u have to leave in water. Then put one back inside the humidifier. Till d wick stays wet it works n then doesn’t so u have to remove the one inside n dip it in water again to work. Now that’s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</si>
  <si>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</si>
  <si>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</si>
  <si>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</si>
  <si>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</si>
  <si>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</si>
  <si>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appreciation.,I’m using since 1 week &amp; I must say it’s very good &amp; best in the market,Heating power is very poor</t>
  </si>
  <si>
    <t>https://m.media-amazon.com/images/W/WEBP_402378-T1/images/I/51eq6GwXn-L._SX300_SY300_QL70_FMwebp_.jpg</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</si>
  <si>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</si>
  <si>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</si>
  <si>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</si>
  <si>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</si>
  <si>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</si>
  <si>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</si>
  <si>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</si>
  <si>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</si>
  <si>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</si>
  <si>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</si>
  <si>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</si>
  <si>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</si>
  <si>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</si>
  <si>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</si>
  <si>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</si>
  <si>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</si>
  <si>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</si>
  <si>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</si>
  <si>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</si>
  <si>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</si>
  <si>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</si>
  <si>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</si>
  <si>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</si>
  <si>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</si>
  <si>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</si>
  <si>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</si>
  <si>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</si>
  <si>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you’re a home baker, just go for it without doubt,Excellent👍,Nice product,Useful,Bhari,Too good,Good for cake,Useful</t>
  </si>
  <si>
    <t>Been using this from almost a year now.I’m home baker and whipping creams and making dough has been easier than ever. Value for money and Philips is a brand you can blindly trust on. The blades are easy detachable and easy to clean. If you’rea home baker who just started off. Please go ahead and buy this without giving a second thought,Very  useful product. Easy to use. I like it😍,Easy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</si>
  <si>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</si>
  <si>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</si>
  <si>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</si>
  <si>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</si>
  <si>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</si>
  <si>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</si>
  <si>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</si>
  <si>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</si>
  <si>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</si>
  <si>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</si>
  <si>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</si>
  <si>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</si>
  <si>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</si>
  <si>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</si>
  <si>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</si>
  <si>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</si>
  <si>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</si>
  <si>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</si>
  <si>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</si>
  <si>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</si>
  <si>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</si>
  <si>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</si>
  <si>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</si>
  <si>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</si>
  <si>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</si>
  <si>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</si>
  <si>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</si>
  <si>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</si>
  <si>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</si>
  <si>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</si>
  <si>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</si>
  <si>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</si>
  <si>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</si>
  <si>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</si>
  <si>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</si>
  <si>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</si>
  <si>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</si>
  <si>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</si>
  <si>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</si>
  <si>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</si>
  <si>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</si>
  <si>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</si>
  <si>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</si>
  <si>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</si>
  <si>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</si>
  <si>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</si>
  <si>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</si>
  <si>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</si>
  <si>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</si>
  <si>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</si>
  <si>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</si>
  <si>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</si>
  <si>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</si>
  <si>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</si>
  <si>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</si>
  <si>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</si>
  <si>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</si>
  <si>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</si>
  <si>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</si>
  <si>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</si>
  <si>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</si>
  <si>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</si>
  <si>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</si>
  <si>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</si>
  <si>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</si>
  <si>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</si>
  <si>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</si>
  <si>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</si>
  <si>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</si>
  <si>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</si>
  <si>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</si>
  <si>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</si>
  <si>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</si>
  <si>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</si>
  <si>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</si>
  <si>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</si>
  <si>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product✌,A good product for household use,मुझे बिल्कुल भी मजा नहीं आया और वापस कर दिया।,Best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</si>
  <si>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burning.,बोरोसिल ब्रांड का यह "सेंडविच मेकर" देखने में तो अच्छा लगता है मगर इसकी बिल्ड क्वालिटी अच्छी नहीं है।  यह लगभग Rs 3000 के आसपास आता है।  इस प्रकार की बिल्ड क्वालिटी ₹2000 के करीब मिल जाती है तो कोई क्यों ₹1000 अधिक भुगतान करें।  पहले मैंने इसे review देखने के बाद ऑर्डर किया था लेकिन जब घर पर डिलीवरी होने के पश्चात  unboxing करके देखा तो इसकी बिल्ड क्वालिटी कुछ खास नहीं लगी इसलिए अपने पैसे बचाने के लिए मैंने इसे वापस भेज दिया। मैंने इसकी पैकेजिंग, मैनुअल और सैंडविच मेकर की फोटोग्राफ आप सभी से शेयर की है।  आप स्वयं देख के अनुमान लगा सकते हैं।,Recommend work as expected,Its easy tp use</t>
  </si>
  <si>
    <t>https://m.media-amazon.com/images/W/WEBP_402378-T1/images/I/51J2Wk-+c+L._SY300_SX300_.jpg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</si>
</sst>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numFmt numFmtId="165" formatCode="[$R$ -416]#,##0.00"/>
  </numFmts>
  <fonts count="11">
    <font>
      <sz val="10.0"/>
      <color rgb="FF000000"/>
      <name val="Arial"/>
      <scheme val="minor"/>
    </font>
    <font>
      <b/>
      <i/>
      <color theme="1"/>
      <name val="Arial"/>
      <scheme val="minor"/>
    </font>
    <font>
      <b/>
      <i/>
      <color theme="1"/>
      <name val="Arial"/>
    </font>
    <font>
      <b/>
      <i/>
      <color rgb="FF000000"/>
      <name val="Arial"/>
    </font>
    <font>
      <b/>
      <color theme="1"/>
      <name val="Arial"/>
      <scheme val="minor"/>
    </font>
    <font>
      <color theme="1"/>
      <name val="Arial"/>
      <scheme val="minor"/>
    </font>
    <font>
      <u/>
      <color rgb="FF0000FF"/>
    </font>
    <font>
      <color theme="1"/>
      <name val="Arial"/>
    </font>
    <font>
      <sz val="10.0"/>
      <color theme="1"/>
      <name val="Arial"/>
      <scheme val="minor"/>
    </font>
    <font>
      <b/>
      <sz val="10.0"/>
      <color theme="1"/>
      <name val="Arial"/>
      <scheme val="minor"/>
    </font>
    <font>
      <u/>
      <color rgb="FF1155CC"/>
      <name val="Arial"/>
    </font>
  </fonts>
  <fills count="3">
    <fill>
      <patternFill patternType="none"/>
    </fill>
    <fill>
      <patternFill patternType="lightGray"/>
    </fill>
    <fill>
      <patternFill patternType="solid">
        <fgColor rgb="FFFFFFFF"/>
        <bgColor rgb="FFFFFFFF"/>
      </patternFill>
    </fill>
  </fills>
  <borders count="2">
    <border/>
    <border>
      <top style="medium">
        <color rgb="FF000000"/>
      </top>
      <bottom style="medium">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1" fillId="0" fontId="1" numFmtId="0" xfId="0" applyAlignment="1" applyBorder="1" applyFont="1">
      <alignment horizontal="center" readingOrder="0" shrinkToFit="0" vertical="center" wrapText="0"/>
    </xf>
    <xf borderId="1" fillId="0" fontId="2" numFmtId="0" xfId="0" applyAlignment="1" applyBorder="1" applyFont="1">
      <alignment horizontal="center" readingOrder="0" vertical="center"/>
    </xf>
    <xf borderId="1" fillId="2" fontId="3" numFmtId="0" xfId="0" applyAlignment="1" applyBorder="1" applyFill="1" applyFont="1">
      <alignment horizontal="center" readingOrder="0" vertical="center"/>
    </xf>
    <xf borderId="0" fillId="0" fontId="4" numFmtId="0" xfId="0" applyAlignment="1" applyFont="1">
      <alignment horizontal="center" readingOrder="0" vertical="center"/>
    </xf>
    <xf borderId="0" fillId="0" fontId="4" numFmtId="0" xfId="0" applyAlignment="1" applyFont="1">
      <alignment horizontal="left" readingOrder="0" shrinkToFit="0" vertical="center" wrapText="0"/>
    </xf>
    <xf borderId="0" fillId="0" fontId="4" numFmtId="0" xfId="0" applyAlignment="1" applyFont="1">
      <alignment horizontal="left" readingOrder="0" vertical="center"/>
    </xf>
    <xf borderId="0" fillId="0" fontId="4" numFmtId="0" xfId="0" applyAlignment="1" applyFont="1">
      <alignment horizontal="center" vertical="center"/>
    </xf>
    <xf borderId="0" fillId="0" fontId="5" numFmtId="0" xfId="0" applyAlignment="1" applyFont="1">
      <alignment horizontal="center" readingOrder="0" vertical="center"/>
    </xf>
    <xf borderId="0" fillId="0" fontId="5" numFmtId="0" xfId="0" applyAlignment="1" applyFont="1">
      <alignment horizontal="center" readingOrder="0" shrinkToFit="0" vertical="center" wrapText="0"/>
    </xf>
    <xf borderId="0" fillId="0" fontId="5" numFmtId="164" xfId="0" applyAlignment="1" applyFont="1" applyNumberFormat="1">
      <alignment horizontal="center" readingOrder="0" vertical="center"/>
    </xf>
    <xf borderId="0" fillId="0" fontId="5" numFmtId="10" xfId="0" applyAlignment="1" applyFont="1" applyNumberFormat="1">
      <alignment horizontal="center" readingOrder="0" vertical="center"/>
    </xf>
    <xf borderId="0" fillId="0" fontId="5" numFmtId="165" xfId="0" applyAlignment="1" applyFont="1" applyNumberFormat="1">
      <alignment horizontal="center" readingOrder="0" vertical="center"/>
    </xf>
    <xf borderId="0" fillId="0" fontId="6" numFmtId="0" xfId="0" applyAlignment="1" applyFont="1">
      <alignment horizontal="center" readingOrder="0" vertical="center"/>
    </xf>
    <xf borderId="0" fillId="2" fontId="0" numFmtId="0" xfId="0" applyAlignment="1" applyFont="1">
      <alignment horizontal="left" readingOrder="0" shrinkToFit="0" vertical="center" wrapText="0"/>
    </xf>
    <xf borderId="0" fillId="0" fontId="5" numFmtId="0" xfId="0" applyAlignment="1" applyFont="1">
      <alignment horizontal="center" vertical="center"/>
    </xf>
    <xf borderId="0" fillId="2" fontId="0" numFmtId="0" xfId="0" applyAlignment="1" applyFont="1">
      <alignment horizontal="left" shrinkToFit="0" vertical="center" wrapText="0"/>
    </xf>
    <xf borderId="0" fillId="0" fontId="5" numFmtId="0" xfId="0" applyAlignment="1" applyFont="1">
      <alignment horizontal="left" vertical="center"/>
    </xf>
    <xf borderId="0" fillId="0" fontId="5" numFmtId="0" xfId="0" applyAlignment="1" applyFont="1">
      <alignment horizontal="center" shrinkToFit="0" vertical="center" wrapText="0"/>
    </xf>
    <xf borderId="0" fillId="0" fontId="7" numFmtId="0" xfId="0" applyAlignment="1" applyFont="1">
      <alignment horizontal="center" vertical="center"/>
    </xf>
    <xf borderId="0" fillId="0" fontId="5" numFmtId="164" xfId="0" applyAlignment="1" applyFont="1" applyNumberFormat="1">
      <alignment horizontal="center" vertical="center"/>
    </xf>
    <xf borderId="0" fillId="0" fontId="5" numFmtId="10" xfId="0" applyAlignment="1" applyFont="1" applyNumberFormat="1">
      <alignment horizontal="center" vertical="center"/>
    </xf>
    <xf borderId="0" fillId="0" fontId="5" numFmtId="165" xfId="0" applyAlignment="1" applyFont="1" applyNumberFormat="1">
      <alignment horizontal="center" vertical="center"/>
    </xf>
    <xf borderId="0" fillId="0" fontId="7" numFmtId="2" xfId="0" applyAlignment="1" applyFont="1" applyNumberFormat="1">
      <alignment horizontal="center" vertical="center"/>
    </xf>
    <xf borderId="0" fillId="0" fontId="8" numFmtId="0" xfId="0" applyAlignment="1" applyFont="1">
      <alignment horizontal="left" shrinkToFit="0" vertical="center" wrapText="0"/>
    </xf>
    <xf borderId="1" fillId="0" fontId="4" numFmtId="0" xfId="0" applyAlignment="1" applyBorder="1" applyFont="1">
      <alignment horizontal="center" readingOrder="0" vertical="center"/>
    </xf>
    <xf borderId="1" fillId="0" fontId="9"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0" fillId="2" fontId="0" numFmtId="0" xfId="0" applyAlignment="1" applyFont="1">
      <alignment horizontal="left" shrinkToFit="0" vertical="center" wrapText="1"/>
    </xf>
    <xf borderId="0" fillId="0" fontId="8" numFmtId="0" xfId="0" applyAlignment="1" applyFont="1">
      <alignment horizontal="left" shrinkToFit="0" vertical="center" wrapText="1"/>
    </xf>
    <xf borderId="0" fillId="0" fontId="5" numFmtId="0" xfId="0" applyAlignment="1" applyFont="1">
      <alignment horizontal="left" shrinkToFit="0" vertical="center" wrapText="1"/>
    </xf>
    <xf borderId="0" fillId="0" fontId="7" numFmtId="0" xfId="0" applyAlignment="1" applyFont="1">
      <alignment horizontal="center"/>
    </xf>
    <xf borderId="0" fillId="0" fontId="7" numFmtId="0" xfId="0" applyAlignment="1" applyFont="1">
      <alignment horizontal="center" shrinkToFit="0" wrapText="0"/>
    </xf>
    <xf borderId="0" fillId="0" fontId="7" numFmtId="0" xfId="0" applyFont="1"/>
    <xf borderId="0" fillId="0" fontId="10" numFmtId="0" xfId="0" applyAlignment="1" applyFont="1">
      <alignment horizontal="center" shrinkToFit="0" wrapText="0"/>
    </xf>
    <xf borderId="0" fillId="0" fontId="7"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png"/><Relationship Id="rId3" Type="http://schemas.openxmlformats.org/officeDocument/2006/relationships/image" Target="../media/image1.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47625</xdr:colOff>
      <xdr:row>0</xdr:row>
      <xdr:rowOff>76200</xdr:rowOff>
    </xdr:from>
    <xdr:ext cx="1352550" cy="1619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38100</xdr:colOff>
      <xdr:row>0</xdr:row>
      <xdr:rowOff>38100</xdr:rowOff>
    </xdr:from>
    <xdr:ext cx="228600" cy="2286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904875</xdr:colOff>
      <xdr:row>0</xdr:row>
      <xdr:rowOff>38100</xdr:rowOff>
    </xdr:from>
    <xdr:ext cx="809625" cy="228600"/>
    <xdr:pic>
      <xdr:nvPicPr>
        <xdr:cNvPr id="0" name="image1.png"/>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47625</xdr:colOff>
      <xdr:row>0</xdr:row>
      <xdr:rowOff>38100</xdr:rowOff>
    </xdr:from>
    <xdr:ext cx="809625" cy="228600"/>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amazon.in/BlueRigger-Digital-Optical-Toslink-Meters/dp/B005LJQMZC/ref=sr_1_209?qid=1672909134&amp;s=electronics&amp;sr=1-209" TargetMode="External"/><Relationship Id="rId194" Type="http://schemas.openxmlformats.org/officeDocument/2006/relationships/hyperlink" Target="https://www.amazon.in/LOHAYA-Television-Remote-Compatible-Control/dp/B08GJNM9N7/ref=sr_1_213?qid=1672909134&amp;s=electronics&amp;sr=1-213" TargetMode="External"/><Relationship Id="rId193" Type="http://schemas.openxmlformats.org/officeDocument/2006/relationships/hyperlink" Target="https://www.amazon.in/Samsung-inches-Crystal-Ultra-UA55AUE65AKXXL/dp/B0B15GSPQW/ref=sr_1_212?qid=1672909134&amp;s=electronics&amp;sr=1-212" TargetMode="External"/><Relationship Id="rId192" Type="http://schemas.openxmlformats.org/officeDocument/2006/relationships/hyperlink" Target="https://www.amazon.in/AmazonBasics-Certified-Lightning-Charge-Meters/dp/B07DC4RZPY/ref=sr_1_211?qid=1672909134&amp;s=electronics&amp;sr=1-211" TargetMode="External"/><Relationship Id="rId191" Type="http://schemas.openxmlformats.org/officeDocument/2006/relationships/hyperlink" Target="https://www.amazon.in/Visio-World-inches-VW24A-Ready/dp/B07MDRGHWQ/ref=sr_1_210?qid=1672909134&amp;s=electronics&amp;sr=1-210" TargetMode="External"/><Relationship Id="rId187" Type="http://schemas.openxmlformats.org/officeDocument/2006/relationships/hyperlink" Target="https://www.amazon.in/AmazonBasics-Lightning-Aluminum-Certified-Charging/dp/B0B8SSC5D9/ref=sr_1_206?qid=1672909134&amp;s=electronics&amp;sr=1-206" TargetMode="External"/><Relationship Id="rId186" Type="http://schemas.openxmlformats.org/officeDocument/2006/relationships/hyperlink" Target="https://www.amazon.in/AmazonBasics-USB-3-0-Cable-Meters/dp/B00NH12R1O/ref=sr_1_205?qid=1672909134&amp;s=electronics&amp;sr=1-205" TargetMode="External"/><Relationship Id="rId185" Type="http://schemas.openxmlformats.org/officeDocument/2006/relationships/hyperlink" Target="https://www.amazon.in/AmazonBasics-Double-Braided-Nylon-Type-C/dp/B07CWNJLPC/ref=sr_1_204?qid=1672909134&amp;s=electronics&amp;sr=1-204" TargetMode="External"/><Relationship Id="rId184" Type="http://schemas.openxmlformats.org/officeDocument/2006/relationships/hyperlink" Target="https://www.amazon.in/AmazonBasics-Lightning-Aluminum-Certified-Charging/dp/B0B8SRZ5SV/ref=sr_1_203?qid=1672909134&amp;s=electronics&amp;sr=1-203" TargetMode="External"/><Relationship Id="rId189" Type="http://schemas.openxmlformats.org/officeDocument/2006/relationships/hyperlink" Target="https://www.amazon.in/Karbonn-Millennium-KJW32SKHD-Phantom-Bezel-Less/dp/B0B466C3G4/ref=sr_1_208?qid=1672909134&amp;s=electronics&amp;sr=1-208" TargetMode="External"/><Relationship Id="rId188" Type="http://schemas.openxmlformats.org/officeDocument/2006/relationships/hyperlink" Target="https://www.amazon.in/Wayona-Charging-Charger-Compatible-Samsung/dp/B08WKG2MWT/ref=sr_1_207?qid=1672909134&amp;s=electronics&amp;sr=1-207" TargetMode="External"/><Relationship Id="rId183" Type="http://schemas.openxmlformats.org/officeDocument/2006/relationships/hyperlink" Target="https://www.amazon.in/LTG500-Indestructible-Certified-Lightning-2Meter/dp/B0162K34H2/ref=sr_1_202?qid=1672909134&amp;s=electronics&amp;sr=1-202" TargetMode="External"/><Relationship Id="rId182" Type="http://schemas.openxmlformats.org/officeDocument/2006/relationships/hyperlink" Target="https://www.amazon.in/Storite-USB-3-0-Micro-Cable/dp/B00GE55L22/ref=sr_1_201?qid=1672909134&amp;s=electronics&amp;sr=1-201" TargetMode="External"/><Relationship Id="rId181" Type="http://schemas.openxmlformats.org/officeDocument/2006/relationships/hyperlink" Target="https://www.amazon.in/Sony-TV-Remote-Compatible-Control/dp/B09L8DT7D6/ref=sr_1_200?qid=1672909134&amp;s=electronics&amp;sr=1-200" TargetMode="External"/><Relationship Id="rId180" Type="http://schemas.openxmlformats.org/officeDocument/2006/relationships/hyperlink" Target="https://www.amazon.in/7SEVEN-Bluetooth-Command-Netflix-XMRM-00A/dp/B08XMSKKMM/ref=sr_1_199?qid=1672909134&amp;s=electronics&amp;sr=1-199" TargetMode="External"/><Relationship Id="rId176" Type="http://schemas.openxmlformats.org/officeDocument/2006/relationships/hyperlink" Target="https://www.amazon.in/Skadioo-Accessories-Receiver-Compatible-dongle/dp/B09LHXNZLR/ref=sr_1_195?qid=1672909134&amp;s=electronics&amp;sr=1-195" TargetMode="External"/><Relationship Id="rId175" Type="http://schemas.openxmlformats.org/officeDocument/2006/relationships/hyperlink" Target="https://www.amazon.in/Syncwire-Cable-Charging-Compatible-Devices/dp/B0BP7XLX48/ref=sr_1_194?qid=1672909134&amp;s=electronics&amp;sr=1-194" TargetMode="External"/><Relationship Id="rId174" Type="http://schemas.openxmlformats.org/officeDocument/2006/relationships/hyperlink" Target="https://www.amazon.in/Wayona-Charging-Charger-Samsung-Galaxy/dp/B08CTNJ985/ref=sr_1_193?qid=1672909134&amp;s=electronics&amp;sr=1-193" TargetMode="External"/><Relationship Id="rId173" Type="http://schemas.openxmlformats.org/officeDocument/2006/relationships/hyperlink" Target="https://www.amazon.in/Ambrane-Charging-Neckband-Wireless-ACM/dp/B09YLYB9PB/ref=sr_1_192?qid=1672909133&amp;s=electronics&amp;sr=1-192" TargetMode="External"/><Relationship Id="rId179" Type="http://schemas.openxmlformats.org/officeDocument/2006/relationships/hyperlink" Target="https://www.amazon.in/FLiX-Charging-480Mbps-Andriod-XCD-FPM01/dp/B0B3MQXNFB/ref=sr_1_198?qid=1672909134&amp;s=electronics&amp;sr=1-198" TargetMode="External"/><Relationship Id="rId178" Type="http://schemas.openxmlformats.org/officeDocument/2006/relationships/hyperlink" Target="https://www.amazon.in/Charging-Braided-Compatible-Samsung-Galaxy/dp/B08PSVBB2X/ref=sr_1_197?qid=1672909134&amp;s=electronics&amp;sr=1-197" TargetMode="External"/><Relationship Id="rId177" Type="http://schemas.openxmlformats.org/officeDocument/2006/relationships/hyperlink" Target="https://www.amazon.in/FLiX-Charging-480Mbps-Andriod-Devices/dp/B0B3N8VG24/ref=sr_1_196?qid=1672909134&amp;s=electronics&amp;sr=1-196" TargetMode="External"/><Relationship Id="rId198" Type="http://schemas.openxmlformats.org/officeDocument/2006/relationships/hyperlink" Target="https://www.amazon.in/MI-inches-Smart-Android-L43M7-EAIN/dp/B0B6F8HHR6/ref=sr_1_217?qid=1672909135&amp;s=electronics&amp;sr=1-217" TargetMode="External"/><Relationship Id="rId197" Type="http://schemas.openxmlformats.org/officeDocument/2006/relationships/hyperlink" Target="https://www.amazon.in/FLiX-Beetel-Durable-Lightning-Charge/dp/B08P9RYPLR/ref=sr_1_216?qid=1672909134&amp;s=electronics&amp;sr=1-216" TargetMode="External"/><Relationship Id="rId196" Type="http://schemas.openxmlformats.org/officeDocument/2006/relationships/hyperlink" Target="https://www.amazon.in/Zebronics-CU3100V-charging-capacity-durability/dp/B0B65MJ45G/ref=sr_1_215?qid=1672909134&amp;s=electronics&amp;sr=1-215" TargetMode="External"/><Relationship Id="rId195" Type="http://schemas.openxmlformats.org/officeDocument/2006/relationships/hyperlink" Target="https://www.amazon.in/DURACELL-Micro-braided-Charge-Cable/dp/B09C6FML9B/ref=sr_1_214?qid=1672909134&amp;s=electronics&amp;sr=1-214" TargetMode="External"/><Relationship Id="rId199" Type="http://schemas.openxmlformats.org/officeDocument/2006/relationships/hyperlink" Target="https://www.amazon.in/Belkin-Lightning-AirPods-MFi-Certified-Charging/dp/B084MZXJN6/ref=sr_1_218?qid=1672909135&amp;s=electronics&amp;sr=1-218" TargetMode="External"/><Relationship Id="rId150" Type="http://schemas.openxmlformats.org/officeDocument/2006/relationships/hyperlink" Target="https://www.amazon.in/DURACELL-Type-C-Micro-braided-Charge/dp/B09C6H53KH/ref=sr_1_168?qid=1672909131&amp;s=electronics&amp;sr=1-168" TargetMode="External"/><Relationship Id="rId392" Type="http://schemas.openxmlformats.org/officeDocument/2006/relationships/hyperlink" Target="https://www.amazon.in/boAt-Wave-Call-Dedicated-Multi-Sport/dp/B0B5DDJNH4/ref=sr_1_60?qid=1672895762&amp;s=electronics&amp;sr=1-60" TargetMode="External"/><Relationship Id="rId391" Type="http://schemas.openxmlformats.org/officeDocument/2006/relationships/hyperlink" Target="https://www.amazon.in/Noise-ColorFit-Display-Monitoring-Smartwatches/dp/B09PNKXSKF/ref=sr_1_59?qid=1672895762&amp;s=electronics&amp;sr=1-59" TargetMode="External"/><Relationship Id="rId390" Type="http://schemas.openxmlformats.org/officeDocument/2006/relationships/hyperlink" Target="https://www.amazon.in/realme-Classic-Wired-Earphones-Microphone/dp/B08G28Z33M/ref=sr_1_58?qid=1672895762&amp;s=electronics&amp;sr=1-58" TargetMode="External"/><Relationship Id="rId1" Type="http://schemas.openxmlformats.org/officeDocument/2006/relationships/hyperlink" Target="https://www.amazon.in/Wayona-Braided-WN3LG1-Syncing-Charging/dp/B07JW9H4J1/ref=sr_1_1?qid=1672909124&amp;s=electronics&amp;sr=1-1" TargetMode="External"/><Relationship Id="rId2" Type="http://schemas.openxmlformats.org/officeDocument/2006/relationships/hyperlink" Target="https://www.amazon.in/Ambrane-Unbreakable-Charging-Braided-Cable/dp/B098NS6PVG/ref=sr_1_2?qid=1672909124&amp;s=electronics&amp;sr=1-2" TargetMode="External"/><Relationship Id="rId3" Type="http://schemas.openxmlformats.org/officeDocument/2006/relationships/hyperlink" Target="https://www.amazon.in/Sounce-iPhone-Charging-Compatible-Devices/dp/B096MSW6CT/ref=sr_1_3?qid=1672909124&amp;s=electronics&amp;sr=1-3" TargetMode="External"/><Relationship Id="rId149" Type="http://schemas.openxmlformats.org/officeDocument/2006/relationships/hyperlink" Target="https://www.amazon.in/BlueRigger-Digital-Optical-Audio-Toslink/dp/B005LJQMCK/ref=sr_1_167?qid=1672909131&amp;s=electronics&amp;sr=1-167" TargetMode="External"/><Relationship Id="rId4" Type="http://schemas.openxmlformats.org/officeDocument/2006/relationships/hyperlink" Target="https://www.amazon.in/Deuce-300-Resistant-Tangle-Free-Transmission/dp/B08HDJ86NZ/ref=sr_1_4?qid=1672909124&amp;s=electronics&amp;sr=1-4" TargetMode="External"/><Relationship Id="rId148" Type="http://schemas.openxmlformats.org/officeDocument/2006/relationships/hyperlink" Target="https://www.amazon.in/Ambrane-Charging-480mbps-ABCC-100-Black-Grey/dp/B09CMQRQM6/ref=sr_1_166?qid=1672909131&amp;s=electronics&amp;sr=1-166" TargetMode="External"/><Relationship Id="rId1090" Type="http://schemas.openxmlformats.org/officeDocument/2006/relationships/hyperlink" Target="https://www.amazon.in/Amazon-Basics-Adjustable-Thermostat-certified/dp/B09ZTZ9N3Q/ref=sr_1_86?qid=1672923595&amp;s=kitchen&amp;sr=1-86" TargetMode="External"/><Relationship Id="rId1091" Type="http://schemas.openxmlformats.org/officeDocument/2006/relationships/hyperlink" Target="https://www.amazon.in/HealthSense-Chef-Mate-KS-40-Weighing/dp/B083P71WKK/ref=sr_1_87?qid=1672923595&amp;s=kitchen&amp;sr=1-87" TargetMode="External"/><Relationship Id="rId1092" Type="http://schemas.openxmlformats.org/officeDocument/2006/relationships/hyperlink" Target="https://www.amazon.in/Bajaj-Shakti-Heater-Multiple-Safety/dp/B097R4D42G/ref=sr_1_91?qid=1672923595&amp;s=kitchen&amp;sr=1-91" TargetMode="External"/><Relationship Id="rId1093" Type="http://schemas.openxmlformats.org/officeDocument/2006/relationships/hyperlink" Target="https://www.amazon.in/Bosch-TrueMixx-Pro-Grinder-Watt-MGM8842MIN/dp/B07MKMFKPG/ref=sr_1_92?qid=1672923595&amp;s=kitchen&amp;sr=1-92" TargetMode="External"/><Relationship Id="rId1094" Type="http://schemas.openxmlformats.org/officeDocument/2006/relationships/hyperlink" Target="https://www.amazon.in/Bulfyss-Stainless-Weighing-Nutrition-Warranty/dp/B0949FPSFY/ref=sr_1_93?qid=1672923595&amp;s=kitchen&amp;sr=1-93" TargetMode="External"/><Relationship Id="rId9" Type="http://schemas.openxmlformats.org/officeDocument/2006/relationships/hyperlink" Target="https://www.amazon.in/TP-Link-TL-WN725N-150Mbps-Wireless-Adapter/dp/B008IFXQFU/ref=sr_1_10?qid=1672909124&amp;s=electronics&amp;sr=1-10" TargetMode="External"/><Relationship Id="rId143" Type="http://schemas.openxmlformats.org/officeDocument/2006/relationships/hyperlink" Target="https://www.amazon.in/LRIPL-Remote-Control-Netflix-Compatible/dp/B08RX8G496/ref=sr_1_161?qid=1672909131&amp;s=electronics&amp;sr=1-161" TargetMode="External"/><Relationship Id="rId385" Type="http://schemas.openxmlformats.org/officeDocument/2006/relationships/hyperlink" Target="https://www.amazon.in/WeCool-Bluetooth-Extendable-Multifunctional-Compatible/dp/B08ZN4B121/ref=sr_1_53?qid=1672895762&amp;s=electronics&amp;sr=1-53" TargetMode="External"/><Relationship Id="rId1095" Type="http://schemas.openxmlformats.org/officeDocument/2006/relationships/hyperlink" Target="https://www.amazon.in/VR-Pcs-Different-Multi-Color-Multicolor/dp/B08F47T4X5/ref=sr_1_94?qid=1672923595&amp;s=kitchen&amp;sr=1-94" TargetMode="External"/><Relationship Id="rId142" Type="http://schemas.openxmlformats.org/officeDocument/2006/relationships/hyperlink" Target="https://www.amazon.in/TP-LINK-T3U-Wireless-MU-MIMO-Supports/dp/B0859M539M/ref=sr_1_160?qid=1672909131&amp;s=electronics&amp;sr=1-160" TargetMode="External"/><Relationship Id="rId384" Type="http://schemas.openxmlformats.org/officeDocument/2006/relationships/hyperlink" Target="https://www.amazon.in/realme-Storage-Processor-Triple-Display/dp/B09RMQYHLH/ref=sr_1_52?qid=1672895762&amp;s=electronics&amp;sr=1-52" TargetMode="External"/><Relationship Id="rId1096" Type="http://schemas.openxmlformats.org/officeDocument/2006/relationships/hyperlink" Target="https://www.amazon.in/Orient-Electric-Apex-FX-1200mm-Ceiling/dp/B01M0505SJ/ref=sr_1_95?qid=1672923595&amp;s=kitchen&amp;sr=1-95" TargetMode="External"/><Relationship Id="rId141" Type="http://schemas.openxmlformats.org/officeDocument/2006/relationships/hyperlink" Target="https://www.amazon.in/Charging-Braided-Compatible-Samsung-Galaxy/dp/B08PSQRW2T/ref=sr_1_159?qid=1672909131&amp;s=electronics&amp;sr=1-159" TargetMode="External"/><Relationship Id="rId383" Type="http://schemas.openxmlformats.org/officeDocument/2006/relationships/hyperlink" Target="https://www.amazon.in/DURACELL-Charger-Qualcomm-Certified-Charge/dp/B09FFK1PQG/ref=sr_1_51?qid=1672895762&amp;s=electronics&amp;sr=1-51" TargetMode="External"/><Relationship Id="rId1097" Type="http://schemas.openxmlformats.org/officeDocument/2006/relationships/hyperlink" Target="https://www.amazon.in/PrettyKrafts-Laundry-Clothes-Storage-Mushroom/dp/B08D6RCM3Q/ref=sr_1_96?qid=1672923595&amp;s=kitchen&amp;sr=1-96" TargetMode="External"/><Relationship Id="rId140" Type="http://schemas.openxmlformats.org/officeDocument/2006/relationships/hyperlink" Target="https://www.amazon.in/Indestructible-Type-C-Cable-Type-Phones/dp/B071SDRGWL/ref=sr_1_158?qid=1672909131&amp;s=electronics&amp;sr=1-158" TargetMode="External"/><Relationship Id="rId382" Type="http://schemas.openxmlformats.org/officeDocument/2006/relationships/hyperlink" Target="https://www.amazon.in/Redmi-Storage-Battery-Finger-Booster/dp/B09XB7SRQ5/ref=sr_1_50?qid=1672895762&amp;s=electronics&amp;sr=1-50" TargetMode="External"/><Relationship Id="rId1098" Type="http://schemas.openxmlformats.org/officeDocument/2006/relationships/hyperlink" Target="https://www.amazon.in/Bajaj-RX-11-2000-Watt-Convector/dp/B009P2LITG/ref=sr_1_98?qid=1672923595&amp;s=kitchen&amp;sr=1-98" TargetMode="External"/><Relationship Id="rId5" Type="http://schemas.openxmlformats.org/officeDocument/2006/relationships/hyperlink" Target="https://www.amazon.in/Portronics-Konnect-POR-1080-Charging-Function/dp/B08CF3B7N1/ref=sr_1_5?qid=1672909124&amp;s=electronics&amp;sr=1-5" TargetMode="External"/><Relationship Id="rId147" Type="http://schemas.openxmlformats.org/officeDocument/2006/relationships/hyperlink" Target="https://www.amazon.in/AmazonBasics-Nylon-Braided-Lightning-Cable/dp/B082T6GXS5/ref=sr_1_165?qid=1672909131&amp;s=electronics&amp;sr=1-165" TargetMode="External"/><Relationship Id="rId389" Type="http://schemas.openxmlformats.org/officeDocument/2006/relationships/hyperlink" Target="https://www.amazon.in/Samsung-EP-TA800NBEGIN-25W-Travel-Adapter/dp/B08VF8V79P/ref=sr_1_57?qid=1672895762&amp;s=electronics&amp;sr=1-57" TargetMode="External"/><Relationship Id="rId1099" Type="http://schemas.openxmlformats.org/officeDocument/2006/relationships/hyperlink" Target="https://www.amazon.in/Eureka-Forbes-Trendy-Zip-1000-Watt/dp/B00V9NHDI4/ref=sr_1_99?qid=1672923595&amp;s=kitchen&amp;sr=1-99" TargetMode="External"/><Relationship Id="rId6" Type="http://schemas.openxmlformats.org/officeDocument/2006/relationships/hyperlink" Target="https://www.amazon.in/Solero-TB301-Charging-480Mbps-1-5-Meter/dp/B08Y1TFSP6/ref=sr_1_6?qid=1672909124&amp;s=electronics&amp;sr=1-6" TargetMode="External"/><Relationship Id="rId146" Type="http://schemas.openxmlformats.org/officeDocument/2006/relationships/hyperlink" Target="https://www.amazon.in/OXYURA-Airtel-Digital-Recording-Compatible/dp/B00RFWNJMC/ref=sr_1_164?qid=1672909131&amp;s=electronics&amp;sr=1-164" TargetMode="External"/><Relationship Id="rId388" Type="http://schemas.openxmlformats.org/officeDocument/2006/relationships/hyperlink" Target="https://www.amazon.in/Redmi-Stealth-Additional-Exchange-Included/dp/B09T39K9YL/ref=sr_1_56?qid=1672895762&amp;s=electronics&amp;sr=1-56" TargetMode="External"/><Relationship Id="rId7" Type="http://schemas.openxmlformats.org/officeDocument/2006/relationships/hyperlink" Target="https://www.amazon.in/boAt-Micro-USB-Tangle-Free-Transmission/dp/B08WRWPM22/ref=sr_1_8?qid=1672909124&amp;s=electronics&amp;sr=1-8" TargetMode="External"/><Relationship Id="rId145" Type="http://schemas.openxmlformats.org/officeDocument/2006/relationships/hyperlink" Target="https://www.amazon.in/Kodak-Inches-Certified-Android-32HDX7XPRO/dp/B08CS3BT4L/ref=sr_1_163?qid=1672909131&amp;s=electronics&amp;sr=1-163" TargetMode="External"/><Relationship Id="rId387" Type="http://schemas.openxmlformats.org/officeDocument/2006/relationships/hyperlink" Target="https://www.amazon.in/OPPO-Fantastic-Purple-128GB-Storage/dp/B08VB34KJ1/ref=sr_1_55?qid=1672895762&amp;s=electronics&amp;sr=1-55" TargetMode="External"/><Relationship Id="rId8" Type="http://schemas.openxmlformats.org/officeDocument/2006/relationships/hyperlink" Target="https://www.amazon.in/MI-MTCY001IN-USB-Type-C-Cable/dp/B08DDRGWTJ/ref=sr_1_9?qid=1672909124&amp;s=electronics&amp;sr=1-9" TargetMode="External"/><Relationship Id="rId144" Type="http://schemas.openxmlformats.org/officeDocument/2006/relationships/hyperlink" Target="https://www.amazon.in/TP-Link-TL-WN722N-150Mbps-Wireless-Adapter/dp/B002SZEOLG/ref=sr_1_162?qid=1672909131&amp;s=electronics&amp;sr=1-162" TargetMode="External"/><Relationship Id="rId386" Type="http://schemas.openxmlformats.org/officeDocument/2006/relationships/hyperlink" Target="https://www.amazon.in/Fire-Boltt-Phoenix-Bluetooth-Calling-Monitoring/dp/B0B3RSDSZ3/ref=sr_1_54?qid=1672895762&amp;s=electronics&amp;sr=1-54" TargetMode="External"/><Relationship Id="rId381" Type="http://schemas.openxmlformats.org/officeDocument/2006/relationships/hyperlink" Target="https://www.amazon.in/Fire-Boltt-Bluetooth-Calling-Assistance-Resolution/dp/B0BF54LXW6/ref=sr_1_49?qid=1672895762&amp;s=electronics&amp;sr=1-49" TargetMode="External"/><Relationship Id="rId380" Type="http://schemas.openxmlformats.org/officeDocument/2006/relationships/hyperlink" Target="https://www.amazon.in/Sounce-iPhone-Charging-Compatible-Devices/dp/B096MSW6CT/ref=sr_1_48?qid=1672895755&amp;s=electronics&amp;sr=1-48" TargetMode="External"/><Relationship Id="rId139" Type="http://schemas.openxmlformats.org/officeDocument/2006/relationships/hyperlink" Target="https://www.amazon.in/LRIPL-Compatible-Bravia-Remote-Almost/dp/B071VMP1Z4/ref=sr_1_157?qid=1672909131&amp;s=electronics&amp;sr=1-157" TargetMode="External"/><Relationship Id="rId138" Type="http://schemas.openxmlformats.org/officeDocument/2006/relationships/hyperlink" Target="https://www.amazon.in/Cable-Certified-48Gbps-Ultra-Dynamic/dp/B08TGG316Z/ref=sr_1_156?qid=1672909131&amp;s=electronics&amp;sr=1-156" TargetMode="External"/><Relationship Id="rId137" Type="http://schemas.openxmlformats.org/officeDocument/2006/relationships/hyperlink" Target="https://www.amazon.in/pTron-3-4Amps-Multifunction-Charging-Tangle-free/dp/B0B4HKH19N/ref=sr_1_155?qid=1672909131&amp;s=electronics&amp;sr=1-155" TargetMode="External"/><Relationship Id="rId379" Type="http://schemas.openxmlformats.org/officeDocument/2006/relationships/hyperlink" Target="https://www.amazon.in/iQOO-Stellar-Snapdragon-Purchased-Separately/dp/B07WJV6P1R/ref=sr_1_47?qid=1672895755&amp;s=electronics&amp;sr=1-47" TargetMode="External"/><Relationship Id="rId1080" Type="http://schemas.openxmlformats.org/officeDocument/2006/relationships/hyperlink" Target="https://www.amazon.in/PHILIPS-Handheld-Garment-STH3000-20/dp/B08TM71L54/ref=sr_1_77?qid=1672923593&amp;s=kitchen&amp;sr=1-77" TargetMode="External"/><Relationship Id="rId1081" Type="http://schemas.openxmlformats.org/officeDocument/2006/relationships/hyperlink" Target="https://www.amazon.in/Wall-Outlet-Electric-Heaters-Bedroom-bathrooms/dp/B0BPBXNQQT/ref=sr_1_78?qid=1672923593&amp;s=kitchen&amp;sr=1-78" TargetMode="External"/><Relationship Id="rId1082" Type="http://schemas.openxmlformats.org/officeDocument/2006/relationships/hyperlink" Target="https://www.amazon.in/Wonderchef-Nutri-Blend-Watts-Juicer-Grinder/dp/B00W56GLOQ/ref=sr_1_76?qid=1672923595&amp;s=kitchen&amp;sr=1-76" TargetMode="External"/><Relationship Id="rId1083" Type="http://schemas.openxmlformats.org/officeDocument/2006/relationships/hyperlink" Target="https://www.amazon.in/Armour-AR1100WB-1100-Watt-Soleplate-Purple/dp/B0883KDSXC/ref=sr_1_77?qid=1672923595&amp;s=kitchen&amp;sr=1-77" TargetMode="External"/><Relationship Id="rId132" Type="http://schemas.openxmlformats.org/officeDocument/2006/relationships/hyperlink" Target="https://www.amazon.in/Wayona-Charging-Cable-Compatible-Samsung/dp/B09QGZM8QB/ref=sr_1_149?qid=1672909131&amp;s=electronics&amp;sr=1-149" TargetMode="External"/><Relationship Id="rId374" Type="http://schemas.openxmlformats.org/officeDocument/2006/relationships/hyperlink" Target="https://www.amazon.in/Redmi-Storage-Battery-Finger-Booster/dp/B09XB7DPW1/ref=sr_1_42?qid=1672895755&amp;s=electronics&amp;sr=1-42" TargetMode="External"/><Relationship Id="rId1084" Type="http://schemas.openxmlformats.org/officeDocument/2006/relationships/hyperlink" Target="https://www.amazon.in/Butterfly-EKN-1-5-Litre-Kettle-Silver/dp/B078V8R9BS/ref=sr_1_78?qid=1672923595&amp;s=kitchen&amp;sr=1-78" TargetMode="External"/><Relationship Id="rId131" Type="http://schemas.openxmlformats.org/officeDocument/2006/relationships/hyperlink" Target="https://www.amazon.in/Acer-inches-Ultra-Android-AR43AR2851UDFL/dp/B0B1YY6JJL/ref=sr_1_146?qid=1672909131&amp;s=electronics&amp;sr=1-146" TargetMode="External"/><Relationship Id="rId373" Type="http://schemas.openxmlformats.org/officeDocument/2006/relationships/hyperlink" Target="https://www.amazon.in/Fire-Boltt-Bluetooth-Calling-Assistance-Resolution/dp/B0BF4YBLPX/ref=sr_1_41?qid=1672895755&amp;s=electronics&amp;sr=1-41" TargetMode="External"/><Relationship Id="rId1085" Type="http://schemas.openxmlformats.org/officeDocument/2006/relationships/hyperlink" Target="https://www.amazon.in/Crompton-Arno-Neo-ASWH-3015-Star-Rated/dp/B08GSQXLJ2/ref=sr_1_79?qid=1672923595&amp;s=kitchen&amp;sr=1-79" TargetMode="External"/><Relationship Id="rId130" Type="http://schemas.openxmlformats.org/officeDocument/2006/relationships/hyperlink" Target="https://www.amazon.in/AmazonBasics-3-5mm-2-Male-Adapter-cable/dp/B01D5H8LDM/ref=sr_1_144?qid=1672909130&amp;s=electronics&amp;sr=1-144" TargetMode="External"/><Relationship Id="rId372" Type="http://schemas.openxmlformats.org/officeDocument/2006/relationships/hyperlink" Target="https://www.amazon.in/Redmi-9A-Sport-Octa-core-Processor/dp/B09GFLXVH9/ref=sr_1_40?qid=1672895755&amp;s=electronics&amp;sr=1-40" TargetMode="External"/><Relationship Id="rId1086" Type="http://schemas.openxmlformats.org/officeDocument/2006/relationships/hyperlink" Target="https://www.amazon.in/Borosil-Plastic-Chefdelite-BCH20DBB21-Technology/dp/B01M5B0TPW/ref=sr_1_80?qid=1672923595&amp;s=kitchen&amp;sr=1-80" TargetMode="External"/><Relationship Id="rId371" Type="http://schemas.openxmlformats.org/officeDocument/2006/relationships/hyperlink" Target="https://www.amazon.in/Redmi-Activ-Carbon-Black-Storage/dp/B09GFPVD9Y/ref=sr_1_39?qid=1672895755&amp;s=electronics&amp;sr=1-39" TargetMode="External"/><Relationship Id="rId1087" Type="http://schemas.openxmlformats.org/officeDocument/2006/relationships/hyperlink" Target="https://www.amazon.in/Amaze-Litre-Electric-Kettle-Stainless/dp/B082KVTRW8/ref=sr_1_81?qid=1672923595&amp;s=kitchen&amp;sr=1-81" TargetMode="External"/><Relationship Id="rId136" Type="http://schemas.openxmlformats.org/officeDocument/2006/relationships/hyperlink" Target="https://www.amazon.in/LG-inches-Ultra-43UQ7500PSF-Ceramic/dp/B0B3XY5YT4/ref=sr_1_154?qid=1672909131&amp;s=electronics&amp;sr=1-154" TargetMode="External"/><Relationship Id="rId378" Type="http://schemas.openxmlformats.org/officeDocument/2006/relationships/hyperlink" Target="https://www.amazon.in/Ambrane-Unbreakable-Charging-Braided-Cable/dp/B098NS6PVG/ref=sr_1_46?qid=1672895755&amp;s=electronics&amp;sr=1-46" TargetMode="External"/><Relationship Id="rId1088" Type="http://schemas.openxmlformats.org/officeDocument/2006/relationships/hyperlink" Target="https://www.amazon.in/Prestige-IRIS-mixer-grinder-Black/dp/B08CFJBZRK/ref=sr_1_82?qid=1672923595&amp;s=kitchen&amp;sr=1-82" TargetMode="External"/><Relationship Id="rId135" Type="http://schemas.openxmlformats.org/officeDocument/2006/relationships/hyperlink" Target="https://www.amazon.in/AmazonBasics-Lightning-USB-Cable-Certified/dp/B082T6GVG9/ref=sr_1_153?qid=1672909131&amp;s=electronics&amp;sr=1-153" TargetMode="External"/><Relationship Id="rId377" Type="http://schemas.openxmlformats.org/officeDocument/2006/relationships/hyperlink" Target="https://www.amazon.in/Noise-ColorFit-Bluetooth-Fully-Functional-Brightness/dp/B09ZQK9X8G/ref=sr_1_45?qid=1672895755&amp;s=electronics&amp;sr=1-45" TargetMode="External"/><Relationship Id="rId1089" Type="http://schemas.openxmlformats.org/officeDocument/2006/relationships/hyperlink" Target="https://www.amazon.in/Simxen-Electric-Automatic-Steaming-Multicolour/dp/B07H3WDC4X/ref=sr_1_83?qid=1672923595&amp;s=kitchen&amp;sr=1-83" TargetMode="External"/><Relationship Id="rId134" Type="http://schemas.openxmlformats.org/officeDocument/2006/relationships/hyperlink" Target="https://www.amazon.in/USB-Cable-Micro-Type-30cm/dp/B09X79PP8F/ref=sr_1_151?qid=1672909131&amp;s=electronics&amp;sr=1-151" TargetMode="External"/><Relationship Id="rId376" Type="http://schemas.openxmlformats.org/officeDocument/2006/relationships/hyperlink" Target="https://www.amazon.in/Fire-Boltt-Smartwatch-Resolution-Connection-Assistance/dp/B0B3N7LR6K/ref=sr_1_44?qid=1672895755&amp;s=electronics&amp;sr=1-44" TargetMode="External"/><Relationship Id="rId133" Type="http://schemas.openxmlformats.org/officeDocument/2006/relationships/hyperlink" Target="https://www.amazon.in/SAIFSMART-Compact-Bracket-Management-Bathroom/dp/B08L4SBJRY/ref=sr_1_150?qid=1672909131&amp;s=electronics&amp;sr=1-150" TargetMode="External"/><Relationship Id="rId375" Type="http://schemas.openxmlformats.org/officeDocument/2006/relationships/hyperlink" Target="https://www.amazon.in/AGARO-Type-C-USB-Female-Adapter/dp/B07PFJ5W31/ref=sr_1_43?qid=1672895755&amp;s=electronics&amp;sr=1-43" TargetMode="External"/><Relationship Id="rId172" Type="http://schemas.openxmlformats.org/officeDocument/2006/relationships/hyperlink" Target="https://www.amazon.in/Acer-inches-Ultra-Android-AR55AR2851UDFL/dp/B0B1YZ9CB8/ref=sr_1_191?qid=1672909133&amp;s=electronics&amp;sr=1-191" TargetMode="External"/><Relationship Id="rId171" Type="http://schemas.openxmlformats.org/officeDocument/2006/relationships/hyperlink" Target="https://www.amazon.in/TP-Link-Archer-T3U-Wireless-MU-MIMO/dp/B07M69276N/ref=sr_1_190?qid=1672909133&amp;s=electronics&amp;sr=1-190" TargetMode="External"/><Relationship Id="rId170" Type="http://schemas.openxmlformats.org/officeDocument/2006/relationships/hyperlink" Target="https://www.amazon.in/realme-Charging-Micro-USB-Cable-Braided/dp/B09PNR6F8Q/ref=sr_1_189?qid=1672909133&amp;s=electronics&amp;sr=1-189" TargetMode="External"/><Relationship Id="rId165" Type="http://schemas.openxmlformats.org/officeDocument/2006/relationships/hyperlink" Target="https://www.amazon.in/Belkin-USB-C-Charging-USB-IF-Certified/dp/B084N18QZY/ref=sr_1_184?qid=1672909133&amp;s=electronics&amp;sr=1-184" TargetMode="External"/><Relationship Id="rId164" Type="http://schemas.openxmlformats.org/officeDocument/2006/relationships/hyperlink" Target="https://www.amazon.in/Ambrane-BCL-15-Lightning-Cable-Smartphone/dp/B0B3RHX6B6/ref=sr_1_183?qid=1672909133&amp;s=electronics&amp;sr=1-183" TargetMode="External"/><Relationship Id="rId163" Type="http://schemas.openxmlformats.org/officeDocument/2006/relationships/hyperlink" Target="https://www.amazon.in/Pinnaclz-Original-Type-Charging-Transfer/dp/B08R69WBN7/ref=sr_1_182?qid=1672909133&amp;s=electronics&amp;sr=1-182" TargetMode="External"/><Relationship Id="rId162" Type="http://schemas.openxmlformats.org/officeDocument/2006/relationships/hyperlink" Target="https://www.amazon.in/Wayona-Braided-Charging-Samsung-Galaxy/dp/B081FG1QYX/ref=sr_1_180?qid=1672909133&amp;s=electronics&amp;sr=1-180" TargetMode="External"/><Relationship Id="rId169" Type="http://schemas.openxmlformats.org/officeDocument/2006/relationships/hyperlink" Target="https://www.amazon.in/Acer-inches-Ready-Android-AR32AR2841HDSB/dp/B0B9959XF3/ref=sr_1_188?qid=1672909133&amp;s=electronics&amp;sr=1-188" TargetMode="External"/><Relationship Id="rId168" Type="http://schemas.openxmlformats.org/officeDocument/2006/relationships/hyperlink" Target="https://www.amazon.in/Electvision-Compatible-verification-coustmer-7738090464/dp/B09JKNF147/ref=sr_1_187?qid=1672909133&amp;s=electronics&amp;sr=1-187" TargetMode="External"/><Relationship Id="rId167" Type="http://schemas.openxmlformats.org/officeDocument/2006/relationships/hyperlink" Target="https://www.amazon.in/Wayona-Nylon-Braided-Charging-iPhones/dp/B07JPJJZ2H/ref=sr_1_186?qid=1672909133&amp;s=electronics&amp;sr=1-186" TargetMode="External"/><Relationship Id="rId166" Type="http://schemas.openxmlformats.org/officeDocument/2006/relationships/hyperlink" Target="https://www.amazon.in/LOHAYA-Television-Compatible-Samsung-Control/dp/B081NHWT6Z/ref=sr_1_185?qid=1672909133&amp;s=electronics&amp;sr=1-185" TargetMode="External"/><Relationship Id="rId161" Type="http://schemas.openxmlformats.org/officeDocument/2006/relationships/hyperlink" Target="https://www.amazon.in/AmazonBasics-Digital-Optical-Converter-Adapter/dp/B07KSB1MLX/ref=sr_1_179?qid=1672909133&amp;s=electronics&amp;sr=1-179" TargetMode="External"/><Relationship Id="rId160" Type="http://schemas.openxmlformats.org/officeDocument/2006/relationships/hyperlink" Target="https://www.amazon.in/7SEVEN-Control-YouTube-Netflix-Compatible/dp/B08RWCZ6SY/ref=sr_1_178?qid=1672909133&amp;s=electronics&amp;sr=1-178" TargetMode="External"/><Relationship Id="rId159" Type="http://schemas.openxmlformats.org/officeDocument/2006/relationships/hyperlink" Target="https://www.amazon.in/Zeb-HAA2021-HDMI-Meter-Cable/dp/B07VSG5SXZ/ref=sr_1_177?qid=1672909133&amp;s=electronics&amp;sr=1-177" TargetMode="External"/><Relationship Id="rId154" Type="http://schemas.openxmlformats.org/officeDocument/2006/relationships/hyperlink" Target="https://www.amazon.in/Xiaomi-HyperCharge-Cable-100cm-Type-C/dp/B07YTNKVJQ/ref=sr_1_172?qid=1672909133&amp;s=electronics&amp;sr=1-172" TargetMode="External"/><Relationship Id="rId396" Type="http://schemas.openxmlformats.org/officeDocument/2006/relationships/hyperlink" Target="https://www.amazon.in/boAt-Display-Multiple-Monitoring-Charcoal/dp/B09MQSCJQ1/ref=sr_1_64?qid=1672895762&amp;s=electronics&amp;sr=1-64" TargetMode="External"/><Relationship Id="rId153" Type="http://schemas.openxmlformats.org/officeDocument/2006/relationships/hyperlink" Target="https://www.amazon.in/Samsung-inches-Wondertainment-Ready-UA32TE40AAKBXL/dp/B08PV1X771/ref=sr_1_171?qid=1672909133&amp;s=electronics&amp;sr=1-171" TargetMode="External"/><Relationship Id="rId395" Type="http://schemas.openxmlformats.org/officeDocument/2006/relationships/hyperlink" Target="https://www.amazon.in/iQOO-128GB-Storage-Snapdragon%C2%AE-FlashCharge/dp/B07WDKLDRX/ref=sr_1_63?qid=1672895762&amp;s=electronics&amp;sr=1-63" TargetMode="External"/><Relationship Id="rId152" Type="http://schemas.openxmlformats.org/officeDocument/2006/relationships/hyperlink" Target="https://www.amazon.in/Charging-Braided-Charger-Samsung-Galaxy/dp/B08QSDKFGQ/ref=sr_1_170?qid=1672909133&amp;s=electronics&amp;sr=1-170" TargetMode="External"/><Relationship Id="rId394" Type="http://schemas.openxmlformats.org/officeDocument/2006/relationships/hyperlink" Target="https://www.amazon.in/Portronics-Konnect-POR-1080-Charging-Function/dp/B08CF3B7N1/ref=sr_1_62?qid=1672895762&amp;s=electronics&amp;sr=1-62" TargetMode="External"/><Relationship Id="rId151" Type="http://schemas.openxmlformats.org/officeDocument/2006/relationships/hyperlink" Target="https://www.amazon.in/VU-inches-Premium-Ultra-Smart/dp/B0BB3CBFBM/ref=sr_1_169?qid=1672909133&amp;s=electronics&amp;sr=1-169" TargetMode="External"/><Relationship Id="rId393" Type="http://schemas.openxmlformats.org/officeDocument/2006/relationships/hyperlink" Target="https://www.amazon.in/Deuce-300-Resistant-Tangle-Free-Transmission/dp/B08HDJ86NZ/ref=sr_1_61?qid=1672895762&amp;s=electronics&amp;sr=1-61" TargetMode="External"/><Relationship Id="rId158" Type="http://schemas.openxmlformats.org/officeDocument/2006/relationships/hyperlink" Target="https://www.amazon.in/Support-Display-Projector-Connectivity-E03i31/dp/B088Z1YWBC/ref=sr_1_176?qid=1672909133&amp;s=electronics&amp;sr=1-176" TargetMode="External"/><Relationship Id="rId157" Type="http://schemas.openxmlformats.org/officeDocument/2006/relationships/hyperlink" Target="https://www.amazon.in/Belkin-Lightning-iPhone-Charging-MFi-Certified/dp/B084N133Y7/ref=sr_1_175?qid=1672909133&amp;s=electronics&amp;sr=1-175" TargetMode="External"/><Relationship Id="rId399" Type="http://schemas.openxmlformats.org/officeDocument/2006/relationships/hyperlink" Target="https://www.amazon.in/Portronics-Adapto-Adapter-Charger-Charging/dp/B08VS3YLRK/ref=sr_1_67?qid=1672895762&amp;s=electronics&amp;sr=1-67" TargetMode="External"/><Relationship Id="rId156" Type="http://schemas.openxmlformats.org/officeDocument/2006/relationships/hyperlink" Target="https://www.amazon.in/7SEVEN%C2%AE-Compatible-Control-Replacement-Original/dp/B09XJ1LM7R/ref=sr_1_174?qid=1672909133&amp;s=electronics&amp;sr=1-174" TargetMode="External"/><Relationship Id="rId398" Type="http://schemas.openxmlformats.org/officeDocument/2006/relationships/hyperlink" Target="https://www.amazon.in/Samsung-microSDXC-Memory-Adapter-MB-MC128KA/dp/B09MT84WV5/ref=sr_1_66?qid=1672895762&amp;s=electronics&amp;sr=1-66" TargetMode="External"/><Relationship Id="rId155" Type="http://schemas.openxmlformats.org/officeDocument/2006/relationships/hyperlink" Target="https://www.amazon.in/GENERIC-Ultra-Mini-Bluetooth-Dongle-Adapter/dp/B0117H7GZ6/ref=sr_1_173_mod_primary_new?qid=1672909133&amp;s=electronics&amp;sbo=RZvfv%2F%2FHxDF%2BO5021pAnSA%3D%3D&amp;sr=1-173" TargetMode="External"/><Relationship Id="rId397" Type="http://schemas.openxmlformats.org/officeDocument/2006/relationships/hyperlink" Target="https://www.amazon.in/Tygot-Bluetooth-Extendable-Multifunctional-Compatible/dp/B094YFFSMY/ref=sr_1_65?qid=1672895762&amp;s=electronics&amp;sr=1-65" TargetMode="External"/><Relationship Id="rId808" Type="http://schemas.openxmlformats.org/officeDocument/2006/relationships/hyperlink" Target="https://www.amazon.in/Portronics-Ruffpad-Multicolor-8-5-inch-Handwriting/dp/B09GFN8WZL/ref=sr_1_244?qid=1672903007&amp;s=computers&amp;sr=1-244" TargetMode="External"/><Relationship Id="rId807" Type="http://schemas.openxmlformats.org/officeDocument/2006/relationships/hyperlink" Target="https://www.amazon.in/boAt-Stone-Bluetooth-Speaker-Black/dp/B08JMC1988/ref=sr_1_243?qid=1672903007&amp;s=computers&amp;sr=1-243" TargetMode="External"/><Relationship Id="rId806" Type="http://schemas.openxmlformats.org/officeDocument/2006/relationships/hyperlink" Target="https://www.amazon.in/ESnipe-Mart-Worldwide-Protected-Electrical/dp/B07WKBD37W/ref=sr_1_242?qid=1672903007&amp;s=computers&amp;sr=1-242" TargetMode="External"/><Relationship Id="rId805" Type="http://schemas.openxmlformats.org/officeDocument/2006/relationships/hyperlink" Target="https://www.amazon.in/Stone-650-Wireless-Bluetooth-Speaker/dp/B07NC12T2R/ref=sr_1_241?qid=1672903007&amp;s=computers&amp;sr=1-241" TargetMode="External"/><Relationship Id="rId809" Type="http://schemas.openxmlformats.org/officeDocument/2006/relationships/hyperlink" Target="https://www.amazon.in/BRUSTRO-Copytinta-Coloured-Bright-Printing/dp/B095X38CJS/ref=sr_1_245?qid=1672903007&amp;s=computers&amp;sr=1-245" TargetMode="External"/><Relationship Id="rId800" Type="http://schemas.openxmlformats.org/officeDocument/2006/relationships/hyperlink" Target="https://www.amazon.in/HP-Z3700-Wireless-Mouse-Modern/dp/B01KK0HU3Y/ref=sr_1_236?qid=1672903006&amp;s=computers&amp;sr=1-236" TargetMode="External"/><Relationship Id="rId804" Type="http://schemas.openxmlformats.org/officeDocument/2006/relationships/hyperlink" Target="https://www.amazon.in/Generic-Multi-Angle-tablets-Samsung-paperwhite-Phablets/dp/B017PDR9N0/ref=sr_1_240?qid=1672903006&amp;s=computers&amp;sr=1-240" TargetMode="External"/><Relationship Id="rId803" Type="http://schemas.openxmlformats.org/officeDocument/2006/relationships/hyperlink" Target="https://www.amazon.in/AmazonBasics-Extension-Cable-Male-Female/dp/B00NH11PEY/ref=sr_1_239?qid=1672903006&amp;s=computers&amp;sr=1-239" TargetMode="External"/><Relationship Id="rId802" Type="http://schemas.openxmlformats.org/officeDocument/2006/relationships/hyperlink" Target="https://www.amazon.in/TABLE-MAGIC-Midnight-Adjustable-Multiple/dp/B086394NY5/ref=sr_1_238?qid=1672903006&amp;s=computers&amp;sr=1-238" TargetMode="External"/><Relationship Id="rId801" Type="http://schemas.openxmlformats.org/officeDocument/2006/relationships/hyperlink" Target="https://www.amazon.in/Maono-AU-400-Lavalier-Microphone-Black/dp/B07JF9B592/ref=sr_1_237?qid=1672903006&amp;s=computers&amp;sr=1-237" TargetMode="External"/><Relationship Id="rId40" Type="http://schemas.openxmlformats.org/officeDocument/2006/relationships/hyperlink" Target="https://www.amazon.in/DURACELL-Type-C-braided-Charge-Cable/dp/B09C6HWG18/ref=sr_1_43?qid=1672909125&amp;s=electronics&amp;sr=1-43" TargetMode="External"/><Relationship Id="rId1334" Type="http://schemas.openxmlformats.org/officeDocument/2006/relationships/hyperlink" Target="https://www.amazon.in/Orpat-HHB-100E-250-Watt-Blender-White/dp/B0085W2MUQ/ref=sr_1_358?qid=1672923610&amp;s=kitchen&amp;sr=1-358" TargetMode="External"/><Relationship Id="rId1335" Type="http://schemas.openxmlformats.org/officeDocument/2006/relationships/hyperlink" Target="https://www.amazon.in/HealthSense-New-Feel-Rechargeable-Electric-Sweaters/dp/B09474JWN6/ref=sr_1_361?qid=1672923610&amp;s=kitchen&amp;sr=1-361" TargetMode="External"/><Relationship Id="rId42" Type="http://schemas.openxmlformats.org/officeDocument/2006/relationships/hyperlink" Target="https://www.amazon.in/inches-Full-Android-L43M6-INC-Black/dp/B09JPC82QC/ref=sr_1_45?qid=1672909125&amp;s=electronics&amp;sr=1-45" TargetMode="External"/><Relationship Id="rId1336" Type="http://schemas.openxmlformats.org/officeDocument/2006/relationships/hyperlink" Target="https://www.amazon.in/AGARO-Portable-Capacity-Automatic-33603/dp/B09G2VTHQM/ref=sr_1_362?qid=1672923610&amp;s=kitchen&amp;sr=1-362" TargetMode="External"/><Relationship Id="rId41" Type="http://schemas.openxmlformats.org/officeDocument/2006/relationships/hyperlink" Target="https://www.amazon.in/AmazonBasics-USB-2-0-Cable-Male/dp/B00NH11KIK/ref=sr_1_44?qid=1672909125&amp;s=electronics&amp;sr=1-44" TargetMode="External"/><Relationship Id="rId1337" Type="http://schemas.openxmlformats.org/officeDocument/2006/relationships/hyperlink" Target="https://www.amazon.in/AGARO-Imperial-Slow-Juicer-Watts/dp/B07R679HTT/ref=sr_1_363?qid=1672923610&amp;s=kitchen&amp;sr=1-363" TargetMode="External"/><Relationship Id="rId44" Type="http://schemas.openxmlformats.org/officeDocument/2006/relationships/hyperlink" Target="https://www.amazon.in/TP-Link-Archer-T2U-Nano-Wireless/dp/B07KRCW6LZ/ref=sr_1_47?qid=1672909125&amp;s=electronics&amp;sr=1-47" TargetMode="External"/><Relationship Id="rId1338" Type="http://schemas.openxmlformats.org/officeDocument/2006/relationships/hyperlink" Target="https://www.amazon.in/Wipro-Smartlife-Super-Deluxe-Iron/dp/B00B7GKXMG/ref=sr_1_364?qid=1672923610&amp;s=kitchen&amp;sr=1-364" TargetMode="External"/><Relationship Id="rId43" Type="http://schemas.openxmlformats.org/officeDocument/2006/relationships/hyperlink" Target="https://www.amazon.in/Wayona-Braided-WN3LB1-Syncing-Charging/dp/B07JW1Y6XV/ref=sr_1_46?qid=1672909125&amp;s=electronics&amp;sr=1-46" TargetMode="External"/><Relationship Id="rId1339" Type="http://schemas.openxmlformats.org/officeDocument/2006/relationships/hyperlink" Target="https://www.amazon.in/AmazonBasics-VCS35B15K-C-1-5-Litre-Bagless-Cylinder/dp/B07H3N8RJH/ref=sr_1_365?qid=1672923610&amp;s=kitchen&amp;sr=1-365" TargetMode="External"/><Relationship Id="rId46" Type="http://schemas.openxmlformats.org/officeDocument/2006/relationships/hyperlink" Target="https://www.amazon.in/WeCool-Braided-Multifunction-Charging-Android/dp/B07XJYYH7L/ref=sr_1_49?qid=1672909126&amp;s=electronics&amp;sr=1-49" TargetMode="External"/><Relationship Id="rId45" Type="http://schemas.openxmlformats.org/officeDocument/2006/relationships/hyperlink" Target="https://www.amazon.in/FLiX-Charging-480Mbps-Devices-XCD-M11/dp/B09NJN8L25/ref=sr_1_48?qid=1672909125&amp;s=electronics&amp;sr=1-48" TargetMode="External"/><Relationship Id="rId509" Type="http://schemas.openxmlformats.org/officeDocument/2006/relationships/hyperlink" Target="https://www.amazon.in/Fire-Boltt-Phoenix-Bluetooth-Calling-Monitoring/dp/B0B3RS9DNF/ref=sr_1_214?qid=1672895806&amp;s=electronics&amp;sr=1-214" TargetMode="External"/><Relationship Id="rId508" Type="http://schemas.openxmlformats.org/officeDocument/2006/relationships/hyperlink" Target="https://www.amazon.in/SanDisk-Ultra%C2%AE-microSDXCTM-Warranty-Smartphones/dp/B0BDYW3RN3/ref=sr_1_210?qid=1672895806&amp;s=electronics&amp;sr=1-210" TargetMode="External"/><Relationship Id="rId503" Type="http://schemas.openxmlformats.org/officeDocument/2006/relationships/hyperlink" Target="https://www.amazon.in/Noise-Advanced-Bluetooth-Brightness-Smartwatch/dp/B0B6BLTGTT/ref=sr_1_202?qid=1672895806&amp;s=electronics&amp;sr=1-202" TargetMode="External"/><Relationship Id="rId745" Type="http://schemas.openxmlformats.org/officeDocument/2006/relationships/hyperlink" Target="https://www.amazon.in/Zebronics-ZEB-90HB-Pocket-Laptop-Computers/dp/B097JQ1J5G/ref=sr_1_174?qid=1672903004&amp;s=computers&amp;sr=1-174" TargetMode="External"/><Relationship Id="rId987" Type="http://schemas.openxmlformats.org/officeDocument/2006/relationships/hyperlink" Target="https://www.amazon.in/HP-M270-Gaming-Mouse-7ZZ87AA/dp/B08497Z1MQ/ref=sr_1_450?qid=1672903017&amp;s=computers&amp;sr=1-450" TargetMode="External"/><Relationship Id="rId502" Type="http://schemas.openxmlformats.org/officeDocument/2006/relationships/hyperlink" Target="https://www.amazon.in/Redmi-Starburst-Qualcomm%C2%AE-SnapdragonTM-Included/dp/B09QS9X9L8/ref=sr_1_199?qid=1672895806&amp;s=electronics&amp;sr=1-199" TargetMode="External"/><Relationship Id="rId744" Type="http://schemas.openxmlformats.org/officeDocument/2006/relationships/hyperlink" Target="https://www.amazon.in/Amazon-Basics-8-5-inch-Writing-Drawing/dp/B0BBMPH39N/ref=sr_1_173?qid=1672903004&amp;s=computers&amp;sr=1-173" TargetMode="External"/><Relationship Id="rId986" Type="http://schemas.openxmlformats.org/officeDocument/2006/relationships/hyperlink" Target="https://www.amazon.in/boAt-A750-Tangle-free-Transmission-Rebellious/dp/B09RWZRCP1/ref=sr_1_449?qid=1672903017&amp;s=computers&amp;sr=1-449" TargetMode="External"/><Relationship Id="rId501" Type="http://schemas.openxmlformats.org/officeDocument/2006/relationships/hyperlink" Target="https://www.amazon.in/iQOO-Storage-Snapdragon-FlashCharge-Brightness/dp/B07WFPMGQQ/ref=sr_1_198?qid=1672895806&amp;s=electronics&amp;sr=1-198" TargetMode="External"/><Relationship Id="rId743" Type="http://schemas.openxmlformats.org/officeDocument/2006/relationships/hyperlink" Target="https://www.amazon.in/Kanget-Female-Adapter-Standard-Interface/dp/B094DQWV9B/ref=sr_1_171?qid=1672903004&amp;s=computers&amp;sr=1-171" TargetMode="External"/><Relationship Id="rId985" Type="http://schemas.openxmlformats.org/officeDocument/2006/relationships/hyperlink" Target="https://www.amazon.in/Camel-Oil-Pastel-Reusable-Plastic/dp/B00LY12TH6/ref=sr_1_448?qid=1672903017&amp;s=computers&amp;sr=1-448" TargetMode="External"/><Relationship Id="rId500" Type="http://schemas.openxmlformats.org/officeDocument/2006/relationships/hyperlink" Target="https://www.amazon.in/Redmi-Note-11T-5G-Dimensity/dp/B09LHYZ3GJ/ref=sr_1_196?qid=1672895806&amp;s=electronics&amp;sr=1-196" TargetMode="External"/><Relationship Id="rId742" Type="http://schemas.openxmlformats.org/officeDocument/2006/relationships/hyperlink" Target="https://www.amazon.in/Amazon-Basics-Multipurpose-Foldable-Laptop/dp/B09Z28BQZT/ref=sr_1_170?qid=1672903004&amp;s=computers&amp;sr=1-170" TargetMode="External"/><Relationship Id="rId984" Type="http://schemas.openxmlformats.org/officeDocument/2006/relationships/hyperlink" Target="https://www.amazon.in/Pinnaclz-Original-Micro-USB-Charging/dp/B08R69VDHT/ref=sr_1_447?qid=1672903017&amp;s=computers&amp;sr=1-447" TargetMode="External"/><Relationship Id="rId507" Type="http://schemas.openxmlformats.org/officeDocument/2006/relationships/hyperlink" Target="https://www.amazon.in/PTron-Force-Bluetooth-Smartwatch-Waterproof/dp/B0B53QLB9H/ref=sr_1_209?qid=1672895806&amp;s=electronics&amp;sr=1-209" TargetMode="External"/><Relationship Id="rId749" Type="http://schemas.openxmlformats.org/officeDocument/2006/relationships/hyperlink" Target="https://www.amazon.in/JBL-Commercial-Omnidirectional-Microphone-Recording/dp/B08SCCG9D4/ref=sr_1_179?qid=1672903004&amp;s=computers&amp;sr=1-179" TargetMode="External"/><Relationship Id="rId506" Type="http://schemas.openxmlformats.org/officeDocument/2006/relationships/hyperlink" Target="https://www.amazon.in/MYVN-Charging-Compatible-OnePlus-Charge/dp/B084DTMYWK/ref=sr_1_208?qid=1672895806&amp;s=electronics&amp;sr=1-208" TargetMode="External"/><Relationship Id="rId748" Type="http://schemas.openxmlformats.org/officeDocument/2006/relationships/hyperlink" Target="https://www.amazon.in/Redgear-Gaming-Semi-Honeycomb-Windows-Gamers/dp/B08CHZ3ZQ7/ref=sr_1_177?qid=1672903004&amp;s=computers&amp;sr=1-177" TargetMode="External"/><Relationship Id="rId505" Type="http://schemas.openxmlformats.org/officeDocument/2006/relationships/hyperlink" Target="https://www.amazon.in/Duracell-Lightning-Certified-Braided-Charging/dp/B09W5XR9RT/ref=sr_1_205?qid=1672895806&amp;s=electronics&amp;sr=1-205" TargetMode="External"/><Relationship Id="rId747" Type="http://schemas.openxmlformats.org/officeDocument/2006/relationships/hyperlink" Target="https://www.amazon.in/Zeb-Buds-C2-Controller-Blue/dp/B08VRMK55F/ref=sr_1_176?qid=1672903004&amp;s=computers&amp;sr=1-176" TargetMode="External"/><Relationship Id="rId989" Type="http://schemas.openxmlformats.org/officeDocument/2006/relationships/hyperlink" Target="https://www.amazon.in/Robustrion-Samsung-10-5-inch-2022/dp/B09Q3M3WLJ/ref=sr_1_452?qid=1672903017&amp;s=computers&amp;sr=1-452" TargetMode="External"/><Relationship Id="rId504" Type="http://schemas.openxmlformats.org/officeDocument/2006/relationships/hyperlink" Target="https://www.amazon.in/A400-Type-C-Cable-Meter-Black/dp/B077Z65HSD/ref=sr_1_204?qid=1672895806&amp;s=electronics&amp;sr=1-204" TargetMode="External"/><Relationship Id="rId746" Type="http://schemas.openxmlformats.org/officeDocument/2006/relationships/hyperlink" Target="https://www.amazon.in/Noise-Colorfit-Pro-Touch-Control/dp/B07YY1BY5B/ref=sr_1_175?qid=1672903004&amp;s=computers&amp;sr=1-175" TargetMode="External"/><Relationship Id="rId988" Type="http://schemas.openxmlformats.org/officeDocument/2006/relationships/hyperlink" Target="https://www.amazon.in/Foxin-Toner-Cartridge-Q2612A-Laserjet/dp/B07KNM95JK/ref=sr_1_451?qid=1672903017&amp;s=computers&amp;sr=1-451" TargetMode="External"/><Relationship Id="rId48" Type="http://schemas.openxmlformats.org/officeDocument/2006/relationships/hyperlink" Target="https://www.amazon.in/AmazonBasics-High-Speed-HDMI-Cable-Feet/dp/B014I8SSD0/ref=sr_1_51?qid=1672909126&amp;s=electronics&amp;sr=1-51" TargetMode="External"/><Relationship Id="rId47" Type="http://schemas.openxmlformats.org/officeDocument/2006/relationships/hyperlink" Target="https://www.amazon.in/D-Link-DWA-131-Wireless-Adapter-Black/dp/B002PD61Y4/ref=sr_1_50?qid=1672909126&amp;s=electronics&amp;sr=1-50" TargetMode="External"/><Relationship Id="rId49" Type="http://schemas.openxmlformats.org/officeDocument/2006/relationships/hyperlink" Target="https://www.amazon.in/7SEVENTM-Compatible-Replacement-Original-BN59-01259E/dp/B09L8DSSFH/ref=sr_1_52?qid=1672909126&amp;s=electronics&amp;sr=1-52" TargetMode="External"/><Relationship Id="rId741" Type="http://schemas.openxmlformats.org/officeDocument/2006/relationships/hyperlink" Target="https://www.amazon.in/Tukzer-Capacitive-Lightweight-Magnetism-Smartphones/dp/B08K4PSZ3V/ref=sr_1_169?qid=1672903004&amp;s=computers&amp;sr=1-169" TargetMode="External"/><Relationship Id="rId983" Type="http://schemas.openxmlformats.org/officeDocument/2006/relationships/hyperlink" Target="https://www.amazon.in/Essentials-Reusable-Double-Organizer-Length/dp/B07R99NBVB/ref=sr_1_444?qid=1672903017&amp;s=computers&amp;sr=1-444" TargetMode="External"/><Relationship Id="rId1330" Type="http://schemas.openxmlformats.org/officeDocument/2006/relationships/hyperlink" Target="https://www.amazon.in/InstaCuppa-Handheld-Operated-Electric-Stainless/dp/B0763K5HLQ/ref=sr_1_350?qid=1672923610&amp;s=kitchen&amp;sr=1-350" TargetMode="External"/><Relationship Id="rId740" Type="http://schemas.openxmlformats.org/officeDocument/2006/relationships/hyperlink" Target="https://www.amazon.in/Casio-MJ-12D-Desktop-Calculator-Grey/dp/B0752LL57V/ref=sr_1_168?qid=1672903002&amp;s=computers&amp;sr=1-168" TargetMode="External"/><Relationship Id="rId982" Type="http://schemas.openxmlformats.org/officeDocument/2006/relationships/hyperlink" Target="https://www.amazon.in/Tukzer-Foldable-Adjustable-Compatible-Smartphones/dp/B08MWJTST6/ref=sr_1_442?qid=1672903017&amp;s=computers&amp;sr=1-442" TargetMode="External"/><Relationship Id="rId1331" Type="http://schemas.openxmlformats.org/officeDocument/2006/relationships/hyperlink" Target="https://www.amazon.in/Goodscity-Garment-Steamer-Clothes-Steam/dp/B09PDZNSBG/ref=sr_1_351?qid=1672923610&amp;s=kitchen&amp;sr=1-351" TargetMode="External"/><Relationship Id="rId981" Type="http://schemas.openxmlformats.org/officeDocument/2006/relationships/hyperlink" Target="https://www.amazon.in/HP-Charger-Adapter-Pavilion-Black/dp/B01NBX5RSB/ref=sr_1_441?qid=1672903017&amp;s=computers&amp;sr=1-441" TargetMode="External"/><Relationship Id="rId1332" Type="http://schemas.openxmlformats.org/officeDocument/2006/relationships/hyperlink" Target="https://www.amazon.in/Solidaire-550-Watt-Mixer-Grinder-SLD-550-B/dp/B085LPT5F4/ref=sr_1_356?qid=1672923610&amp;s=kitchen&amp;sr=1-356" TargetMode="External"/><Relationship Id="rId980" Type="http://schemas.openxmlformats.org/officeDocument/2006/relationships/hyperlink" Target="https://www.amazon.in/oraimo-Charging-Syncing-Indicator-Compatible/dp/B0B86CDHL1/ref=sr_1_440?qid=1672903017&amp;s=computers&amp;sr=1-440" TargetMode="External"/><Relationship Id="rId1333" Type="http://schemas.openxmlformats.org/officeDocument/2006/relationships/hyperlink" Target="https://www.amazon.in/Amazon-Blender-Stainless-Blending-ISI-Marked/dp/B0B9RZ4G4W/ref=sr_1_357?qid=1672923610&amp;s=kitchen&amp;sr=1-357" TargetMode="External"/><Relationship Id="rId1323" Type="http://schemas.openxmlformats.org/officeDocument/2006/relationships/hyperlink" Target="https://www.amazon.in/Havells-Festiva-1200mm-Resistant-Ceiling/dp/B08ZHYNTM1/ref=sr_1_342?qid=1672923610&amp;s=kitchen&amp;sr=1-342" TargetMode="External"/><Relationship Id="rId1324" Type="http://schemas.openxmlformats.org/officeDocument/2006/relationships/hyperlink" Target="https://www.amazon.in/Handheld-Powerful-Filtration-Lightweight-Accessories/dp/B09SDDQQKP/ref=sr_1_343?qid=1672923610&amp;s=kitchen&amp;sr=1-343" TargetMode="External"/><Relationship Id="rId31" Type="http://schemas.openxmlformats.org/officeDocument/2006/relationships/hyperlink" Target="https://www.amazon.in/AmazonBasics-Extension-Cable-Male-Female/dp/B00NH11PEY/ref=sr_1_34?qid=1672909125&amp;s=electronics&amp;sr=1-34" TargetMode="External"/><Relationship Id="rId1325" Type="http://schemas.openxmlformats.org/officeDocument/2006/relationships/hyperlink" Target="https://www.amazon.in/SM1515NEW-Sandwich-Floating-Hinges-1000Watt/dp/B0B5RP43VN/ref=sr_1_345?qid=1672923610&amp;s=kitchen&amp;sr=1-345" TargetMode="External"/><Relationship Id="rId30" Type="http://schemas.openxmlformats.org/officeDocument/2006/relationships/hyperlink" Target="https://www.amazon.in/A400-Type-C-Cable-Meter-Black/dp/B077Z65HSD/ref=sr_1_33?qid=1672909125&amp;s=electronics&amp;sr=1-33" TargetMode="External"/><Relationship Id="rId1326" Type="http://schemas.openxmlformats.org/officeDocument/2006/relationships/hyperlink" Target="https://www.amazon.in/Eureka-Forbes-Aquaguard-boiling-Technology/dp/B096NTB9XT/ref=sr_1_346?qid=1672923610&amp;s=kitchen&amp;sr=1-346" TargetMode="External"/><Relationship Id="rId33" Type="http://schemas.openxmlformats.org/officeDocument/2006/relationships/hyperlink" Target="https://www.amazon.in/Charging-Braided-Charger-Samsung-Galaxy/dp/B08QSC1XY8/ref=sr_1_36?qid=1672909125&amp;s=electronics&amp;sr=1-36" TargetMode="External"/><Relationship Id="rId1327" Type="http://schemas.openxmlformats.org/officeDocument/2006/relationships/hyperlink" Target="https://www.amazon.in/Havells-Instanio-3-Litre-Instant-Geyser/dp/B078JF6X9B/ref=sr_1_347?qid=1672923610&amp;s=kitchen&amp;sr=1-347" TargetMode="External"/><Relationship Id="rId32" Type="http://schemas.openxmlformats.org/officeDocument/2006/relationships/hyperlink" Target="https://www.amazon.in/Ambrane-Charging-Unbreakable-Braided-Connector/dp/B09CMM3VGK/ref=sr_1_35?qid=1672909125&amp;s=electronics&amp;sr=1-35" TargetMode="External"/><Relationship Id="rId1328" Type="http://schemas.openxmlformats.org/officeDocument/2006/relationships/hyperlink" Target="https://www.amazon.in/Rechargeable-whisks%EF%BC%8C3-Speed-Adjustable-Cappuccino-Bulletproof/dp/B08CGW4GYR/ref=sr_1_348?qid=1672923610&amp;s=kitchen&amp;sr=1-348" TargetMode="External"/><Relationship Id="rId35" Type="http://schemas.openxmlformats.org/officeDocument/2006/relationships/hyperlink" Target="https://www.amazon.in/pTron-3-5Amps-Charging-480Mbps-Smartphones/dp/B0B4HJNPV4/ref=sr_1_38?qid=1672909125&amp;s=electronics&amp;sr=1-38" TargetMode="External"/><Relationship Id="rId1329" Type="http://schemas.openxmlformats.org/officeDocument/2006/relationships/hyperlink" Target="https://www.amazon.in/Panasonic-SR-WA22H-5-4-Litre-Automatic-Cooker/dp/B00A328ENA/ref=sr_1_349?qid=1672923610&amp;s=kitchen&amp;sr=1-349" TargetMode="External"/><Relationship Id="rId34" Type="http://schemas.openxmlformats.org/officeDocument/2006/relationships/hyperlink" Target="https://www.amazon.in/Samsung-Original-Type-Cable-Meter/dp/B008FWZGSG/ref=sr_1_37?qid=1672909125&amp;s=electronics&amp;sr=1-37" TargetMode="External"/><Relationship Id="rId739" Type="http://schemas.openxmlformats.org/officeDocument/2006/relationships/hyperlink" Target="https://www.amazon.in/Callas-Multipurpose-Breakfast-Ergonomic-WA-27-Black/dp/B08MZQBFLN/ref=sr_1_167?qid=1672903002&amp;s=computers&amp;sr=1-167" TargetMode="External"/><Relationship Id="rId734" Type="http://schemas.openxmlformats.org/officeDocument/2006/relationships/hyperlink" Target="https://www.amazon.in/Redgear-Pro-Wireless-Gamepad-Black/dp/B0756CLQWL/ref=sr_1_162?qid=1672903002&amp;s=computers&amp;sr=1-162" TargetMode="External"/><Relationship Id="rId976" Type="http://schemas.openxmlformats.org/officeDocument/2006/relationships/hyperlink" Target="https://www.amazon.in/COSMOS-Portable-Flexible-Colors-EC-POF1/dp/B08TDJ5BVF/ref=sr_1_436?qid=1672903017&amp;s=computers&amp;sr=1-436" TargetMode="External"/><Relationship Id="rId733" Type="http://schemas.openxmlformats.org/officeDocument/2006/relationships/hyperlink" Target="https://www.amazon.in/Robustrion-Anti-Scratch-iPad-10-2-inch/dp/B07Z3K96FR/ref=sr_1_160?qid=1672903002&amp;s=computers&amp;sr=1-160" TargetMode="External"/><Relationship Id="rId975" Type="http://schemas.openxmlformats.org/officeDocument/2006/relationships/hyperlink" Target="https://www.amazon.in/AmazonBasics-Type-C-USB-Male-Cable/dp/B01GGKYKQM/ref=sr_1_435?qid=1672903017&amp;s=computers&amp;sr=1-435" TargetMode="External"/><Relationship Id="rId732" Type="http://schemas.openxmlformats.org/officeDocument/2006/relationships/hyperlink" Target="https://www.amazon.in/TIZUM-Slim-1-5m-HDMI-Cable/dp/B01M4GGIVU/ref=sr_1_159?qid=1672903002&amp;s=computers&amp;sr=1-159" TargetMode="External"/><Relationship Id="rId974" Type="http://schemas.openxmlformats.org/officeDocument/2006/relationships/hyperlink" Target="https://www.amazon.in/Imou-Security-Advanced-Surveillance-Detection/dp/B07YFWVRCM/ref=sr_1_433?qid=1672903017&amp;s=computers&amp;sr=1-433" TargetMode="External"/><Relationship Id="rId731" Type="http://schemas.openxmlformats.org/officeDocument/2006/relationships/hyperlink" Target="https://www.amazon.in/JBL-Portable-Waterproof-Bluetooth-Speaker/dp/B07B88KQZ8/ref=sr_1_158?qid=1672903002&amp;s=computers&amp;sr=1-158" TargetMode="External"/><Relationship Id="rId973" Type="http://schemas.openxmlformats.org/officeDocument/2006/relationships/hyperlink" Target="https://www.amazon.in/Artis-AR-45WMG2-Compatible-Laptop-Adaptor/dp/B07L1N3TJX/ref=sr_1_432?qid=1672903016&amp;s=computers&amp;sr=1-432" TargetMode="External"/><Relationship Id="rId738" Type="http://schemas.openxmlformats.org/officeDocument/2006/relationships/hyperlink" Target="https://www.amazon.in/Logitech-MK240-NANO-Mouse-Keyboard/dp/B01N4EV2TL/ref=sr_1_166?qid=1672903002&amp;s=computers&amp;sr=1-166" TargetMode="External"/><Relationship Id="rId737" Type="http://schemas.openxmlformats.org/officeDocument/2006/relationships/hyperlink" Target="https://www.amazon.in/TP-Link-TL-WR845N-300Mbps-Wireless-N-Router/dp/B01HGCLUH6/ref=sr_1_165?qid=1672903002&amp;s=computers&amp;sr=1-165" TargetMode="External"/><Relationship Id="rId979" Type="http://schemas.openxmlformats.org/officeDocument/2006/relationships/hyperlink" Target="https://www.amazon.in/HB-Adjustable-Aluminum-Foldable-Adjustment/dp/B0BHVPTM2C/ref=sr_1_439?qid=1672903017&amp;s=computers&amp;sr=1-439" TargetMode="External"/><Relationship Id="rId736" Type="http://schemas.openxmlformats.org/officeDocument/2006/relationships/hyperlink" Target="https://www.amazon.in/STRIFF-Flexible-Silicone-Protector-Computers/dp/B09Z6WH2N1/ref=sr_1_164?qid=1672903002&amp;s=computers&amp;sr=1-164" TargetMode="External"/><Relationship Id="rId978" Type="http://schemas.openxmlformats.org/officeDocument/2006/relationships/hyperlink" Target="https://www.amazon.in/Sennheiser-CX-80s-Ear-Earphone/dp/B083T5G5PM/ref=sr_1_438?qid=1672903017&amp;s=computers&amp;sr=1-438" TargetMode="External"/><Relationship Id="rId735" Type="http://schemas.openxmlformats.org/officeDocument/2006/relationships/hyperlink" Target="https://www.amazon.in/Logitech-M235-Wireless-Mouse-Grey/dp/B004IO5BMQ/ref=sr_1_163?qid=1672903002&amp;s=computers&amp;sr=1-163" TargetMode="External"/><Relationship Id="rId977" Type="http://schemas.openxmlformats.org/officeDocument/2006/relationships/hyperlink" Target="https://www.amazon.in/Snapdragon-Resolution-Refresh-27-81Cm-Display/dp/B09XXZXQC1/ref=sr_1_437?qid=1672903017&amp;s=computers&amp;sr=1-437" TargetMode="External"/><Relationship Id="rId37" Type="http://schemas.openxmlformats.org/officeDocument/2006/relationships/hyperlink" Target="https://www.amazon.in/AmazonBasics-Apple-Certified-Lightning-Charging/dp/B07XLCFSSN/ref=sr_1_40?qid=1672909125&amp;s=electronics&amp;sr=1-40" TargetMode="External"/><Relationship Id="rId36" Type="http://schemas.openxmlformats.org/officeDocument/2006/relationships/hyperlink" Target="https://www.amazon.in/Solero-MB301-Charging-480Mbps-1-5-Meter/dp/B08Y1SJVV5/ref=sr_1_39?qid=1672909125&amp;s=electronics&amp;sr=1-39" TargetMode="External"/><Relationship Id="rId39" Type="http://schemas.openxmlformats.org/officeDocument/2006/relationships/hyperlink" Target="https://www.amazon.in/OnePlus-50-inches-Android-Pro/dp/B0B3MMYHYW/ref=sr_1_42?qid=1672909125&amp;s=electronics&amp;sr=1-42" TargetMode="External"/><Relationship Id="rId38" Type="http://schemas.openxmlformats.org/officeDocument/2006/relationships/hyperlink" Target="https://www.amazon.in/Sounce-Type-C-Compatible-Smartphone-Charging/dp/B09RZS1NQT/ref=sr_1_41?qid=1672909125&amp;s=electronics&amp;sr=1-41" TargetMode="External"/><Relationship Id="rId730" Type="http://schemas.openxmlformats.org/officeDocument/2006/relationships/hyperlink" Target="https://www.amazon.in/Noise-Wireless-Instacharge-Bluetooth-Breathing/dp/B0B217Z5VK/ref=sr_1_157?qid=1672903002&amp;s=computers&amp;sr=1-157" TargetMode="External"/><Relationship Id="rId972" Type="http://schemas.openxmlformats.org/officeDocument/2006/relationships/hyperlink" Target="https://www.amazon.in/Classmate-Long-Book-Unruled-Pages/dp/B086PXQ2R4/ref=sr_1_431?qid=1672903016&amp;s=computers&amp;sr=1-431" TargetMode="External"/><Relationship Id="rId971" Type="http://schemas.openxmlformats.org/officeDocument/2006/relationships/hyperlink" Target="https://www.amazon.in/Belkin-Essential-F9E400zb1-5MGRY-4-Socket-Protector/dp/B0083T231O/ref=sr_1_430?qid=1672903016&amp;s=computers&amp;sr=1-430" TargetMode="External"/><Relationship Id="rId1320" Type="http://schemas.openxmlformats.org/officeDocument/2006/relationships/hyperlink" Target="https://www.amazon.in/Lightweight-Automatic-bacterial-Weilburger-Soleplate/dp/B0B84QN4CN/ref=sr_1_342?qid=1672923609&amp;s=kitchen&amp;sr=1-342" TargetMode="External"/><Relationship Id="rId970" Type="http://schemas.openxmlformats.org/officeDocument/2006/relationships/hyperlink" Target="https://www.amazon.in/Redgear-Cosmo-7-1-Headphones-Controller/dp/B079S811J3/ref=sr_1_429?qid=1672903016&amp;s=computers&amp;sr=1-429" TargetMode="External"/><Relationship Id="rId1321" Type="http://schemas.openxmlformats.org/officeDocument/2006/relationships/hyperlink" Target="https://www.amazon.in/Zuvexa-Poacher-Automatic-Steaming-Multicolor/dp/B0B8ZM9RVV/ref=sr_1_340?qid=1672923610&amp;s=kitchen&amp;sr=1-340" TargetMode="External"/><Relationship Id="rId1322" Type="http://schemas.openxmlformats.org/officeDocument/2006/relationships/hyperlink" Target="https://www.amazon.in/AO-Smith-HSE-VAS-15-Litre-Storage/dp/B01892MIPA/ref=sr_1_341?qid=1672923610&amp;s=kitchen&amp;sr=1-341" TargetMode="External"/><Relationship Id="rId1114" Type="http://schemas.openxmlformats.org/officeDocument/2006/relationships/hyperlink" Target="https://www.amazon.in/Usha-Convector-2000-Watt-Instant-Heating/dp/B00H0B29DI/ref=sr_1_111?qid=1672923596&amp;s=kitchen&amp;sr=1-111" TargetMode="External"/><Relationship Id="rId1356" Type="http://schemas.openxmlformats.org/officeDocument/2006/relationships/hyperlink" Target="https://www.amazon.in/Eureka-Forbes-Amrit-Twin-Cartridge/dp/B00LP9RFSU/ref=sr_1_382?qid=1672923611&amp;s=kitchen&amp;sr=1-382" TargetMode="External"/><Relationship Id="rId1115" Type="http://schemas.openxmlformats.org/officeDocument/2006/relationships/hyperlink" Target="https://www.amazon.in/Philips-HL7756-00-750-Watt-Grinder/dp/B01GZSQJPA/ref=sr_1_115?qid=1672923596&amp;s=kitchen&amp;sr=1-115" TargetMode="External"/><Relationship Id="rId1357" Type="http://schemas.openxmlformats.org/officeDocument/2006/relationships/hyperlink" Target="https://www.amazon.in/Green-Tales-Sealer-Impulse-Machine-Packaging/dp/B0B7L86YCB/ref=sr_1_383?qid=1672923611&amp;s=kitchen&amp;sr=1-383" TargetMode="External"/><Relationship Id="rId20" Type="http://schemas.openxmlformats.org/officeDocument/2006/relationships/hyperlink" Target="https://www.amazon.in/LG-inches-Ready-Smart-32LM563BPTC/dp/B08DPLCM6T/ref=sr_1_21?qid=1672909124&amp;s=electronics&amp;sr=1-21" TargetMode="External"/><Relationship Id="rId1116" Type="http://schemas.openxmlformats.org/officeDocument/2006/relationships/hyperlink" Target="https://www.amazon.in/Kuber-Industries-Foldable-Laundry-KUBMART11450/dp/B08VGFX2B6/ref=sr_1_116?qid=1672923596&amp;s=kitchen&amp;sr=1-116" TargetMode="External"/><Relationship Id="rId1358" Type="http://schemas.openxmlformats.org/officeDocument/2006/relationships/hyperlink" Target="https://www.amazon.in/SaleOn-Charcoal-Electric-Appliances-Mix-colors/dp/B09VPH38JS/ref=sr_1_384?qid=1672923611&amp;s=kitchen&amp;sr=1-384" TargetMode="External"/><Relationship Id="rId1117" Type="http://schemas.openxmlformats.org/officeDocument/2006/relationships/hyperlink" Target="https://www.amazon.in/Lifelong-LLMG93-Stainless-Liquidizing-Warranty/dp/B09GYBZPHF/ref=sr_1_118?qid=1672923596&amp;s=kitchen&amp;sr=1-118" TargetMode="External"/><Relationship Id="rId1359" Type="http://schemas.openxmlformats.org/officeDocument/2006/relationships/hyperlink" Target="https://www.amazon.in/SUJATA-Chutney-Jar-Small-8x8x8cm/dp/B01MUAUOCX/ref=sr_1_386?qid=1672923611&amp;s=kitchen&amp;sr=1-386" TargetMode="External"/><Relationship Id="rId22" Type="http://schemas.openxmlformats.org/officeDocument/2006/relationships/hyperlink" Target="https://www.amazon.in/Adapter-Projector-Computer-Laptop-Projectors/dp/B085194JFL/ref=sr_1_23?qid=1672909124&amp;s=electronics&amp;sr=1-23" TargetMode="External"/><Relationship Id="rId1118" Type="http://schemas.openxmlformats.org/officeDocument/2006/relationships/hyperlink" Target="https://www.amazon.in/Ikea-45454-IKEA-Frother-Milk/dp/B0B4KPCBSH/ref=sr_1_119_mod_primary_new?qid=1672923596&amp;s=kitchen&amp;sbo=RZvfv%2F%2FHxDF%2BO5021pAnSA%3D%3D&amp;sr=1-119" TargetMode="External"/><Relationship Id="rId21" Type="http://schemas.openxmlformats.org/officeDocument/2006/relationships/hyperlink" Target="https://www.amazon.in/DURACELL-Lightning-Certified-braided-Devices/dp/B09C6HXFC1/ref=sr_1_22?qid=1672909124&amp;s=electronics&amp;sr=1-22" TargetMode="External"/><Relationship Id="rId1119" Type="http://schemas.openxmlformats.org/officeDocument/2006/relationships/hyperlink" Target="https://www.amazon.in/Crompton-convector-adjustable-Thermostats-Standard/dp/B09CGLY5CX/ref=sr_1_120_mod_primary_new?qid=1672923596&amp;s=kitchen&amp;sbo=RZvfv%2F%2FHxDF%2BO5021pAnSA%3D%3D&amp;sr=1-120" TargetMode="External"/><Relationship Id="rId24" Type="http://schemas.openxmlformats.org/officeDocument/2006/relationships/hyperlink" Target="https://www.amazon.in/Flix-Micro-Cable-Smartphone-Black/dp/B09NHVCHS9/ref=sr_1_25?qid=1672909125&amp;s=electronics&amp;sr=1-25" TargetMode="External"/><Relationship Id="rId23" Type="http://schemas.openxmlformats.org/officeDocument/2006/relationships/hyperlink" Target="https://www.amazon.in/Samsung-Inches-Wondertainment-UA32T4340BKXXL-Glossy/dp/B09F6S8BT6/ref=sr_1_24?qid=1672909124&amp;s=electronics&amp;sr=1-24" TargetMode="External"/><Relationship Id="rId525" Type="http://schemas.openxmlformats.org/officeDocument/2006/relationships/hyperlink" Target="https://www.amazon.in/STRIFF-Android-Portable-Foldable-Stand-Perfect/dp/B09VZBGL1N/ref=sr_1_257?qid=1672895821&amp;s=electronics&amp;sr=1-257" TargetMode="External"/><Relationship Id="rId767" Type="http://schemas.openxmlformats.org/officeDocument/2006/relationships/hyperlink" Target="https://www.amazon.in/boAt-Flash-Smartwatch-Resistance-Lightning/dp/B0949SBKMP/ref=sr_1_199?qid=1672903005&amp;s=computers&amp;sr=1-199" TargetMode="External"/><Relationship Id="rId524" Type="http://schemas.openxmlformats.org/officeDocument/2006/relationships/hyperlink" Target="https://www.amazon.in/Samsung-Original-EHS64AVFBECINU-Hands-Free-Remote/dp/B01F262EUU/ref=sr_1_256?qid=1672895821&amp;s=electronics&amp;sr=1-256" TargetMode="External"/><Relationship Id="rId766" Type="http://schemas.openxmlformats.org/officeDocument/2006/relationships/hyperlink" Target="https://www.amazon.in/Parker-Classic-Gold-Ball-Pen/dp/B00LM4W1N2/ref=sr_1_197?qid=1672903005&amp;s=computers&amp;sr=1-197" TargetMode="External"/><Relationship Id="rId523" Type="http://schemas.openxmlformats.org/officeDocument/2006/relationships/hyperlink" Target="https://www.amazon.in/Redmi-Thunder-Storage-Dimensity-5000mAh/dp/B0BBFJLP21/ref=sr_1_255?qid=1672895821&amp;s=electronics&amp;sr=1-255" TargetMode="External"/><Relationship Id="rId765" Type="http://schemas.openxmlformats.org/officeDocument/2006/relationships/hyperlink" Target="https://www.amazon.in/SanDisk-Ultra-SDDDC2-064G-G46-Drives-Silver/dp/B01EZ0X3L8/ref=sr_1_196?qid=1672903005&amp;s=computers&amp;sr=1-196" TargetMode="External"/><Relationship Id="rId522" Type="http://schemas.openxmlformats.org/officeDocument/2006/relationships/hyperlink" Target="https://www.amazon.in/STRIFF-Flexible-Silicone-Protector-Computers/dp/B0B8ZWNR5T/ref=sr_1_250?qid=1672895821&amp;s=electronics&amp;sr=1-250" TargetMode="External"/><Relationship Id="rId764" Type="http://schemas.openxmlformats.org/officeDocument/2006/relationships/hyperlink" Target="https://www.amazon.in/Zebronics-Transformer-Gaming-Multimedia-Keyboard/dp/B07BRKK9JQ/ref=sr_1_195?qid=1672903005&amp;s=computers&amp;sr=1-195" TargetMode="External"/><Relationship Id="rId529" Type="http://schemas.openxmlformats.org/officeDocument/2006/relationships/hyperlink" Target="https://www.amazon.in/OpenTech%C2%AE-Military-Grade-Tempered-Protector-Installation/dp/B09GP6FBZT/ref=sr_1_274?qid=1672895828&amp;s=electronics&amp;sr=1-274" TargetMode="External"/><Relationship Id="rId528" Type="http://schemas.openxmlformats.org/officeDocument/2006/relationships/hyperlink" Target="https://www.amazon.in/Sounce-Adjustable-Universal-Flexible-Gooseneck/dp/B096TWZRJC/ref=sr_1_269?qid=1672895828&amp;s=electronics&amp;sr=1-269" TargetMode="External"/><Relationship Id="rId527" Type="http://schemas.openxmlformats.org/officeDocument/2006/relationships/hyperlink" Target="https://www.amazon.in/WeCool-Navigation-Locking-Gripping-Rotation/dp/B0B2DJ5RVQ/ref=sr_1_260?qid=1672895821&amp;s=electronics&amp;sr=1-260" TargetMode="External"/><Relationship Id="rId769" Type="http://schemas.openxmlformats.org/officeDocument/2006/relationships/hyperlink" Target="https://www.amazon.in/Ambrane-Unbreakable-Charging-Braided-Multipurpose/dp/B094JNXNPV/ref=sr_1_201?qid=1672903005&amp;s=computers&amp;sr=1-201" TargetMode="External"/><Relationship Id="rId526" Type="http://schemas.openxmlformats.org/officeDocument/2006/relationships/hyperlink" Target="https://www.amazon.in/boAt-Launched-Electra-Ultra-Seamless-Personalization/dp/B0BNVBJW2S/ref=sr_1_259?qid=1672895821&amp;s=electronics&amp;sr=1-259" TargetMode="External"/><Relationship Id="rId768" Type="http://schemas.openxmlformats.org/officeDocument/2006/relationships/hyperlink" Target="https://www.amazon.in/Tarkan-Portable-Folding-Laptop-Lapdesk/dp/B08YD264ZS/ref=sr_1_200?qid=1672903005&amp;s=computers&amp;sr=1-200" TargetMode="External"/><Relationship Id="rId26" Type="http://schemas.openxmlformats.org/officeDocument/2006/relationships/hyperlink" Target="https://www.amazon.in/TIZUM-Slim-1-5m-HDMI-Cable/dp/B01M4GGIVU/ref=sr_1_27?qid=1672909125&amp;s=electronics&amp;sr=1-27" TargetMode="External"/><Relationship Id="rId25" Type="http://schemas.openxmlformats.org/officeDocument/2006/relationships/hyperlink" Target="https://www.amazon.in/Acer-inches-Ready-Android-AR32AR2841HDFL/dp/B0B1YVCJ2Y/ref=sr_1_26?qid=1672909125&amp;s=electronics&amp;sr=1-26" TargetMode="External"/><Relationship Id="rId28" Type="http://schemas.openxmlformats.org/officeDocument/2006/relationships/hyperlink" Target="https://www.amazon.in/Ambrane-Unbreakable-Charging-Braided-Multipurpose/dp/B094JNXNPV/ref=sr_1_31?qid=1672909125&amp;s=electronics&amp;sr=1-31" TargetMode="External"/><Relationship Id="rId1350" Type="http://schemas.openxmlformats.org/officeDocument/2006/relationships/hyperlink" Target="https://www.amazon.in/Singer-Aroma-1-8-Litre-Electric-Kettle/dp/B07F366Z51/ref=sr_1_373?qid=1672923611&amp;s=kitchen&amp;sr=1-373" TargetMode="External"/><Relationship Id="rId27" Type="http://schemas.openxmlformats.org/officeDocument/2006/relationships/hyperlink" Target="https://www.amazon.in/OnePlus-inches-Ready-Android-32Y1/dp/B08B42LWKN/ref=sr_1_29?qid=1672909125&amp;s=electronics&amp;sr=1-29" TargetMode="External"/><Relationship Id="rId1351" Type="http://schemas.openxmlformats.org/officeDocument/2006/relationships/hyperlink" Target="https://www.amazon.in/Orient-Electric-Aura-Neo-IWAN03WSM3/dp/B077BTLQ67/ref=sr_1_374?qid=1672923611&amp;s=kitchen&amp;sr=1-374" TargetMode="External"/><Relationship Id="rId521" Type="http://schemas.openxmlformats.org/officeDocument/2006/relationships/hyperlink" Target="https://www.amazon.in/Compatible-Pixel-6a-Military-Grade-Anti-Explosion/dp/B0B8CHJLWJ/ref=sr_1_247?qid=1672895821&amp;s=electronics&amp;sr=1-247" TargetMode="External"/><Relationship Id="rId763" Type="http://schemas.openxmlformats.org/officeDocument/2006/relationships/hyperlink" Target="https://www.amazon.in/Duracell-Chhota-Power-Battery-Set/dp/B08QDPB1SL/ref=sr_1_194?qid=1672903005&amp;s=computers&amp;sr=1-194" TargetMode="External"/><Relationship Id="rId1110" Type="http://schemas.openxmlformats.org/officeDocument/2006/relationships/hyperlink" Target="https://www.amazon.in/PHILIPS-Digital-HD9252-90-Technology/dp/B097RJ867P/ref=sr_1_107?qid=1672923596&amp;s=kitchen&amp;sr=1-107" TargetMode="External"/><Relationship Id="rId1352" Type="http://schemas.openxmlformats.org/officeDocument/2006/relationships/hyperlink" Target="https://www.amazon.in/Crompton-BRIO-1000-Years-Warranty/dp/B07YSJ7FF1/ref=sr_1_375?qid=1672923611&amp;s=kitchen&amp;sr=1-375" TargetMode="External"/><Relationship Id="rId29" Type="http://schemas.openxmlformats.org/officeDocument/2006/relationships/hyperlink" Target="https://www.amazon.in/Duracell-Lightning-Certified-Braided-Charging/dp/B09W5XR9RT/ref=sr_1_32?qid=1672909125&amp;s=electronics&amp;sr=1-32" TargetMode="External"/><Relationship Id="rId520" Type="http://schemas.openxmlformats.org/officeDocument/2006/relationships/hyperlink" Target="https://www.amazon.in/Charger-Certified-Charging-Adaptor-Cellular/dp/B09NL4DCXK/ref=sr_1_246?qid=1672895821&amp;s=electronics&amp;sr=1-246" TargetMode="External"/><Relationship Id="rId762" Type="http://schemas.openxmlformats.org/officeDocument/2006/relationships/hyperlink" Target="https://www.amazon.in/Luxor-Subject-Single-Ruled-Notebook/dp/B00LHZWD0C/ref=sr_1_193?qid=1672903005&amp;s=computers&amp;sr=1-193" TargetMode="External"/><Relationship Id="rId1111" Type="http://schemas.openxmlformats.org/officeDocument/2006/relationships/hyperlink" Target="https://www.amazon.in/Milton-Electric-Stainless-Kettle-Litres/dp/B091V8HK8Z/ref=sr_1_108?qid=1672923596&amp;s=kitchen&amp;sr=1-108" TargetMode="External"/><Relationship Id="rId1353" Type="http://schemas.openxmlformats.org/officeDocument/2006/relationships/hyperlink" Target="https://www.amazon.in/Butterfly-Hero-500-Mixer-Grinder/dp/B07TXCY3YK/ref=sr_1_379?qid=1672923611&amp;s=kitchen&amp;sr=1-379" TargetMode="External"/><Relationship Id="rId761" Type="http://schemas.openxmlformats.org/officeDocument/2006/relationships/hyperlink" Target="https://www.amazon.in/boAt-BassHeads-225-Special-Headphones/dp/B01MF8MB65/ref=sr_1_191?qid=1672903004&amp;s=computers&amp;sr=1-191" TargetMode="External"/><Relationship Id="rId1112" Type="http://schemas.openxmlformats.org/officeDocument/2006/relationships/hyperlink" Target="https://www.amazon.in/Philips-Collection-HD2582-00-830-Watt/dp/B071VNHMX2/ref=sr_1_109?qid=1672923596&amp;s=kitchen&amp;sr=1-109" TargetMode="External"/><Relationship Id="rId1354" Type="http://schemas.openxmlformats.org/officeDocument/2006/relationships/hyperlink" Target="https://www.amazon.in/Racold-Eterno-Pro-Vertical-Metallic/dp/B07TC9F7PN/ref=sr_1_380?qid=1672923611&amp;s=kitchen&amp;sr=1-380" TargetMode="External"/><Relationship Id="rId760" Type="http://schemas.openxmlformats.org/officeDocument/2006/relationships/hyperlink" Target="https://www.amazon.in/Logitech-MK215-Wireless-Keyboard-Mouse/dp/B012MQS060/ref=sr_1_190?qid=1672903004&amp;s=computers&amp;sr=1-190" TargetMode="External"/><Relationship Id="rId1113" Type="http://schemas.openxmlformats.org/officeDocument/2006/relationships/hyperlink" Target="https://www.amazon.in/Crompton-Insta-Comfy-Heater-Settings/dp/B08MVSGXMY/ref=sr_1_110?qid=1672923596&amp;s=kitchen&amp;sr=1-110" TargetMode="External"/><Relationship Id="rId1355" Type="http://schemas.openxmlformats.org/officeDocument/2006/relationships/hyperlink" Target="https://www.amazon.in/LG-Convertible-Anti-Virus-Protection-PS-Q19YNZE/dp/B09NS5TKPN/ref=sr_1_381?qid=1672923611&amp;s=kitchen&amp;sr=1-381" TargetMode="External"/><Relationship Id="rId1103" Type="http://schemas.openxmlformats.org/officeDocument/2006/relationships/hyperlink" Target="https://www.amazon.in/Bajaj-DX-600-Watts-Light-Weight/dp/B00F159RIK/ref=sr_1_100?qid=1672923596&amp;s=kitchen&amp;sr=1-100" TargetMode="External"/><Relationship Id="rId1345" Type="http://schemas.openxmlformats.org/officeDocument/2006/relationships/hyperlink" Target="https://www.amazon.in/Longway-Blaze-Quartz-Heater-White/dp/B0BNLFQDG2/ref=sr_1_368?qid=1672923611&amp;s=kitchen&amp;sr=1-368" TargetMode="External"/><Relationship Id="rId1104" Type="http://schemas.openxmlformats.org/officeDocument/2006/relationships/hyperlink" Target="https://www.amazon.in/Bajaj-Waterproof-Watts-Immersion-Heater/dp/B08MV82R99/ref=sr_1_101?qid=1672923596&amp;s=kitchen&amp;sr=1-101" TargetMode="External"/><Relationship Id="rId1346" Type="http://schemas.openxmlformats.org/officeDocument/2006/relationships/hyperlink" Target="https://www.amazon.in/Prestige-Wet-Grinder-PWG-07/dp/B082ZQ4479/ref=sr_1_369?qid=1672923611&amp;s=kitchen&amp;sr=1-369" TargetMode="External"/><Relationship Id="rId1105" Type="http://schemas.openxmlformats.org/officeDocument/2006/relationships/hyperlink" Target="https://www.amazon.in/Supreme-Pressure-Portable-Cleaning-Purpose/dp/B09VKWGZD7/ref=sr_1_102?qid=1672923596&amp;s=kitchen&amp;sr=1-102" TargetMode="External"/><Relationship Id="rId1347" Type="http://schemas.openxmlformats.org/officeDocument/2006/relationships/hyperlink" Target="https://www.amazon.in/Pigeon-Powerful-Stainless-Grinding-Polycarbonate/dp/B09Y358DZQ/ref=sr_1_370?qid=1672923611&amp;s=kitchen&amp;sr=1-370" TargetMode="External"/><Relationship Id="rId1106" Type="http://schemas.openxmlformats.org/officeDocument/2006/relationships/hyperlink" Target="https://www.amazon.in/Bajaj-Delux-2000-Watt-Room-Heater/dp/B009P2LK80/ref=sr_1_103?qid=1672923596&amp;s=kitchen&amp;sr=1-103" TargetMode="External"/><Relationship Id="rId1348" Type="http://schemas.openxmlformats.org/officeDocument/2006/relationships/hyperlink" Target="https://www.amazon.in/Borosil-Volcano-Filled-Radiator-Heater/dp/B09M3F4HGB/ref=sr_1_371?qid=1672923611&amp;s=kitchen&amp;sr=1-371" TargetMode="External"/><Relationship Id="rId11" Type="http://schemas.openxmlformats.org/officeDocument/2006/relationships/hyperlink" Target="https://www.amazon.in/Portronics-POR-1081-Charging-1-2Meter-Function/dp/B08CF3D7QR/ref=sr_1_12?qid=1672909124&amp;s=electronics&amp;sr=1-12" TargetMode="External"/><Relationship Id="rId1107" Type="http://schemas.openxmlformats.org/officeDocument/2006/relationships/hyperlink" Target="https://www.amazon.in/Orpat-HHB-100E-WOB-250-Watt-Blender/dp/B00A7PLVU6/ref=sr_1_104?qid=1672923596&amp;s=kitchen&amp;sr=1-104" TargetMode="External"/><Relationship Id="rId1349" Type="http://schemas.openxmlformats.org/officeDocument/2006/relationships/hyperlink" Target="https://www.amazon.in/Crompton-Solarium-Qube-Star-Rated-Storage/dp/B07VZH6ZBB/ref=sr_1_372?qid=1672923611&amp;s=kitchen&amp;sr=1-372" TargetMode="External"/><Relationship Id="rId10" Type="http://schemas.openxmlformats.org/officeDocument/2006/relationships/hyperlink" Target="https://www.amazon.in/Ambrane-Unbreakable-Charging-Braided-Android/dp/B082LZGK39/ref=sr_1_11?qid=1672909124&amp;s=electronics&amp;sr=1-11" TargetMode="External"/><Relationship Id="rId1108" Type="http://schemas.openxmlformats.org/officeDocument/2006/relationships/hyperlink" Target="https://www.amazon.in/Egg-Boiler-Electric-Automatic-Steaming/dp/B0B25DJ352/ref=sr_1_105?qid=1672923596&amp;s=kitchen&amp;sr=1-105" TargetMode="External"/><Relationship Id="rId13" Type="http://schemas.openxmlformats.org/officeDocument/2006/relationships/hyperlink" Target="https://www.amazon.in/AmazonBasics-Flexible-HDMI-Cable-3-Foot/dp/B07KSMBL2H/ref=sr_1_14?qid=1672909124&amp;s=electronics&amp;sr=1-14" TargetMode="External"/><Relationship Id="rId1109" Type="http://schemas.openxmlformats.org/officeDocument/2006/relationships/hyperlink" Target="https://www.amazon.in/Health-Sense-Chef-Mate-Digital-Scale-KS33/dp/B013B2WGT6/ref=sr_1_106?qid=1672923596&amp;s=kitchen&amp;sr=1-106" TargetMode="External"/><Relationship Id="rId12" Type="http://schemas.openxmlformats.org/officeDocument/2006/relationships/hyperlink" Target="https://www.amazon.in/Rugged-Extra-Tough-Unbreakable-Braided/dp/B0789LZTCJ/ref=sr_1_13?qid=1672909124&amp;s=electronics&amp;sr=1-13" TargetMode="External"/><Relationship Id="rId519" Type="http://schemas.openxmlformats.org/officeDocument/2006/relationships/hyperlink" Target="https://www.amazon.in/AmazonBasics-Apple-Certified-Lightning-Charging/dp/B07XLCFSSN/ref=sr_1_245?qid=1672895821&amp;s=electronics&amp;sr=1-245" TargetMode="External"/><Relationship Id="rId514" Type="http://schemas.openxmlformats.org/officeDocument/2006/relationships/hyperlink" Target="https://www.amazon.in/OnePlus-Display-Refresh-Multiple-Midnight/dp/B0BD92GDQH/ref=sr_1_231?qid=1672895814&amp;s=electronics&amp;sr=1-231" TargetMode="External"/><Relationship Id="rId756" Type="http://schemas.openxmlformats.org/officeDocument/2006/relationships/hyperlink" Target="https://www.amazon.in/Brand-Conquer-Reader-Adapter-Portable/dp/B07YL54NVJ/ref=sr_1_186?qid=1672903004&amp;s=computers&amp;sr=1-186" TargetMode="External"/><Relationship Id="rId998" Type="http://schemas.openxmlformats.org/officeDocument/2006/relationships/hyperlink" Target="https://www.amazon.in/Inventis-Portable-Flexible-Light-Colors/dp/B00URH5E34/ref=sr_1_461?qid=1672903018&amp;s=computers&amp;sr=1-461" TargetMode="External"/><Relationship Id="rId513" Type="http://schemas.openxmlformats.org/officeDocument/2006/relationships/hyperlink" Target="https://www.amazon.in/Boult-Bluetooth-Smartwatch-Brightness-Waterproof/dp/B0BMVWKZ8G/ref=sr_1_230?qid=1672895814&amp;s=electronics&amp;sr=1-230" TargetMode="External"/><Relationship Id="rId755" Type="http://schemas.openxmlformats.org/officeDocument/2006/relationships/hyperlink" Target="https://www.amazon.in/AirCase-13-Inch-13-3-Inch-MacBook-Neoprene/dp/B07Z1X6VFC/ref=sr_1_185?qid=1672903004&amp;s=computers&amp;sr=1-185" TargetMode="External"/><Relationship Id="rId997" Type="http://schemas.openxmlformats.org/officeDocument/2006/relationships/hyperlink" Target="https://www.amazon.in/Clublaptop-Reversible-15-6-inch-Laptop-Sleeve/dp/B00C3GBCIS/ref=sr_1_460?qid=1672903018&amp;s=computers&amp;sr=1-460" TargetMode="External"/><Relationship Id="rId512" Type="http://schemas.openxmlformats.org/officeDocument/2006/relationships/hyperlink" Target="https://www.amazon.in/Redmi-Note-11T-5G-Aquamarine/dp/B09LJ116B5/ref=sr_1_221?qid=1672895814&amp;s=electronics&amp;sr=1-221" TargetMode="External"/><Relationship Id="rId754" Type="http://schemas.openxmlformats.org/officeDocument/2006/relationships/hyperlink" Target="https://www.amazon.in/Infinity-Fuze-Pint-Portable-Wireless/dp/B07W6VWZ8C/ref=sr_1_184?qid=1672903004&amp;s=computers&amp;sr=1-184" TargetMode="External"/><Relationship Id="rId996" Type="http://schemas.openxmlformats.org/officeDocument/2006/relationships/hyperlink" Target="https://www.amazon.in/HP-K500F-Gaming-Keyboard-7ZZ97AA/dp/B08498D67S/ref=sr_1_459?qid=1672903018&amp;s=computers&amp;sr=1-459" TargetMode="External"/><Relationship Id="rId511" Type="http://schemas.openxmlformats.org/officeDocument/2006/relationships/hyperlink" Target="https://www.amazon.in/Noise-Colorfit-Pro-Control-Cloudbased/dp/B08HV25BBQ/ref=sr_1_220?qid=1672895814&amp;s=electronics&amp;sr=1-220" TargetMode="External"/><Relationship Id="rId753" Type="http://schemas.openxmlformats.org/officeDocument/2006/relationships/hyperlink" Target="https://www.amazon.in/Portronics-MPORT-Type-Ports-Transfer/dp/B09M869Z5V/ref=sr_1_183?qid=1672903004&amp;s=computers&amp;sr=1-183" TargetMode="External"/><Relationship Id="rId995" Type="http://schemas.openxmlformats.org/officeDocument/2006/relationships/hyperlink" Target="https://www.amazon.in/ZEBRONICS-Zeb-NS2000-Supports-Aluminium-Adjustable/dp/B08WKCTFF3/ref=sr_1_458?qid=1672903018&amp;s=computers&amp;sr=1-458" TargetMode="External"/><Relationship Id="rId518" Type="http://schemas.openxmlformats.org/officeDocument/2006/relationships/hyperlink" Target="https://www.amazon.in/Fire-Boltt-Smartwatch-Sports-Tracking-Silver/dp/B09YV463SW/ref=sr_1_242?qid=1672895821&amp;s=electronics&amp;sr=1-242" TargetMode="External"/><Relationship Id="rId517" Type="http://schemas.openxmlformats.org/officeDocument/2006/relationships/hyperlink" Target="https://www.amazon.in/Motorola-keypad-Mobile-Expandable-Battery/dp/B09JS94MBV/ref=sr_1_239?qid=1672895814&amp;s=electronics&amp;sr=1-239" TargetMode="External"/><Relationship Id="rId759" Type="http://schemas.openxmlformats.org/officeDocument/2006/relationships/hyperlink" Target="https://www.amazon.in/STRIFF-Adjustable-Computer-Multi-Angle-Compatible/dp/B08PFSZ7FH/ref=sr_1_189?qid=1672903004&amp;s=computers&amp;sr=1-189" TargetMode="External"/><Relationship Id="rId516" Type="http://schemas.openxmlformats.org/officeDocument/2006/relationships/hyperlink" Target="https://www.amazon.in/Noise-Bluetooth-Calling-Display-Assistant/dp/B0B5GF6DQD/ref=sr_1_238?qid=1672895814&amp;s=electronics&amp;sr=1-238" TargetMode="External"/><Relationship Id="rId758" Type="http://schemas.openxmlformats.org/officeDocument/2006/relationships/hyperlink" Target="https://www.amazon.in/Parker-Quink-Ink-Bottle-Blue/dp/B00LM4X0KU/ref=sr_1_188?qid=1672903004&amp;s=computers&amp;sr=1-188" TargetMode="External"/><Relationship Id="rId515" Type="http://schemas.openxmlformats.org/officeDocument/2006/relationships/hyperlink" Target="https://www.amazon.in/Solero-MB301-Charging-480Mbps-1-5-Meter/dp/B08Y1SJVV5/ref=sr_1_234?qid=1672895814&amp;s=electronics&amp;sr=1-234" TargetMode="External"/><Relationship Id="rId757" Type="http://schemas.openxmlformats.org/officeDocument/2006/relationships/hyperlink" Target="https://www.amazon.in/TP-Link-Archer-C20-Wireless-Router/dp/B0759QMF85/ref=sr_1_187?qid=1672903004&amp;s=computers&amp;sr=1-187" TargetMode="External"/><Relationship Id="rId999" Type="http://schemas.openxmlformats.org/officeDocument/2006/relationships/hyperlink" Target="https://www.amazon.in/TP-Link-TL-WA855RE-Wi-Fi-Range-Extender/dp/B00EYW1U68/ref=sr_1_462?qid=1672903018&amp;s=computers&amp;sr=1-462" TargetMode="External"/><Relationship Id="rId15" Type="http://schemas.openxmlformats.org/officeDocument/2006/relationships/hyperlink" Target="https://www.amazon.in/Portronics-Konnect-POR-1401-Charging-Function/dp/B09KLVMZ3B/ref=sr_1_16?qid=1672909124&amp;s=electronics&amp;sr=1-16" TargetMode="External"/><Relationship Id="rId990" Type="http://schemas.openxmlformats.org/officeDocument/2006/relationships/hyperlink" Target="https://www.amazon.in/PC-SQUARE-Adjustable-Ergonomic-Compatible/dp/B09B9SPC7F/ref=sr_1_453?qid=1672903017&amp;s=computers&amp;sr=1-453" TargetMode="External"/><Relationship Id="rId14" Type="http://schemas.openxmlformats.org/officeDocument/2006/relationships/hyperlink" Target="https://www.amazon.in/Portronics-Konnect-Delivery-Support-Braided/dp/B085DTN6R2/ref=sr_1_15?qid=1672909124&amp;s=electronics&amp;sr=1-15" TargetMode="External"/><Relationship Id="rId17" Type="http://schemas.openxmlformats.org/officeDocument/2006/relationships/hyperlink" Target="https://www.amazon.in/MI-inches-Ready-Android-L32M7-5AIN/dp/B0B6F7LX4C/ref=sr_1_18?qid=1672909124&amp;s=electronics&amp;sr=1-18" TargetMode="External"/><Relationship Id="rId16" Type="http://schemas.openxmlformats.org/officeDocument/2006/relationships/hyperlink" Target="https://www.amazon.in/Mi-Braided-USB-Type-C-Cable/dp/B083342NKJ/ref=sr_1_17?qid=1672909124&amp;s=electronics&amp;sr=1-17" TargetMode="External"/><Relationship Id="rId1340" Type="http://schemas.openxmlformats.org/officeDocument/2006/relationships/hyperlink" Target="https://www.amazon.in/Crompton-IHL251-1500-Watt-Immersion-Heater/dp/B07K2HVKLL/ref=sr_1_366?qid=1672923610&amp;s=kitchen&amp;sr=1-366" TargetMode="External"/><Relationship Id="rId19" Type="http://schemas.openxmlformats.org/officeDocument/2006/relationships/hyperlink" Target="https://www.amazon.in/boAt-A325-Tangle-Free-Charging-Transmission/dp/B08WRBG3XW/ref=sr_1_20?qid=1672909124&amp;s=electronics&amp;sr=1-20" TargetMode="External"/><Relationship Id="rId510" Type="http://schemas.openxmlformats.org/officeDocument/2006/relationships/hyperlink" Target="https://www.amazon.in/Redmi-Storage-Qualcomm%C2%AE-SnapdragonTM-Included/dp/B09QS9X16F/ref=sr_1_218?qid=1672895814&amp;s=electronics&amp;sr=1-218" TargetMode="External"/><Relationship Id="rId752" Type="http://schemas.openxmlformats.org/officeDocument/2006/relationships/hyperlink" Target="https://www.amazon.in/SanDisk-Extreme-microSD-Smartphones-Action/dp/B0B2DD66GS/ref=sr_1_182?qid=1672903004&amp;s=computers&amp;sr=1-182" TargetMode="External"/><Relationship Id="rId994" Type="http://schemas.openxmlformats.org/officeDocument/2006/relationships/hyperlink" Target="https://www.amazon.in/Pilot-Frixion-Clicker-Roller-Blue/dp/B00S2SEV7K/ref=sr_1_457?qid=1672903018&amp;s=computers&amp;sr=1-457" TargetMode="External"/><Relationship Id="rId1341" Type="http://schemas.openxmlformats.org/officeDocument/2006/relationships/hyperlink" Target="https://www.amazon.in/SaiEllin-Heater-Portable-Bedroom-Compact/dp/B09MQ9PDHR/ref=sr_1_364?qid=1672923611&amp;s=kitchen&amp;sr=1-364" TargetMode="External"/><Relationship Id="rId18" Type="http://schemas.openxmlformats.org/officeDocument/2006/relationships/hyperlink" Target="https://www.amazon.in/Ambrane-Unbreakable-Charging-Braided-Cable/dp/B082LSVT4B/ref=sr_1_19?qid=1672909124&amp;s=electronics&amp;sr=1-19" TargetMode="External"/><Relationship Id="rId751" Type="http://schemas.openxmlformats.org/officeDocument/2006/relationships/hyperlink" Target="https://www.amazon.in/Eveready-Alkaline-Batteries-1012-Battery/dp/B00ZRBWPA0/ref=sr_1_181?qid=1672903004&amp;s=computers&amp;sr=1-181" TargetMode="External"/><Relationship Id="rId993" Type="http://schemas.openxmlformats.org/officeDocument/2006/relationships/hyperlink" Target="https://www.amazon.in/Ambrane-Charging-Neckband-Wireless-ACT/dp/B09YLXYP7Y/ref=sr_1_456?qid=1672903017&amp;s=computers&amp;sr=1-456" TargetMode="External"/><Relationship Id="rId1100" Type="http://schemas.openxmlformats.org/officeDocument/2006/relationships/hyperlink" Target="https://www.amazon.in/Pigeon-Stovekraft-Quartz-Electric-Kettle/dp/B07WGPBXY9/ref=sr_1_100?qid=1672923595&amp;s=kitchen&amp;sr=1-100" TargetMode="External"/><Relationship Id="rId1342" Type="http://schemas.openxmlformats.org/officeDocument/2006/relationships/hyperlink" Target="https://www.amazon.in/Bajaj-Majesty-Duetto-LPG-6-Litre/dp/B014HDJ7ZE/ref=sr_1_365?qid=1672923611&amp;s=kitchen&amp;sr=1-365" TargetMode="External"/><Relationship Id="rId750" Type="http://schemas.openxmlformats.org/officeDocument/2006/relationships/hyperlink" Target="https://www.amazon.in/Fire-Boltt-Smartwatch-Monitoring-Continuous-BSW005/dp/B0972BQ2RS/ref=sr_1_180?qid=1672903004&amp;s=computers&amp;sr=1-180" TargetMode="External"/><Relationship Id="rId992" Type="http://schemas.openxmlformats.org/officeDocument/2006/relationships/hyperlink" Target="https://www.amazon.in/Lenovo-Optical-Compact-Mouse-Black/dp/B099SD8PRP/ref=sr_1_455?qid=1672903017&amp;s=computers&amp;sr=1-455" TargetMode="External"/><Relationship Id="rId1101" Type="http://schemas.openxmlformats.org/officeDocument/2006/relationships/hyperlink" Target="https://www.amazon.in/Maharaja-Whiteline-Lava-1200-Watt-Helogen/dp/B00KRCBA6E/ref=sr_1_101?qid=1672923595&amp;s=kitchen&amp;sr=1-101" TargetMode="External"/><Relationship Id="rId1343" Type="http://schemas.openxmlformats.org/officeDocument/2006/relationships/hyperlink" Target="https://www.amazon.in/Black-Decker-BXIR2201IN-2200-Watt-Cordless/dp/B07D2NMTTV/ref=sr_1_366?qid=1672923611&amp;s=kitchen&amp;sr=1-366" TargetMode="External"/><Relationship Id="rId991" Type="http://schemas.openxmlformats.org/officeDocument/2006/relationships/hyperlink" Target="https://www.amazon.in/Ambrane-ABDC-10-Charging-Transmission-Compatible/dp/B09CMP1SC8/ref=sr_1_454?qid=1672903017&amp;s=computers&amp;sr=1-454" TargetMode="External"/><Relationship Id="rId1102" Type="http://schemas.openxmlformats.org/officeDocument/2006/relationships/hyperlink" Target="https://www.amazon.in/Crompton-Gracee-Instant-Heater-Geyser/dp/B0B3X2BY3M/ref=sr_1_102?qid=1672923595&amp;s=kitchen&amp;sr=1-102" TargetMode="External"/><Relationship Id="rId1344" Type="http://schemas.openxmlformats.org/officeDocument/2006/relationships/hyperlink" Target="https://www.amazon.in/Inalsa-Easy-Mix-200-Watt-Mixer/dp/B075K76YW1/ref=sr_1_367?qid=1672923611&amp;s=kitchen&amp;sr=1-367" TargetMode="External"/><Relationship Id="rId84" Type="http://schemas.openxmlformats.org/officeDocument/2006/relationships/hyperlink" Target="https://www.amazon.in/boAt-350-Cable-Carbon-Black/dp/B0974H97TJ/ref=sr_1_92?qid=1672909128&amp;s=electronics&amp;sr=1-92" TargetMode="External"/><Relationship Id="rId83" Type="http://schemas.openxmlformats.org/officeDocument/2006/relationships/hyperlink" Target="https://www.amazon.in/Skywall-81-28-inches-Smart-32SWELS-PRO/dp/B08QX1CC14/ref=sr_1_91?qid=1672909128&amp;s=electronics&amp;sr=1-91" TargetMode="External"/><Relationship Id="rId86" Type="http://schemas.openxmlformats.org/officeDocument/2006/relationships/hyperlink" Target="https://www.amazon.in/OnePlus-43-inches-Android-Pro/dp/B09VCHLSJF/ref=sr_1_94?qid=1672909128&amp;s=electronics&amp;sr=1-94" TargetMode="External"/><Relationship Id="rId85" Type="http://schemas.openxmlformats.org/officeDocument/2006/relationships/hyperlink" Target="https://www.amazon.in/Wayona-Cable-Braided-Charger-Smartphones/dp/B07GVGTSLN/ref=sr_1_93?qid=1672909128&amp;s=electronics&amp;sr=1-93" TargetMode="External"/><Relationship Id="rId88" Type="http://schemas.openxmlformats.org/officeDocument/2006/relationships/hyperlink" Target="https://www.amazon.in/Samsung-inches-Crystal-Ultra-UA43AUE60AKLXL/dp/B092BJMT8Q/ref=sr_1_96?qid=1672909128&amp;s=electronics&amp;sr=1-96" TargetMode="External"/><Relationship Id="rId87" Type="http://schemas.openxmlformats.org/officeDocument/2006/relationships/hyperlink" Target="https://www.amazon.in/Acer-inches-Ultra-Android-AR50AR2851UDFL/dp/B0B1YZX72F/ref=sr_1_95?qid=1672909128&amp;s=electronics&amp;sr=1-95" TargetMode="External"/><Relationship Id="rId89" Type="http://schemas.openxmlformats.org/officeDocument/2006/relationships/hyperlink" Target="https://www.amazon.in/Lapster-compatible-OnePlus-charging-Compatible/dp/B0BMXMLSMM/ref=sr_1_97?qid=1672909129&amp;s=electronics&amp;sr=1-97" TargetMode="External"/><Relationship Id="rId709" Type="http://schemas.openxmlformats.org/officeDocument/2006/relationships/hyperlink" Target="https://www.amazon.in/JBL-C200SI-Ear-Headphones-Mystic/dp/B07DFYJRQV/ref=sr_1_134?qid=1672903001&amp;s=computers&amp;sr=1-134" TargetMode="External"/><Relationship Id="rId708" Type="http://schemas.openxmlformats.org/officeDocument/2006/relationships/hyperlink" Target="https://www.amazon.in/Duracell-Alkaline-Battery-Duralock-Technology/dp/B01DJJVFPC/ref=sr_1_133?qid=1672903001&amp;s=computers&amp;sr=1-133" TargetMode="External"/><Relationship Id="rId707" Type="http://schemas.openxmlformats.org/officeDocument/2006/relationships/hyperlink" Target="https://www.amazon.in/Noise-Bluetooth-Wireless-30-Hours-Instacharge/dp/B09Y5MP7C4/ref=sr_1_132?qid=1672903001&amp;s=computers&amp;sr=1-132" TargetMode="External"/><Relationship Id="rId949" Type="http://schemas.openxmlformats.org/officeDocument/2006/relationships/hyperlink" Target="https://www.amazon.in/Portronics-Ruffpad-Re-Writable-15-inch-Handwriting/dp/B08XNL93PL/ref=sr_1_407?qid=1672903014&amp;s=computers&amp;sr=1-407" TargetMode="External"/><Relationship Id="rId706" Type="http://schemas.openxmlformats.org/officeDocument/2006/relationships/hyperlink" Target="https://www.amazon.in/Samsung-Galaxy-Bluetooth-Compatible-Android/dp/B09DG9VNWB/ref=sr_1_131?qid=1672903001&amp;s=computers&amp;sr=1-131" TargetMode="External"/><Relationship Id="rId948" Type="http://schemas.openxmlformats.org/officeDocument/2006/relationships/hyperlink" Target="https://www.amazon.in/Robustrion-Anti-Scratch-Smudge-Tempered-Protector/dp/B0B2CPVXHX/ref=sr_1_406?qid=1672903014&amp;s=computers&amp;sr=1-406" TargetMode="External"/><Relationship Id="rId80" Type="http://schemas.openxmlformats.org/officeDocument/2006/relationships/hyperlink" Target="https://www.amazon.in/Basesailor-2nd-generation-Firestick-Remote/dp/B0BCZCQTJX/ref=sr_1_88?qid=1672909128&amp;s=electronics&amp;sr=1-88" TargetMode="External"/><Relationship Id="rId82" Type="http://schemas.openxmlformats.org/officeDocument/2006/relationships/hyperlink" Target="https://www.amazon.in/FLiX-Charging-480Mbps-Devices-XCD-C12/dp/B09NKZXMWJ/ref=sr_1_90?qid=1672909128&amp;s=electronics&amp;sr=1-90" TargetMode="External"/><Relationship Id="rId81" Type="http://schemas.openxmlformats.org/officeDocument/2006/relationships/hyperlink" Target="https://www.amazon.in/Wayona-Braided-Syncing-Charging-iPhone/dp/B07LGT55SJ/ref=sr_1_89?qid=1672909128&amp;s=electronics&amp;sr=1-89" TargetMode="External"/><Relationship Id="rId701" Type="http://schemas.openxmlformats.org/officeDocument/2006/relationships/hyperlink" Target="https://www.amazon.in/DURACELL-Lightning-Certified-braided-Devices/dp/B09C6HXFC1/ref=sr_1_126?qid=1672903001&amp;s=computers&amp;sr=1-126" TargetMode="External"/><Relationship Id="rId943" Type="http://schemas.openxmlformats.org/officeDocument/2006/relationships/hyperlink" Target="https://www.amazon.in/Redgear-Cloak-Gaming-Headphones-Microphone/dp/B07T9FV9YP/ref=sr_1_400?qid=1672903014&amp;s=computers&amp;sr=1-400" TargetMode="External"/><Relationship Id="rId700" Type="http://schemas.openxmlformats.org/officeDocument/2006/relationships/hyperlink" Target="https://www.amazon.in/Mi-Braided-USB-Type-C-Cable/dp/B083342NKJ/ref=sr_1_125?qid=1672903001&amp;s=computers&amp;sr=1-125" TargetMode="External"/><Relationship Id="rId942" Type="http://schemas.openxmlformats.org/officeDocument/2006/relationships/hyperlink" Target="https://www.amazon.in/PRINT-Compatible-Bottles-Printer-Magenta/dp/B07P434WJY/ref=sr_1_399?qid=1672903014&amp;s=computers&amp;sr=1-399" TargetMode="External"/><Relationship Id="rId941" Type="http://schemas.openxmlformats.org/officeDocument/2006/relationships/hyperlink" Target="https://www.amazon.in/HP-330-Wireless-Keyboard-Mouse/dp/B09GBBJV72/ref=sr_1_398?qid=1672903014&amp;s=computers&amp;sr=1-398" TargetMode="External"/><Relationship Id="rId940" Type="http://schemas.openxmlformats.org/officeDocument/2006/relationships/hyperlink" Target="https://www.amazon.in/Moonwalk-Wireless-Titanium-Experience-Charging/dp/B0B5GJRTHB/ref=sr_1_397?qid=1672903014&amp;s=computers&amp;sr=1-397" TargetMode="External"/><Relationship Id="rId705" Type="http://schemas.openxmlformats.org/officeDocument/2006/relationships/hyperlink" Target="https://www.amazon.in/Fire-Boltt-Bluetooth-Assistance-Calculator-Monitoring/dp/B0B3MWYCHQ/ref=sr_1_130?qid=1672903001&amp;s=computers&amp;sr=1-130" TargetMode="External"/><Relationship Id="rId947" Type="http://schemas.openxmlformats.org/officeDocument/2006/relationships/hyperlink" Target="https://www.amazon.in/Tabelito-Sleeve-15-6-Inch-MacBook-Protective/dp/B08TR61BVK/ref=sr_1_404?qid=1672903014&amp;s=computers&amp;sr=1-404" TargetMode="External"/><Relationship Id="rId704" Type="http://schemas.openxmlformats.org/officeDocument/2006/relationships/hyperlink" Target="https://www.amazon.in/Fujifilm-Instax-Instant-Fuji-Cameras/dp/B00R1P3B4O/ref=sr_1_129?qid=1672903001&amp;s=computers&amp;sr=1-129" TargetMode="External"/><Relationship Id="rId946" Type="http://schemas.openxmlformats.org/officeDocument/2006/relationships/hyperlink" Target="https://www.amazon.in/Amazfit-Version-Always-Display-Monitoring/dp/B09TBCVJS3/ref=sr_1_403?qid=1672903014&amp;s=computers&amp;sr=1-403" TargetMode="External"/><Relationship Id="rId703" Type="http://schemas.openxmlformats.org/officeDocument/2006/relationships/hyperlink" Target="https://www.amazon.in/COI-Sticky-Notes-Holder-Gifting/dp/B00UGZWM2I/ref=sr_1_128?qid=1672903001&amp;s=computers&amp;sr=1-128" TargetMode="External"/><Relationship Id="rId945" Type="http://schemas.openxmlformats.org/officeDocument/2006/relationships/hyperlink" Target="https://www.amazon.in/Wayona-Charging-Braided-Compatible-Samsung/dp/B08WKFSN84/ref=sr_1_402?qid=1672903014&amp;s=computers&amp;sr=1-402" TargetMode="External"/><Relationship Id="rId702" Type="http://schemas.openxmlformats.org/officeDocument/2006/relationships/hyperlink" Target="https://www.amazon.in/TP-Link-TL-WA850RE-300Mbps-Universal-Extender/dp/B00A0VCJPI/ref=sr_1_127?qid=1672903001&amp;s=computers&amp;sr=1-127" TargetMode="External"/><Relationship Id="rId944" Type="http://schemas.openxmlformats.org/officeDocument/2006/relationships/hyperlink" Target="https://www.amazon.in/AmazonBasics-USB-Type-C-2-0-Cable/dp/B01GGKZ0V6/ref=sr_1_401?qid=1672903014&amp;s=computers&amp;sr=1-401" TargetMode="External"/><Relationship Id="rId73" Type="http://schemas.openxmlformats.org/officeDocument/2006/relationships/hyperlink" Target="https://www.amazon.in/Redmi-inches-Ultra-Android-L43R7-7AIN/dp/B09RFC46VP/ref=sr_1_81?qid=1672909128&amp;s=electronics&amp;sr=1-81" TargetMode="External"/><Relationship Id="rId72" Type="http://schemas.openxmlformats.org/officeDocument/2006/relationships/hyperlink" Target="https://www.amazon.in/CEDO-OnePlus-Charging-Compatible-Devices/dp/B0B5ZF3NRK/ref=sr_1_80?qid=1672909128&amp;s=electronics&amp;sr=1-80" TargetMode="External"/><Relationship Id="rId75" Type="http://schemas.openxmlformats.org/officeDocument/2006/relationships/hyperlink" Target="https://www.amazon.in/boAt-A750-Tangle-free-Transmission-Rebellious/dp/B09RWZRCP1/ref=sr_1_83?qid=1672909128&amp;s=electronics&amp;sr=1-83" TargetMode="External"/><Relationship Id="rId74" Type="http://schemas.openxmlformats.org/officeDocument/2006/relationships/hyperlink" Target="https://www.amazon.in/Pinnaclz-Original-Micro-USB-Charging/dp/B08R69VDHT/ref=sr_1_82?qid=1672909128&amp;s=electronics&amp;sr=1-82" TargetMode="External"/><Relationship Id="rId77" Type="http://schemas.openxmlformats.org/officeDocument/2006/relationships/hyperlink" Target="https://www.amazon.in/Ambrane-Charging-Neckband-Wireless-ACT/dp/B09YLXYP7Y/ref=sr_1_85?qid=1672909128&amp;s=electronics&amp;sr=1-85" TargetMode="External"/><Relationship Id="rId76" Type="http://schemas.openxmlformats.org/officeDocument/2006/relationships/hyperlink" Target="https://www.amazon.in/Ambrane-ABDC-10-Charging-Transmission-Compatible/dp/B09CMP1SC8/ref=sr_1_84?qid=1672909128&amp;s=electronics&amp;sr=1-84" TargetMode="External"/><Relationship Id="rId79" Type="http://schemas.openxmlformats.org/officeDocument/2006/relationships/hyperlink" Target="https://www.amazon.in/SWAPKART-Charging-Compatible-iPhone-Devices/dp/B0B2DJDCPX/ref=sr_1_87?qid=1672909128&amp;s=electronics&amp;sr=1-87" TargetMode="External"/><Relationship Id="rId78" Type="http://schemas.openxmlformats.org/officeDocument/2006/relationships/hyperlink" Target="https://www.amazon.in/TCL-inches-Certified-Android-32S5205/dp/B09ZPM4C2C/ref=sr_1_86?qid=1672909128&amp;s=electronics&amp;sr=1-86" TargetMode="External"/><Relationship Id="rId939" Type="http://schemas.openxmlformats.org/officeDocument/2006/relationships/hyperlink" Target="https://www.amazon.in/Lapster-Type-Cable-computer-laptop/dp/B0994GFWBH/ref=sr_1_396?qid=1672903014&amp;s=computers&amp;sr=1-396" TargetMode="External"/><Relationship Id="rId938" Type="http://schemas.openxmlformats.org/officeDocument/2006/relationships/hyperlink" Target="https://www.amazon.in/TP-Link-UE300C-Ethernet-Ultrabook-Chromebook/dp/B08FYB5HHK/ref=sr_1_395?qid=1672903014&amp;s=computers&amp;sr=1-395" TargetMode="External"/><Relationship Id="rId937" Type="http://schemas.openxmlformats.org/officeDocument/2006/relationships/hyperlink" Target="https://www.amazon.in/ZEBRONICS-Zeb-Warrior-Speaker-Laptops-Desktop/dp/B08SBH499M/ref=sr_1_394?qid=1672903014&amp;s=computers&amp;sr=1-394" TargetMode="External"/><Relationship Id="rId71" Type="http://schemas.openxmlformats.org/officeDocument/2006/relationships/hyperlink" Target="https://www.amazon.in/oraimo-Charging-Syncing-Indicator-Compatible/dp/B0B86CDHL1/ref=sr_1_79?qid=1672909128&amp;s=electronics&amp;sr=1-79" TargetMode="External"/><Relationship Id="rId70" Type="http://schemas.openxmlformats.org/officeDocument/2006/relationships/hyperlink" Target="https://www.amazon.in/AmazonBasics-Type-C-USB-Male-Cable/dp/B01GGKYKQM/ref=sr_1_77?qid=1672909128&amp;s=electronics&amp;sr=1-77" TargetMode="External"/><Relationship Id="rId932" Type="http://schemas.openxmlformats.org/officeDocument/2006/relationships/hyperlink" Target="https://www.amazon.in/TVARA-Colorful-Erasable-Electronic-Educational/dp/B09939XJX8/ref=sr_1_388?qid=1672903014&amp;s=computers&amp;sr=1-388" TargetMode="External"/><Relationship Id="rId931" Type="http://schemas.openxmlformats.org/officeDocument/2006/relationships/hyperlink" Target="https://www.amazon.in/realme-RMA108-Realme-Buds-Wireless/dp/B07XJWTYM2/ref=sr_1_387?qid=1672903014&amp;s=computers&amp;sr=1-387" TargetMode="External"/><Relationship Id="rId930" Type="http://schemas.openxmlformats.org/officeDocument/2006/relationships/hyperlink" Target="https://www.amazon.in/RPM-Euro-Games-Controller-Wired/dp/B08J4PL1Z3/ref=sr_1_386?qid=1672903014&amp;s=computers&amp;sr=1-386" TargetMode="External"/><Relationship Id="rId936" Type="http://schemas.openxmlformats.org/officeDocument/2006/relationships/hyperlink" Target="https://www.amazon.in/SanDisk-Portable-Smartphone-Compatible-Warranty/dp/B08GTYFC37/ref=sr_1_392?qid=1672903014&amp;s=computers&amp;sr=1-392" TargetMode="External"/><Relationship Id="rId935" Type="http://schemas.openxmlformats.org/officeDocument/2006/relationships/hyperlink" Target="https://www.amazon.in/Cablet-Portable-External-Enclosure-Tool-Free/dp/B0BG62HMDJ/ref=sr_1_391?qid=1672903014&amp;s=computers&amp;sr=1-391" TargetMode="External"/><Relationship Id="rId934" Type="http://schemas.openxmlformats.org/officeDocument/2006/relationships/hyperlink" Target="https://www.amazon.in/Robustrion-Anti-Scratch-Samsung-Tab-Lite/dp/B08CTQP51L/ref=sr_1_390?qid=1672903014&amp;s=computers&amp;sr=1-390" TargetMode="External"/><Relationship Id="rId933" Type="http://schemas.openxmlformats.org/officeDocument/2006/relationships/hyperlink" Target="https://www.amazon.in/Wings-Phantom-Indicator-Bluetooth-Playtime/dp/B09MDCZJXS/ref=sr_1_389?qid=1672903014&amp;s=computers&amp;sr=1-389" TargetMode="External"/><Relationship Id="rId62" Type="http://schemas.openxmlformats.org/officeDocument/2006/relationships/hyperlink" Target="https://www.amazon.in/Samsung-inches-Crystal-Ultra-UA43AUE65AKXXL/dp/B0B15CPR37/ref=sr_1_67?qid=1672909126&amp;s=electronics&amp;sr=1-67" TargetMode="External"/><Relationship Id="rId1312" Type="http://schemas.openxmlformats.org/officeDocument/2006/relationships/hyperlink" Target="https://www.amazon.in/CSI-INTERNATIONAL%C2%AE-Instant-portable-Plastic/dp/B081B1JL35/ref=sr_1_332?qid=1672923609&amp;s=kitchen&amp;sr=1-332" TargetMode="External"/><Relationship Id="rId61" Type="http://schemas.openxmlformats.org/officeDocument/2006/relationships/hyperlink" Target="https://www.amazon.in/Airtel-Digital-Remote-Compatible-Recording/dp/B07B275VN9/ref=sr_1_66_mod_primary_new?qid=1672909126&amp;s=electronics&amp;sbo=RZvfv%2F%2FHxDF%2BO5021pAnSA%3D%3D&amp;sr=1-66" TargetMode="External"/><Relationship Id="rId1313" Type="http://schemas.openxmlformats.org/officeDocument/2006/relationships/hyperlink" Target="https://www.amazon.in/Havells-Gatik-400mm-Pedestal-White/dp/B09VL9KFDB/ref=sr_1_333?qid=1672923609&amp;s=kitchen&amp;sr=1-333" TargetMode="External"/><Relationship Id="rId64" Type="http://schemas.openxmlformats.org/officeDocument/2006/relationships/hyperlink" Target="https://www.amazon.in/AmazonBasics-USB-Type-C-2-0-Cable/dp/B01GGKZ0V6/ref=sr_1_69?qid=1672909126&amp;s=electronics&amp;sr=1-69" TargetMode="External"/><Relationship Id="rId1314" Type="http://schemas.openxmlformats.org/officeDocument/2006/relationships/hyperlink" Target="https://www.amazon.in/Dura-Clean-Plus-Filtration-Accessories/dp/B0B1MDZV9C/ref=sr_1_334?qid=1672923609&amp;s=kitchen&amp;sr=1-334" TargetMode="External"/><Relationship Id="rId63" Type="http://schemas.openxmlformats.org/officeDocument/2006/relationships/hyperlink" Target="https://www.amazon.in/Lapster-Type-Cable-computer-laptop/dp/B0994GFWBH/ref=sr_1_68?qid=1672909126&amp;s=electronics&amp;sr=1-68" TargetMode="External"/><Relationship Id="rId1315" Type="http://schemas.openxmlformats.org/officeDocument/2006/relationships/hyperlink" Target="https://www.amazon.in/ROYAL-STEP-Portable-Electric-Rechargeable/dp/B08TT63N58/ref=sr_1_337?qid=1672923609&amp;s=kitchen&amp;sr=1-337" TargetMode="External"/><Relationship Id="rId66" Type="http://schemas.openxmlformats.org/officeDocument/2006/relationships/hyperlink" Target="https://www.amazon.in/AmazonBasics-High-Speed-Cable-2-Pack-Black/dp/B014I8SX4Y/ref=sr_1_73?qid=1672909128&amp;s=electronics&amp;sr=1-73" TargetMode="External"/><Relationship Id="rId1316" Type="http://schemas.openxmlformats.org/officeDocument/2006/relationships/hyperlink" Target="https://www.amazon.in/Nirdambhay-Handheld-Portable-Resealer-Including/dp/B08YK7BBD2/ref=sr_1_338?qid=1672923609&amp;s=kitchen&amp;sr=1-338" TargetMode="External"/><Relationship Id="rId65" Type="http://schemas.openxmlformats.org/officeDocument/2006/relationships/hyperlink" Target="https://www.amazon.in/Redmi-inches-Ready-L32M6-RA-Android/dp/B09F9YQQ7B/ref=sr_1_72?qid=1672909126&amp;s=electronics&amp;sr=1-72" TargetMode="External"/><Relationship Id="rId1317" Type="http://schemas.openxmlformats.org/officeDocument/2006/relationships/hyperlink" Target="https://www.amazon.in/Cello-Non-Stick-Aluminium-Sandwich-Toaster/dp/B07YQ5SN4H/ref=sr_1_339?qid=1672923609&amp;s=kitchen&amp;sr=1-339" TargetMode="External"/><Relationship Id="rId68" Type="http://schemas.openxmlformats.org/officeDocument/2006/relationships/hyperlink" Target="https://www.amazon.in/Acer-inches-Ready-AR32NSV53HD-Black/dp/B0B9XN9S3W/ref=sr_1_75?qid=1672909128&amp;s=electronics&amp;sr=1-75" TargetMode="External"/><Relationship Id="rId1318" Type="http://schemas.openxmlformats.org/officeDocument/2006/relationships/hyperlink" Target="https://www.amazon.in/Proven%C2%AE-Copper-ADJUSTER-Purifier-Technology/dp/B0B7FJNSZR/ref=sr_1_340?qid=1672923609&amp;s=kitchen&amp;sr=1-340" TargetMode="External"/><Relationship Id="rId67" Type="http://schemas.openxmlformats.org/officeDocument/2006/relationships/hyperlink" Target="https://www.amazon.in/Portronics-Konnect-Charge-Charging-Resistant/dp/B09Q8HMKZX/ref=sr_1_74?qid=1672909128&amp;s=electronics&amp;sr=1-74" TargetMode="External"/><Relationship Id="rId1319" Type="http://schemas.openxmlformats.org/officeDocument/2006/relationships/hyperlink" Target="https://www.amazon.in/Morphy-Richards-Daisy-1000-Watt-White/dp/B01N6IJG0F/ref=sr_1_341?qid=1672923609&amp;s=kitchen&amp;sr=1-341" TargetMode="External"/><Relationship Id="rId729" Type="http://schemas.openxmlformats.org/officeDocument/2006/relationships/hyperlink" Target="https://www.amazon.in/AirCase-External-Drive-2-5-Inch-Black/dp/B00NNQMYNE/ref=sr_1_155?qid=1672903002&amp;s=computers&amp;sr=1-155" TargetMode="External"/><Relationship Id="rId728" Type="http://schemas.openxmlformats.org/officeDocument/2006/relationships/hyperlink" Target="https://www.amazon.in/Flix-Micro-Cable-Smartphone-Black/dp/B09NHVCHS9/ref=sr_1_154?qid=1672903002&amp;s=computers&amp;sr=1-154" TargetMode="External"/><Relationship Id="rId60" Type="http://schemas.openxmlformats.org/officeDocument/2006/relationships/hyperlink" Target="https://www.amazon.in/Portronics-Konnect-POR-1079-Charging-Micro/dp/B08CDKQ8T6/ref=sr_1_65?qid=1672909126&amp;s=electronics&amp;sr=1-65" TargetMode="External"/><Relationship Id="rId723" Type="http://schemas.openxmlformats.org/officeDocument/2006/relationships/hyperlink" Target="https://www.amazon.in/Adapter-Projector-Computer-Laptop-Projectors/dp/B085194JFL/ref=sr_1_149?qid=1672903002&amp;s=computers&amp;sr=1-149" TargetMode="External"/><Relationship Id="rId965" Type="http://schemas.openxmlformats.org/officeDocument/2006/relationships/hyperlink" Target="https://www.amazon.in/Logitech-Hyperion-Ultra-Gaming-Mouse/dp/B00NFD0ETQ/ref=sr_1_424?qid=1672903016&amp;s=computers&amp;sr=1-424" TargetMode="External"/><Relationship Id="rId722" Type="http://schemas.openxmlformats.org/officeDocument/2006/relationships/hyperlink" Target="https://www.amazon.in/Duracell-AAA-750mAh-Rechargeable-Batteries/dp/B003B00484/ref=sr_1_148?qid=1672903002&amp;s=computers&amp;sr=1-148" TargetMode="External"/><Relationship Id="rId964" Type="http://schemas.openxmlformats.org/officeDocument/2006/relationships/hyperlink" Target="https://www.amazon.in/ORICO-2577U3-BK-Enclosure-Capacity-Business/dp/B07222HQKP/ref=sr_1_423?qid=1672903016&amp;s=computers&amp;sr=1-423" TargetMode="External"/><Relationship Id="rId721" Type="http://schemas.openxmlformats.org/officeDocument/2006/relationships/hyperlink" Target="https://www.amazon.in/Boat-Airdopes-171-Functionality-Resistance/dp/B086WMSCN3/ref=sr_1_147?qid=1672903002&amp;s=computers&amp;sr=1-147" TargetMode="External"/><Relationship Id="rId963" Type="http://schemas.openxmlformats.org/officeDocument/2006/relationships/hyperlink" Target="https://www.amazon.in/Sounce-Plated-Headphone-Earphone-Splitter/dp/B08BCKN299/ref=sr_1_422?qid=1672903016&amp;s=computers&amp;sr=1-422" TargetMode="External"/><Relationship Id="rId720" Type="http://schemas.openxmlformats.org/officeDocument/2006/relationships/hyperlink" Target="https://www.amazon.in/TP-Link-Wireless-Security-Tapo-C200/dp/B07XLML2YS/ref=sr_1_146?qid=1672903002&amp;s=computers&amp;sr=1-146" TargetMode="External"/><Relationship Id="rId962" Type="http://schemas.openxmlformats.org/officeDocument/2006/relationships/hyperlink" Target="https://www.amazon.in/SLOVIC%C2%AE-Adapter-Smartphone-Clipper-Pictures/dp/B07RZZ1QSW/ref=sr_1_421?qid=1672903016&amp;s=computers&amp;sr=1-421" TargetMode="External"/><Relationship Id="rId727" Type="http://schemas.openxmlformats.org/officeDocument/2006/relationships/hyperlink" Target="https://www.amazon.in/Classmate-Premium-Subject-Notebook-Single/dp/B00LZLPYHW/ref=sr_1_153?qid=1672903002&amp;s=computers&amp;sr=1-153" TargetMode="External"/><Relationship Id="rId969" Type="http://schemas.openxmlformats.org/officeDocument/2006/relationships/hyperlink" Target="https://www.amazon.in/Portronics-Konnect-Charge-Charging-Resistant/dp/B09Q8HMKZX/ref=sr_1_428?qid=1672903016&amp;s=computers&amp;sr=1-428" TargetMode="External"/><Relationship Id="rId726" Type="http://schemas.openxmlformats.org/officeDocument/2006/relationships/hyperlink" Target="https://www.amazon.in/Noise-ColorFit-Bluetooth-Monitoring-SmartWatch/dp/B09P18XVW6/ref=sr_1_152?qid=1672903002&amp;s=computers&amp;sr=1-152" TargetMode="External"/><Relationship Id="rId968" Type="http://schemas.openxmlformats.org/officeDocument/2006/relationships/hyperlink" Target="https://www.amazon.in/Canon-E477-Wireless-Efficient-Printer/dp/B01JOFKL0A/ref=sr_1_427?qid=1672903016&amp;s=computers&amp;sr=1-427" TargetMode="External"/><Relationship Id="rId725" Type="http://schemas.openxmlformats.org/officeDocument/2006/relationships/hyperlink" Target="https://www.amazon.in/Logitech-B100-Optical-Mouse-Black/dp/B003L62T7W/ref=sr_1_151?qid=1672903002&amp;s=computers&amp;sr=1-151" TargetMode="External"/><Relationship Id="rId967" Type="http://schemas.openxmlformats.org/officeDocument/2006/relationships/hyperlink" Target="https://www.amazon.in/Logitech-920-007596-Multi-Device-Bluetooth-Keyboard/dp/B0148NPH9I/ref=sr_1_426?qid=1672903016&amp;s=computers&amp;sr=1-426" TargetMode="External"/><Relationship Id="rId724" Type="http://schemas.openxmlformats.org/officeDocument/2006/relationships/hyperlink" Target="https://www.amazon.in/Samsung-Inches-Wondertainment-UA32T4340BKXXL-Glossy/dp/B09F6S8BT6/ref=sr_1_150?qid=1672903002&amp;s=computers&amp;sr=1-150" TargetMode="External"/><Relationship Id="rId966" Type="http://schemas.openxmlformats.org/officeDocument/2006/relationships/hyperlink" Target="https://www.amazon.in/Panasonic-Eneloop-BQ-CC55E-Advanced-Battery/dp/B075DB1F13/ref=sr_1_425?qid=1672903016&amp;s=computers&amp;sr=1-425" TargetMode="External"/><Relationship Id="rId69" Type="http://schemas.openxmlformats.org/officeDocument/2006/relationships/hyperlink" Target="https://www.amazon.in/Model-P4-Swivel-32-55-inch-Motion-Cantilever/dp/B07966M8XH/ref=sr_1_76?qid=1672909128&amp;s=electronics&amp;sr=1-76" TargetMode="External"/><Relationship Id="rId961" Type="http://schemas.openxmlformats.org/officeDocument/2006/relationships/hyperlink" Target="https://www.amazon.in/Dualband-1200Mbps-Frequency-Directional-app-Parental/dp/B09MKG4ZCM/ref=sr_1_420?qid=1672903016&amp;s=computers&amp;sr=1-420" TargetMode="External"/><Relationship Id="rId960" Type="http://schemas.openxmlformats.org/officeDocument/2006/relationships/hyperlink" Target="https://www.amazon.in/ORAIMO-SUPER-FAST-CHARGER/dp/B078G6ZF5Z/ref=sr_1_419?qid=1672903016&amp;s=computers&amp;sr=1-419" TargetMode="External"/><Relationship Id="rId1310" Type="http://schemas.openxmlformats.org/officeDocument/2006/relationships/hyperlink" Target="https://www.amazon.in/Khaitan-ORFin-heater-Home-kitchen-K0/dp/B0BPJBTB3F/ref=sr_1_326?qid=1672923609&amp;s=kitchen&amp;sr=1-326" TargetMode="External"/><Relationship Id="rId1311" Type="http://schemas.openxmlformats.org/officeDocument/2006/relationships/hyperlink" Target="https://www.amazon.in/USHA-RapidMix-500-Watt-Copper-Grinder/dp/B08MXJYB2V/ref=sr_1_331?qid=1672923609&amp;s=kitchen&amp;sr=1-331" TargetMode="External"/><Relationship Id="rId51" Type="http://schemas.openxmlformats.org/officeDocument/2006/relationships/hyperlink" Target="https://www.amazon.in/TP-Link-Wireless-Adapter-Archer-T2U/dp/B07P681N66/ref=sr_1_54?qid=1672909126&amp;s=electronics&amp;sr=1-54" TargetMode="External"/><Relationship Id="rId1301" Type="http://schemas.openxmlformats.org/officeDocument/2006/relationships/hyperlink" Target="https://www.amazon.in/HUL-Pureit-Mineral-mounted-Purifier/dp/B08BJN4MP3/ref=sr_1_317?qid=1672923609&amp;s=kitchen&amp;sr=1-317" TargetMode="External"/><Relationship Id="rId50" Type="http://schemas.openxmlformats.org/officeDocument/2006/relationships/hyperlink" Target="https://www.amazon.in/AmazonBasics-Micro-Charging-Android-Phones/dp/B07232M876/ref=sr_1_53?qid=1672909126&amp;s=electronics&amp;sr=1-53" TargetMode="External"/><Relationship Id="rId1302" Type="http://schemas.openxmlformats.org/officeDocument/2006/relationships/hyperlink" Target="https://www.amazon.in/Livpure-Glo-Star-RO-Mineraliser/dp/B0BCYQY9X5/ref=sr_1_318?qid=1672923609&amp;s=kitchen&amp;sr=1-318" TargetMode="External"/><Relationship Id="rId53" Type="http://schemas.openxmlformats.org/officeDocument/2006/relationships/hyperlink" Target="https://www.amazon.in/AmazonBasics-Nylon-Braided-Lightning-Cable/dp/B082T6V3DT/ref=sr_1_57?qid=1672909126&amp;s=electronics&amp;sr=1-57" TargetMode="External"/><Relationship Id="rId1303" Type="http://schemas.openxmlformats.org/officeDocument/2006/relationships/hyperlink" Target="https://www.amazon.in/Philips-HI113-1000-Watt-Plastic-Coating/dp/B009UORDX4/ref=sr_1_319?qid=1672923609&amp;s=kitchen&amp;sr=1-319" TargetMode="External"/><Relationship Id="rId52" Type="http://schemas.openxmlformats.org/officeDocument/2006/relationships/hyperlink" Target="https://www.amazon.in/AmazonBasics-Micro-Charging-Android-Phones/dp/B0711PVX6Z/ref=sr_1_55?qid=1672909126&amp;s=electronics&amp;sr=1-55" TargetMode="External"/><Relationship Id="rId1304" Type="http://schemas.openxmlformats.org/officeDocument/2006/relationships/hyperlink" Target="https://www.amazon.in/Kuber-Industries-Foldable-Laundry-KUBMART11446/dp/B08VGDBF3B/ref=sr_1_320?qid=1672923609&amp;s=kitchen&amp;sr=1-320" TargetMode="External"/><Relationship Id="rId55" Type="http://schemas.openxmlformats.org/officeDocument/2006/relationships/hyperlink" Target="https://www.amazon.in/Ambrane-Unbreakable-Charging-RCT15-Supports/dp/B0BFWGBX61/ref=sr_1_59?qid=1672909126&amp;s=electronics&amp;sr=1-59" TargetMode="External"/><Relationship Id="rId1305" Type="http://schemas.openxmlformats.org/officeDocument/2006/relationships/hyperlink" Target="https://www.amazon.in/Preethi-MGA-502-0-4-Litre-Grind-Store/dp/B012ELCYUG/ref=sr_1_321?qid=1672923609&amp;s=kitchen&amp;sr=1-321" TargetMode="External"/><Relationship Id="rId54" Type="http://schemas.openxmlformats.org/officeDocument/2006/relationships/hyperlink" Target="https://www.amazon.in/Visio-World-inches-VW32A-Ready/dp/B07MKFNHKG/ref=sr_1_58?qid=1672909126&amp;s=electronics&amp;sr=1-58" TargetMode="External"/><Relationship Id="rId1306" Type="http://schemas.openxmlformats.org/officeDocument/2006/relationships/hyperlink" Target="https://www.amazon.in/Usha-Aurora-Iron-1000-Light/dp/B07S9M8YTY/ref=sr_1_322?qid=1672923609&amp;s=kitchen&amp;sr=1-322" TargetMode="External"/><Relationship Id="rId57" Type="http://schemas.openxmlformats.org/officeDocument/2006/relationships/hyperlink" Target="https://www.amazon.in/TP-Link-TL-WN823N-300Mbps-Wireless-N-Adapter/dp/B0088TKTY2/ref=sr_1_61?qid=1672909126&amp;s=electronics&amp;sr=1-61" TargetMode="External"/><Relationship Id="rId1307" Type="http://schemas.openxmlformats.org/officeDocument/2006/relationships/hyperlink" Target="https://www.amazon.in/ECOVACS-Robotic-Powerful-Advanced-Technology/dp/B0B19VJXQZ/ref=sr_1_323?qid=1672923609&amp;s=kitchen&amp;sr=1-323" TargetMode="External"/><Relationship Id="rId56" Type="http://schemas.openxmlformats.org/officeDocument/2006/relationships/hyperlink" Target="https://www.amazon.in/TATASKY-Universal-Remote/dp/B01N90RZ4M/ref=sr_1_60?qid=1672909126&amp;s=electronics&amp;sr=1-60" TargetMode="External"/><Relationship Id="rId1308" Type="http://schemas.openxmlformats.org/officeDocument/2006/relationships/hyperlink" Target="https://www.amazon.in/Kent-Gold-Optima-Spare-Kit/dp/B00SMFPJG0/ref=sr_1_324?qid=1672923609&amp;s=kitchen&amp;sr=1-324" TargetMode="External"/><Relationship Id="rId1309" Type="http://schemas.openxmlformats.org/officeDocument/2006/relationships/hyperlink" Target="https://www.amazon.in/AVNISH-Water-Filter-Layer-Filtration/dp/B0BHYLCL19/ref=sr_1_325?qid=1672923609&amp;s=kitchen&amp;sr=1-325" TargetMode="External"/><Relationship Id="rId719" Type="http://schemas.openxmlformats.org/officeDocument/2006/relationships/hyperlink" Target="https://www.amazon.in/SanDisk-Ultra-Dual-64GB-Drive/dp/B01N6LU1VF/ref=sr_1_145?qid=1672903002&amp;s=computers&amp;sr=1-145" TargetMode="External"/><Relationship Id="rId718" Type="http://schemas.openxmlformats.org/officeDocument/2006/relationships/hyperlink" Target="https://www.amazon.in/Essentials-Gz-Ck-101-Professional-Micro-Fiber-Antibacterial/dp/B01IBRHE3E/ref=sr_1_144?qid=1672903001&amp;s=computers&amp;sr=1-144" TargetMode="External"/><Relationship Id="rId717" Type="http://schemas.openxmlformats.org/officeDocument/2006/relationships/hyperlink" Target="https://www.amazon.in/JBL-Playtime-Bluetooth-Earphones-Assistant/dp/B08FB2LNSZ/ref=sr_1_142?qid=1672903001&amp;s=computers&amp;sr=1-142" TargetMode="External"/><Relationship Id="rId959" Type="http://schemas.openxmlformats.org/officeDocument/2006/relationships/hyperlink" Target="https://www.amazon.in/HP-DeskJet-2723-Wireless-Printer/dp/B08D9MNH4B/ref=sr_1_418?qid=1672903016&amp;s=computers&amp;sr=1-418" TargetMode="External"/><Relationship Id="rId712" Type="http://schemas.openxmlformats.org/officeDocument/2006/relationships/hyperlink" Target="https://www.amazon.in/Dual-Charger-Qualcomm-Certified-Charge/dp/B06XSK3XL6/ref=sr_1_137?qid=1672903001&amp;s=computers&amp;sr=1-137" TargetMode="External"/><Relationship Id="rId954" Type="http://schemas.openxmlformats.org/officeDocument/2006/relationships/hyperlink" Target="https://www.amazon.in/Redmi-inches-Ready-L32M6-RA-Android/dp/B09F9YQQ7B/ref=sr_1_412?qid=1672903016&amp;s=computers&amp;sr=1-412" TargetMode="External"/><Relationship Id="rId711" Type="http://schemas.openxmlformats.org/officeDocument/2006/relationships/hyperlink" Target="https://www.amazon.in/COSMOS-Portable-Flexible-Light-Colours/dp/B08TDJNM3G/ref=sr_1_136?qid=1672903001&amp;s=computers&amp;sr=1-136" TargetMode="External"/><Relationship Id="rId953" Type="http://schemas.openxmlformats.org/officeDocument/2006/relationships/hyperlink" Target="https://www.amazon.in/Casio-MJ-120D-Electronic-Calculator/dp/B00K32PEW4/ref=sr_1_411?qid=1672903016&amp;s=computers&amp;sr=1-411" TargetMode="External"/><Relationship Id="rId710" Type="http://schemas.openxmlformats.org/officeDocument/2006/relationships/hyperlink" Target="https://www.amazon.in/Acer-Features-Bluelight-Flickerless-Comfyview/dp/B08L879JSN/ref=sr_1_135?qid=1672903001&amp;s=computers&amp;sr=1-135" TargetMode="External"/><Relationship Id="rId952" Type="http://schemas.openxmlformats.org/officeDocument/2006/relationships/hyperlink" Target="https://www.amazon.in/Scarters-Office-Keyboard-Splash-Proof-Leather/dp/B08461VC1Z/ref=sr_1_410?qid=1672903016&amp;s=computers&amp;sr=1-410" TargetMode="External"/><Relationship Id="rId951" Type="http://schemas.openxmlformats.org/officeDocument/2006/relationships/hyperlink" Target="https://www.amazon.in/Classmate-Pulse-Subject-Notebook-Single/dp/B099S26HWG/ref=sr_1_409?qid=1672903016&amp;s=computers&amp;sr=1-409" TargetMode="External"/><Relationship Id="rId716" Type="http://schemas.openxmlformats.org/officeDocument/2006/relationships/hyperlink" Target="https://www.amazon.in/Zebronics-Zeb-JUDWAA-750-Wired-Keyboard/dp/B07KR5P3YD/ref=sr_1_141?qid=1672903001&amp;s=computers&amp;sr=1-141" TargetMode="External"/><Relationship Id="rId958" Type="http://schemas.openxmlformats.org/officeDocument/2006/relationships/hyperlink" Target="https://www.amazon.in/CEDO-OnePlus-Charging-Compatible-Devices/dp/B0B5ZF3NRK/ref=sr_1_416?qid=1672903016&amp;s=computers&amp;sr=1-416" TargetMode="External"/><Relationship Id="rId715" Type="http://schemas.openxmlformats.org/officeDocument/2006/relationships/hyperlink" Target="https://www.amazon.in/LG-inches-Ready-Smart-32LM563BPTC/dp/B08DPLCM6T/ref=sr_1_140?qid=1672903001&amp;s=computers&amp;sr=1-140" TargetMode="External"/><Relationship Id="rId957" Type="http://schemas.openxmlformats.org/officeDocument/2006/relationships/hyperlink" Target="https://www.amazon.in/TP-Link-Archer-A6-Wireless-Internet/dp/B07W9KYT62/ref=sr_1_415?qid=1672903016&amp;s=computers&amp;sr=1-415" TargetMode="External"/><Relationship Id="rId714" Type="http://schemas.openxmlformats.org/officeDocument/2006/relationships/hyperlink" Target="https://www.amazon.in/Upgraded-Precision-Sensitivity-Rejection-Adsorption/dp/B09KGV7WSV/ref=sr_1_139?qid=1672903001&amp;s=computers&amp;sr=1-139" TargetMode="External"/><Relationship Id="rId956" Type="http://schemas.openxmlformats.org/officeDocument/2006/relationships/hyperlink" Target="https://www.amazon.in/Parker-Vector-Camouflage-Gift-Set/dp/B0746N6WML/ref=sr_1_414?qid=1672903016&amp;s=computers&amp;sr=1-414" TargetMode="External"/><Relationship Id="rId713" Type="http://schemas.openxmlformats.org/officeDocument/2006/relationships/hyperlink" Target="https://www.amazon.in/Zebronics-Zeb-County-Bluetooth-Speaker-Function/dp/B07YNTJ8ZM/ref=sr_1_138?qid=1672903001&amp;s=computers&amp;sr=1-138" TargetMode="External"/><Relationship Id="rId955" Type="http://schemas.openxmlformats.org/officeDocument/2006/relationships/hyperlink" Target="https://www.amazon.in/Essentials-Sleeve-Microsoft-Surface-Go/dp/B07LFWP97N/ref=sr_1_413?qid=1672903016&amp;s=computers&amp;sr=1-413" TargetMode="External"/><Relationship Id="rId59" Type="http://schemas.openxmlformats.org/officeDocument/2006/relationships/hyperlink" Target="https://www.amazon.in/WeCool-Unbreakable-Charging-Purpose-iPhone/dp/B0B4DT8MKT/ref=sr_1_64?qid=1672909126&amp;s=electronics&amp;sr=1-64" TargetMode="External"/><Relationship Id="rId58" Type="http://schemas.openxmlformats.org/officeDocument/2006/relationships/hyperlink" Target="https://www.amazon.in/OnePlus-inches-Ready-Smart-Android/dp/B09Q5SWVBJ/ref=sr_1_63?qid=1672909126&amp;s=electronics&amp;sr=1-63" TargetMode="External"/><Relationship Id="rId950" Type="http://schemas.openxmlformats.org/officeDocument/2006/relationships/hyperlink" Target="https://www.amazon.in/Lightweight-Portable-Aluminum-Photography-DLS-9FEET/dp/B088GXTJM3/ref=sr_1_408?qid=1672903014&amp;s=computers&amp;sr=1-408" TargetMode="External"/><Relationship Id="rId1300" Type="http://schemas.openxmlformats.org/officeDocument/2006/relationships/hyperlink" Target="https://www.amazon.in/Instant-Vortex-2QT-EvenCrispTM-Technology/dp/B0B53DS4TF/ref=sr_1_316?qid=1672923609&amp;s=kitchen&amp;sr=1-316" TargetMode="External"/><Relationship Id="rId590" Type="http://schemas.openxmlformats.org/officeDocument/2006/relationships/hyperlink" Target="https://www.amazon.in/Logitech-B170-Wireless-Mouse-Black/dp/B01J0XWYKQ/ref=sr_1_6?qid=1672902995&amp;s=computers&amp;sr=1-6" TargetMode="External"/><Relationship Id="rId107" Type="http://schemas.openxmlformats.org/officeDocument/2006/relationships/hyperlink" Target="https://www.amazon.in/Wayona-Braided-WN6LG1-Syncing-Charging/dp/B07JGDB5M1/ref=sr_1_119?qid=1672909129&amp;s=electronics&amp;sr=1-119" TargetMode="External"/><Relationship Id="rId349" Type="http://schemas.openxmlformats.org/officeDocument/2006/relationships/hyperlink" Target="https://www.amazon.in/Samsung-Galaxy-Storage-MediaTek-Battery/dp/B0BMGB3CH9/ref=sr_1_17?qid=1672895748&amp;s=electronics&amp;sr=1-17" TargetMode="External"/><Relationship Id="rId106" Type="http://schemas.openxmlformats.org/officeDocument/2006/relationships/hyperlink" Target="https://www.amazon.in/Wayona-Charging-Charger-Compatible-Samsung/dp/B09QGZFBPM/ref=sr_1_118?qid=1672909129&amp;s=electronics&amp;sr=1-118" TargetMode="External"/><Relationship Id="rId348" Type="http://schemas.openxmlformats.org/officeDocument/2006/relationships/hyperlink" Target="https://www.amazon.in/JBL-C100SI-Ear-Headphones-Black/dp/B01DEWVZ2C/ref=sr_1_16?qid=1672895748&amp;s=electronics&amp;sr=1-16" TargetMode="External"/><Relationship Id="rId105" Type="http://schemas.openxmlformats.org/officeDocument/2006/relationships/hyperlink" Target="https://www.amazon.in/Wayona-Nylon-Braided-Charging-iPhones/dp/B07JNVF678/ref=sr_1_117?qid=1672909129&amp;s=electronics&amp;sr=1-117" TargetMode="External"/><Relationship Id="rId347" Type="http://schemas.openxmlformats.org/officeDocument/2006/relationships/hyperlink" Target="https://www.amazon.in/boAt-Wave-Lite-Smartwatch-Activity/dp/B09V12K8NT/ref=sr_1_15?qid=1672895748&amp;s=electronics&amp;sr=1-15" TargetMode="External"/><Relationship Id="rId589" Type="http://schemas.openxmlformats.org/officeDocument/2006/relationships/hyperlink" Target="https://www.amazon.in/SanDisk-Cruzer-Blade-Flash-Drive/dp/B005FYNT3G/ref=sr_1_5?qid=1672902995&amp;s=computers&amp;sr=1-5" TargetMode="External"/><Relationship Id="rId104" Type="http://schemas.openxmlformats.org/officeDocument/2006/relationships/hyperlink" Target="https://www.amazon.in/MI-inches-Smart-Android-Bezel-Less/dp/B0B6F98KJJ/ref=sr_1_115?qid=1672909129&amp;s=electronics&amp;sr=1-115" TargetMode="External"/><Relationship Id="rId346" Type="http://schemas.openxmlformats.org/officeDocument/2006/relationships/hyperlink" Target="https://www.amazon.in/Nokia-105-Single-Wireless-Charcoal/dp/B09V2Q4QVQ/ref=sr_1_14?qid=1672895748&amp;s=electronics&amp;sr=1-14" TargetMode="External"/><Relationship Id="rId588" Type="http://schemas.openxmlformats.org/officeDocument/2006/relationships/hyperlink" Target="https://www.amazon.in/boAt-Wave-Call-Dedicated-Multi-Sport/dp/B0B5B6PQCT/ref=sr_1_4?qid=1672902995&amp;s=computers&amp;sr=1-4" TargetMode="External"/><Relationship Id="rId109" Type="http://schemas.openxmlformats.org/officeDocument/2006/relationships/hyperlink" Target="https://www.amazon.in/VU-inches-GloLED-Google-55GloLED/dp/B0B9XLX8VR/ref=sr_1_121?qid=1672909130&amp;s=electronics&amp;sr=1-121" TargetMode="External"/><Relationship Id="rId1170" Type="http://schemas.openxmlformats.org/officeDocument/2006/relationships/hyperlink" Target="https://www.amazon.in/Kent-16026-1-8-Liter-Electric-Kettle/dp/B07GLSKXS1/ref=sr_1_175?qid=1672923600&amp;s=kitchen&amp;sr=1-175" TargetMode="External"/><Relationship Id="rId108" Type="http://schemas.openxmlformats.org/officeDocument/2006/relationships/hyperlink" Target="https://www.amazon.in/CROSSVOLT-Compatible-Charging-Supported-Devices/dp/B0981XSZJ7/ref=sr_1_120?qid=1672909129&amp;s=electronics&amp;sr=1-120" TargetMode="External"/><Relationship Id="rId1171" Type="http://schemas.openxmlformats.org/officeDocument/2006/relationships/hyperlink" Target="https://www.amazon.in/SKYTONE-Stainless-Electric-Grinders-Vegetables/dp/B09F6KL23R/ref=sr_1_178?qid=1672923600&amp;s=kitchen&amp;sr=1-178" TargetMode="External"/><Relationship Id="rId341" Type="http://schemas.openxmlformats.org/officeDocument/2006/relationships/hyperlink" Target="https://www.amazon.in/OnePlus-Nord-Shadow-128GB-Storage/dp/B0B3CQBRB4/ref=sr_1_9?qid=1672895748&amp;s=electronics&amp;sr=1-9" TargetMode="External"/><Relationship Id="rId583" Type="http://schemas.openxmlformats.org/officeDocument/2006/relationships/hyperlink" Target="https://www.amazon.in/Connector-Converter-Adapter-Compatible-Samsung/dp/B09BCNQ9R2/ref=sr_1_497?qid=1672895894&amp;s=electronics&amp;sr=1-497" TargetMode="External"/><Relationship Id="rId1172" Type="http://schemas.openxmlformats.org/officeDocument/2006/relationships/hyperlink" Target="https://www.amazon.in/1-8Litre-Electric-Kettle-Stainless-16088/dp/B094G9L9LT/ref=sr_1_179?qid=1672923600&amp;s=kitchen&amp;sr=1-179" TargetMode="External"/><Relationship Id="rId340" Type="http://schemas.openxmlformats.org/officeDocument/2006/relationships/hyperlink" Target="https://www.amazon.in/OnePlus-Nord-Jade-128GB-Storage/dp/B0B3CPQ5PF/ref=sr_1_8?qid=1672895748&amp;s=electronics&amp;sr=1-8" TargetMode="External"/><Relationship Id="rId582" Type="http://schemas.openxmlformats.org/officeDocument/2006/relationships/hyperlink" Target="https://www.amazon.in/Samsung-Stardust-Storage-5000mAh-Battery/dp/B0B4F4QZ1H/ref=sr_1_496?qid=1672895894&amp;s=electronics&amp;sr=1-496" TargetMode="External"/><Relationship Id="rId1173" Type="http://schemas.openxmlformats.org/officeDocument/2006/relationships/hyperlink" Target="https://www.amazon.in/Eureka-Forbes-Powerful-Technology-GFCDSFSVL00000/dp/B09FZ89DK6/ref=sr_1_180?qid=1672923600&amp;s=kitchen&amp;sr=1-180" TargetMode="External"/><Relationship Id="rId581" Type="http://schemas.openxmlformats.org/officeDocument/2006/relationships/hyperlink" Target="https://www.amazon.in/Aluminium-Adjustable-Mobile-Foldable-Smartphones/dp/B088ZFJY82/ref=sr_1_493?qid=1672895894&amp;s=electronics&amp;sr=1-493" TargetMode="External"/><Relationship Id="rId1174" Type="http://schemas.openxmlformats.org/officeDocument/2006/relationships/hyperlink" Target="https://www.amazon.in/Mi-Purifier-Filter-Smart-Connectivity/dp/B0811VCGL5/ref=sr_1_182?qid=1672923600&amp;s=kitchen&amp;sr=1-182" TargetMode="External"/><Relationship Id="rId580" Type="http://schemas.openxmlformats.org/officeDocument/2006/relationships/hyperlink" Target="https://www.amazon.in/Fire-Boltt-Bluetooth-Calling-Interactions-Speaker/dp/B0BNXFDTZ2/ref=sr_1_486?qid=1672895894&amp;s=electronics&amp;sr=1-486" TargetMode="External"/><Relationship Id="rId1175" Type="http://schemas.openxmlformats.org/officeDocument/2006/relationships/hyperlink" Target="https://www.amazon.in/Tata-Swach-Bulb-6000-Litre-Cartridge/dp/B07FXLC2G2/ref=sr_1_183?qid=1672923600&amp;s=kitchen&amp;sr=1-183" TargetMode="External"/><Relationship Id="rId103" Type="http://schemas.openxmlformats.org/officeDocument/2006/relationships/hyperlink" Target="https://www.amazon.in/Isoelite-Remote-Compatible-Samsung-Control/dp/B07DL1KC3H/ref=sr_1_114?qid=1672909129&amp;s=electronics&amp;sr=1-114" TargetMode="External"/><Relationship Id="rId345" Type="http://schemas.openxmlformats.org/officeDocument/2006/relationships/hyperlink" Target="https://www.amazon.in/Noise-Bluetooth-Calling-Tracking-Detection/dp/B0B5LVS732/ref=sr_1_13?qid=1672895748&amp;s=electronics&amp;sr=1-13" TargetMode="External"/><Relationship Id="rId587" Type="http://schemas.openxmlformats.org/officeDocument/2006/relationships/hyperlink" Target="https://www.amazon.in/Fire-Boltt-Phoenix-Bluetooth-Calling-Monitoring/dp/B0B3RRWSF6/ref=sr_1_3?qid=1672902995&amp;s=computers&amp;sr=1-3" TargetMode="External"/><Relationship Id="rId1176" Type="http://schemas.openxmlformats.org/officeDocument/2006/relationships/hyperlink" Target="https://www.amazon.in/Havells-Ambrose-1200mm-Ceiling-Gold/dp/B01LYU3BZF/ref=sr_1_187?qid=1672923600&amp;s=kitchen&amp;sr=1-187" TargetMode="External"/><Relationship Id="rId102" Type="http://schemas.openxmlformats.org/officeDocument/2006/relationships/hyperlink" Target="https://www.amazon.in/AmazonBasics-Nylon-Braided-Lightning-Cable/dp/B082T6GVLJ/ref=sr_1_113?qid=1672909129&amp;s=electronics&amp;sr=1-113" TargetMode="External"/><Relationship Id="rId344" Type="http://schemas.openxmlformats.org/officeDocument/2006/relationships/hyperlink" Target="https://www.amazon.in/SanDisk-Ultra%C2%AE-microSDXCTM-Warranty-Smartphones/dp/B0BDRVFDKP/ref=sr_1_12?qid=1672895748&amp;s=electronics&amp;sr=1-12" TargetMode="External"/><Relationship Id="rId586" Type="http://schemas.openxmlformats.org/officeDocument/2006/relationships/hyperlink" Target="https://www.amazon.in/Airdopes-141-Playtime-Resistance-Bluetooth/dp/B09N3ZNHTY/ref=sr_1_2?qid=1672902995&amp;s=computers&amp;sr=1-2" TargetMode="External"/><Relationship Id="rId1177" Type="http://schemas.openxmlformats.org/officeDocument/2006/relationships/hyperlink" Target="https://www.amazon.in/PrettyKrafts-Canvas-Laundry-Storage-Black/dp/B083RC4WFJ/ref=sr_1_188?qid=1672923600&amp;s=kitchen&amp;sr=1-188" TargetMode="External"/><Relationship Id="rId101" Type="http://schemas.openxmlformats.org/officeDocument/2006/relationships/hyperlink" Target="https://www.amazon.in/Dealfreez-Compatible-Silicone-Anti-Lost-D-Black/dp/B09BW334ML/ref=sr_1_112?qid=1672909129&amp;s=electronics&amp;sr=1-112" TargetMode="External"/><Relationship Id="rId343" Type="http://schemas.openxmlformats.org/officeDocument/2006/relationships/hyperlink" Target="https://www.amazon.in/Redmi-Segment-5000mAh-Battery-Leather/dp/B0BBN3WF7V/ref=sr_1_11?qid=1672895748&amp;s=electronics&amp;sr=1-11" TargetMode="External"/><Relationship Id="rId585" Type="http://schemas.openxmlformats.org/officeDocument/2006/relationships/hyperlink" Target="https://www.amazon.in/boAt-BassHeads-100-Headphones-Black/dp/B071Z8M4KX/ref=sr_1_1?qid=1672902995&amp;s=computers&amp;sr=1-1" TargetMode="External"/><Relationship Id="rId1178" Type="http://schemas.openxmlformats.org/officeDocument/2006/relationships/hyperlink" Target="https://www.amazon.in/FABWARE-Lint-Remover-Clothes-Furniture/dp/B09SFRNKSR/ref=sr_1_189?qid=1672923600&amp;s=kitchen&amp;sr=1-189" TargetMode="External"/><Relationship Id="rId100" Type="http://schemas.openxmlformats.org/officeDocument/2006/relationships/hyperlink" Target="https://www.amazon.in/Wayona-charging-Nylon-Braided-iPhone/dp/B08CHKQ8D4/ref=sr_1_111?qid=1672909129&amp;s=electronics&amp;sr=1-111" TargetMode="External"/><Relationship Id="rId342" Type="http://schemas.openxmlformats.org/officeDocument/2006/relationships/hyperlink" Target="https://www.amazon.in/Redmi-Storage-Segment-5000mAh-Battery/dp/B0BBN56J5H/ref=sr_1_10?qid=1672895748&amp;s=electronics&amp;sr=1-10" TargetMode="External"/><Relationship Id="rId584" Type="http://schemas.openxmlformats.org/officeDocument/2006/relationships/hyperlink" Target="https://www.amazon.in/Wireless-Generation-Sensitive-Rejection-Compatible/dp/B0B9BD2YL4/ref=sr_1_500?qid=1672895894&amp;s=electronics&amp;sr=1-500" TargetMode="External"/><Relationship Id="rId1179" Type="http://schemas.openxmlformats.org/officeDocument/2006/relationships/hyperlink" Target="https://www.amazon.in/Brayden-Portable-Smoothie-Blender-Rechargeable/dp/B07NRTCDS5/ref=sr_1_190?qid=1672923600&amp;s=kitchen&amp;sr=1-190" TargetMode="External"/><Relationship Id="rId1169" Type="http://schemas.openxmlformats.org/officeDocument/2006/relationships/hyperlink" Target="https://www.amazon.in/AGARO-1000-Watt-10-Litre-Cleaner-Function/dp/B083M7WPZD/ref=sr_1_174?qid=1672923600&amp;s=kitchen&amp;sr=1-174" TargetMode="External"/><Relationship Id="rId338" Type="http://schemas.openxmlformats.org/officeDocument/2006/relationships/hyperlink" Target="https://www.amazon.in/20000mAh-Sandstone-Triple-Charging-Delivery/dp/B08HV83HL3/ref=sr_1_6?qid=1672895748&amp;s=electronics&amp;sr=1-6" TargetMode="External"/><Relationship Id="rId337" Type="http://schemas.openxmlformats.org/officeDocument/2006/relationships/hyperlink" Target="https://www.amazon.in/boAt-Wave-Call-Dedicated-Multi-Sport/dp/B0B5B6PQCT/ref=sr_1_5?qid=1672895748&amp;s=electronics&amp;sr=1-5" TargetMode="External"/><Relationship Id="rId579" Type="http://schemas.openxmlformats.org/officeDocument/2006/relationships/hyperlink" Target="https://www.amazon.in/STRIFF-Mobile-Phone-Charging-Charger/dp/B07H1S7XW8/ref=sr_1_482?qid=1672895894&amp;s=electronics&amp;sr=1-482" TargetMode="External"/><Relationship Id="rId336" Type="http://schemas.openxmlformats.org/officeDocument/2006/relationships/hyperlink" Target="https://www.amazon.in/Fire-Boltt-Phoenix-Bluetooth-Calling-Monitoring/dp/B0B3RRWSF6/ref=sr_1_4?qid=1672895748&amp;s=electronics&amp;sr=1-4" TargetMode="External"/><Relationship Id="rId578" Type="http://schemas.openxmlformats.org/officeDocument/2006/relationships/hyperlink" Target="https://www.amazon.in/Ambrane-Multi-Layer-Protection-Li-Polymer-Stylo/dp/B098QXR9X2/ref=sr_1_469?qid=1672895886&amp;s=electronics&amp;sr=1-469" TargetMode="External"/><Relationship Id="rId335" Type="http://schemas.openxmlformats.org/officeDocument/2006/relationships/hyperlink" Target="https://www.amazon.in/Fire-Boltt-Bluetooth-Calling-Assistance-Resolution/dp/B0BF57RN3K/ref=sr_1_1?qid=1672895748&amp;s=electronics&amp;sr=1-1" TargetMode="External"/><Relationship Id="rId577" Type="http://schemas.openxmlformats.org/officeDocument/2006/relationships/hyperlink" Target="https://www.amazon.in/Hoteon-Mobilife-Bluetooth-Extendable-Wireless/dp/B07QCWY5XV/ref=sr_1_463?qid=1672895886&amp;s=electronics&amp;sr=1-463" TargetMode="External"/><Relationship Id="rId339" Type="http://schemas.openxmlformats.org/officeDocument/2006/relationships/hyperlink" Target="https://www.amazon.in/Redmi-Storage-Segment-5000mAh-Battery/dp/B0BBN4DZBD/ref=sr_1_7?qid=1672895748&amp;s=electronics&amp;sr=1-7" TargetMode="External"/><Relationship Id="rId1160" Type="http://schemas.openxmlformats.org/officeDocument/2006/relationships/hyperlink" Target="https://www.amazon.in/Eureka-Forbes-Wet-Dry-Ultimo/dp/B07Z51CGGH/ref=sr_1_166?qid=1672923598&amp;s=kitchen&amp;sr=1-166" TargetMode="External"/><Relationship Id="rId330" Type="http://schemas.openxmlformats.org/officeDocument/2006/relationships/hyperlink" Target="https://www.amazon.in/Airtel-DigitalTV-Setup-Box-Remote/dp/B08PKBMJKS/ref=sr_1_496?qid=1672909149&amp;s=electronics&amp;sr=1-496" TargetMode="External"/><Relationship Id="rId572" Type="http://schemas.openxmlformats.org/officeDocument/2006/relationships/hyperlink" Target="https://www.amazon.in/WeCool-Reinforced-Function-Bluetooth-Compatible/dp/B0B9BXKBC7/ref=sr_1_445?qid=1672895879&amp;s=electronics&amp;sr=1-445" TargetMode="External"/><Relationship Id="rId1161" Type="http://schemas.openxmlformats.org/officeDocument/2006/relationships/hyperlink" Target="https://www.amazon.in/Activa-Heat-Max-Watts-Heater-White/dp/B0BDG6QDYD/ref=sr_1_167?qid=1672923598&amp;s=kitchen&amp;sr=1-167" TargetMode="External"/><Relationship Id="rId571" Type="http://schemas.openxmlformats.org/officeDocument/2006/relationships/hyperlink" Target="https://www.amazon.in/Ambrane-Charging-Neckband-Wireless-ACT/dp/B09YLXYP7Y/ref=sr_1_442?qid=1672895879&amp;s=electronics&amp;sr=1-442" TargetMode="External"/><Relationship Id="rId1162" Type="http://schemas.openxmlformats.org/officeDocument/2006/relationships/hyperlink" Target="https://www.amazon.in/Philips-Collection-HL1655-00-250-Watt/dp/B00YQLG7GK/ref=sr_1_169?qid=1672923598&amp;s=kitchen&amp;sr=1-169" TargetMode="External"/><Relationship Id="rId570" Type="http://schemas.openxmlformats.org/officeDocument/2006/relationships/hyperlink" Target="https://www.amazon.in/Ambrane-ABDC-10-Charging-Transmission-Compatible/dp/B09CMP1SC8/ref=sr_1_439?qid=1672895879&amp;s=electronics&amp;sr=1-439" TargetMode="External"/><Relationship Id="rId1163" Type="http://schemas.openxmlformats.org/officeDocument/2006/relationships/hyperlink" Target="https://www.amazon.in/Bajaj-DX-600-Watt-Light-Weight/dp/B00SMJPA9C/ref=sr_1_170?qid=1672923598&amp;s=kitchen&amp;sr=1-170" TargetMode="External"/><Relationship Id="rId1164" Type="http://schemas.openxmlformats.org/officeDocument/2006/relationships/hyperlink" Target="https://www.amazon.in/V-Guard-Instant-Heating-White-Blue-Warranty/dp/B0B9RN5X8B/ref=sr_1_171?qid=1672923598&amp;s=kitchen&amp;sr=1-171" TargetMode="External"/><Relationship Id="rId334" Type="http://schemas.openxmlformats.org/officeDocument/2006/relationships/hyperlink" Target="https://www.amazon.in/Storite%C2%AE-150cm-Female-Extension-Printers/dp/B00OFM6PEO/ref=sr_1_500?qid=1672909149&amp;s=electronics&amp;sr=1-500" TargetMode="External"/><Relationship Id="rId576" Type="http://schemas.openxmlformats.org/officeDocument/2006/relationships/hyperlink" Target="https://www.amazon.in/Amazon-Basics-Charger-Micro-Cable/dp/B09VGKFM7Y/ref=sr_1_460?qid=1672895886&amp;s=electronics&amp;sr=1-460" TargetMode="External"/><Relationship Id="rId1165" Type="http://schemas.openxmlformats.org/officeDocument/2006/relationships/hyperlink" Target="https://www.amazon.in/Homeistic-Applience-Electric-bathroom-Tankless/dp/B08QW937WV/ref=sr_1_173?qid=1672923598&amp;s=kitchen&amp;sr=1-173" TargetMode="External"/><Relationship Id="rId333" Type="http://schemas.openxmlformats.org/officeDocument/2006/relationships/hyperlink" Target="https://www.amazon.in/138-8-inches-Ultra-Android-L55M6-ES/dp/B09RWQ7YR6/ref=sr_1_499?qid=1672909149&amp;s=electronics&amp;sr=1-499" TargetMode="External"/><Relationship Id="rId575" Type="http://schemas.openxmlformats.org/officeDocument/2006/relationships/hyperlink" Target="https://www.amazon.in/Fire-Boltt-Smartwatch-Resolution-Connection-Assistance/dp/B0B3NDPCS9/ref=sr_1_459?qid=1672895886&amp;s=electronics&amp;sr=1-459" TargetMode="External"/><Relationship Id="rId1166" Type="http://schemas.openxmlformats.org/officeDocument/2006/relationships/hyperlink" Target="https://www.amazon.in/Kitchenwell-Plastic-Keeping-Kitchen-Multi-Color/dp/B0B4PPD89B/ref=sr_1_174?qid=1672923598&amp;s=kitchen&amp;sr=1-174" TargetMode="External"/><Relationship Id="rId332" Type="http://schemas.openxmlformats.org/officeDocument/2006/relationships/hyperlink" Target="https://www.amazon.in/ESR-Lightning-MFi-Certified-Delivery-Charging/dp/B086JTMRYL/ref=sr_1_498?qid=1672909149&amp;s=electronics&amp;sr=1-498" TargetMode="External"/><Relationship Id="rId574" Type="http://schemas.openxmlformats.org/officeDocument/2006/relationships/hyperlink" Target="https://www.amazon.in/Noise-ColorFit-Monitoring-Smartwatches-Electric/dp/B09NVPJ3P4/ref=sr_1_457?qid=1672895886&amp;s=electronics&amp;sr=1-457" TargetMode="External"/><Relationship Id="rId1167" Type="http://schemas.openxmlformats.org/officeDocument/2006/relationships/hyperlink" Target="https://www.amazon.in/Havells-Instanio-Storage-Heater-installation/dp/B08GM5S4CQ/ref=sr_1_172?qid=1672923600&amp;s=kitchen&amp;sr=1-172" TargetMode="External"/><Relationship Id="rId331" Type="http://schemas.openxmlformats.org/officeDocument/2006/relationships/hyperlink" Target="https://www.amazon.in/Airtel-Pack-Entertainment-Installation-Months/dp/B0B8VQ7KDS/ref=sr_1_497?qid=1672909149&amp;s=electronics&amp;sr=1-497" TargetMode="External"/><Relationship Id="rId573" Type="http://schemas.openxmlformats.org/officeDocument/2006/relationships/hyperlink" Target="https://www.amazon.in/POCO-C31-Royal-Blue-RAM/dp/B09NY6TRXG/ref=sr_1_455?qid=1672895879&amp;s=electronics&amp;sr=1-455" TargetMode="External"/><Relationship Id="rId1168" Type="http://schemas.openxmlformats.org/officeDocument/2006/relationships/hyperlink" Target="https://www.amazon.in/Prestige-1900-Induction-Cooktop-button/dp/B00NM6MO26/ref=sr_1_173?qid=1672923600&amp;s=kitchen&amp;sr=1-173" TargetMode="External"/><Relationship Id="rId370" Type="http://schemas.openxmlformats.org/officeDocument/2006/relationships/hyperlink" Target="https://www.amazon.in/Wayona-Braided-WN3LG1-Syncing-Charging/dp/B07JW9H4J1/ref=sr_1_38?qid=1672895755&amp;s=electronics&amp;sr=1-38" TargetMode="External"/><Relationship Id="rId129" Type="http://schemas.openxmlformats.org/officeDocument/2006/relationships/hyperlink" Target="https://www.amazon.in/7SEVENTM-Universal-Replacement-Original-AKB75095303/dp/B09MM6P76N/ref=sr_1_143?qid=1672909130&amp;s=electronics&amp;sr=1-143" TargetMode="External"/><Relationship Id="rId128" Type="http://schemas.openxmlformats.org/officeDocument/2006/relationships/hyperlink" Target="https://www.amazon.in/iFFALCON-inches-Ready-Smart-TV-32F53/dp/B09X1M3DHX/ref=sr_1_142?qid=1672909130&amp;s=electronics&amp;sr=1-142" TargetMode="External"/><Relationship Id="rId127" Type="http://schemas.openxmlformats.org/officeDocument/2006/relationships/hyperlink" Target="https://www.amazon.in/AmazonBasics-Speed-Female-Extension-Cable/dp/B01D5H8ZI8/ref=sr_1_141?qid=1672909130&amp;s=electronics&amp;sr=1-141" TargetMode="External"/><Relationship Id="rId369" Type="http://schemas.openxmlformats.org/officeDocument/2006/relationships/hyperlink" Target="https://www.amazon.in/Fire-Boltt-Bluetooth-Calling-Assistance-Resolution/dp/B0BF563HB4/ref=sr_1_37?qid=1672895755&amp;s=electronics&amp;sr=1-37" TargetMode="External"/><Relationship Id="rId126" Type="http://schemas.openxmlformats.org/officeDocument/2006/relationships/hyperlink" Target="https://www.amazon.in/AmazonBasics-6-Feet-DisplayPort-port-Cable/dp/B015OW3M1W/ref=sr_1_140?qid=1672909130&amp;s=electronics&amp;sr=1-140" TargetMode="External"/><Relationship Id="rId368" Type="http://schemas.openxmlformats.org/officeDocument/2006/relationships/hyperlink" Target="https://www.amazon.in/iQOO-Chromatic-Storage-Snapdragon-Processor/dp/B07WGMMQGP/ref=sr_1_36?qid=1672895755&amp;s=electronics&amp;sr=1-36" TargetMode="External"/><Relationship Id="rId1190" Type="http://schemas.openxmlformats.org/officeDocument/2006/relationships/hyperlink" Target="https://www.amazon.in/Tosaa-Nonstick-Sandwich-Toaster-Regular/dp/B07RX42D3D/ref=sr_1_200?qid=1672923601&amp;s=kitchen&amp;sr=1-200" TargetMode="External"/><Relationship Id="rId1191" Type="http://schemas.openxmlformats.org/officeDocument/2006/relationships/hyperlink" Target="https://www.amazon.in/V-Guard-Divino-Storage-15-Vertical/dp/B08WRKSF9D/ref=sr_1_201?qid=1672923601&amp;s=kitchen&amp;sr=1-201" TargetMode="External"/><Relationship Id="rId1192" Type="http://schemas.openxmlformats.org/officeDocument/2006/relationships/hyperlink" Target="https://www.amazon.in/akiara-Machine-Stitching-extension-adapter/dp/B09R83SFYV/ref=sr_1_202?qid=1672923601&amp;s=kitchen&amp;sr=1-202" TargetMode="External"/><Relationship Id="rId1193" Type="http://schemas.openxmlformats.org/officeDocument/2006/relationships/hyperlink" Target="https://www.amazon.in/Usha-Steam-3713-1300-Watt-White/dp/B07989VV5K/ref=sr_1_203?qid=1672923601&amp;s=kitchen&amp;sr=1-203" TargetMode="External"/><Relationship Id="rId121" Type="http://schemas.openxmlformats.org/officeDocument/2006/relationships/hyperlink" Target="https://www.amazon.in/Belkin-Lightning-Unbreakable-Braided-Charging/dp/B084MZXJNK/ref=sr_1_134?qid=1672909130&amp;s=electronics&amp;sr=1-134" TargetMode="External"/><Relationship Id="rId363" Type="http://schemas.openxmlformats.org/officeDocument/2006/relationships/hyperlink" Target="https://www.amazon.in/SanDisk-Ultra-microSD-UHS-I-120MB/dp/B08L5HMJVW/ref=sr_1_31?qid=1672895755&amp;s=electronics&amp;sr=1-31" TargetMode="External"/><Relationship Id="rId1194" Type="http://schemas.openxmlformats.org/officeDocument/2006/relationships/hyperlink" Target="https://www.amazon.in/Wonderchef-Nutri-Blend-CKM-Jars-Black/dp/B07FL3WRX5/ref=sr_1_204?qid=1672923601&amp;s=kitchen&amp;sr=1-204" TargetMode="External"/><Relationship Id="rId120" Type="http://schemas.openxmlformats.org/officeDocument/2006/relationships/hyperlink" Target="https://www.amazon.in/Portronics-Konnect-Functional-Resistant-Braided/dp/B0B21C4BMX/ref=sr_1_133?qid=1672909130&amp;s=electronics&amp;sr=1-133" TargetMode="External"/><Relationship Id="rId362" Type="http://schemas.openxmlformats.org/officeDocument/2006/relationships/hyperlink" Target="https://www.amazon.in/Samsung-Mystique-Storage-Purchased-Separately/dp/B09TWHTBKQ/ref=sr_1_30?qid=1672895755&amp;s=electronics&amp;sr=1-30" TargetMode="External"/><Relationship Id="rId1195" Type="http://schemas.openxmlformats.org/officeDocument/2006/relationships/hyperlink" Target="https://www.amazon.in/WIDEWINGS-Electric-Handheld-Frother-Blender/dp/B0BPCJM7TB/ref=sr_1_205?qid=1672923601&amp;s=kitchen&amp;sr=1-205" TargetMode="External"/><Relationship Id="rId361" Type="http://schemas.openxmlformats.org/officeDocument/2006/relationships/hyperlink" Target="https://www.amazon.in/Fire-Boltt-Ninja-Smartwatch-Sports-Tracking/dp/B09YV4RG4D/ref=sr_1_29?qid=1672895755&amp;s=electronics&amp;sr=1-29" TargetMode="External"/><Relationship Id="rId1196" Type="http://schemas.openxmlformats.org/officeDocument/2006/relationships/hyperlink" Target="https://www.amazon.in/Morphy-Richards-Icon-Superb-Grinder/dp/B08H673XKN/ref=sr_1_206?qid=1672923601&amp;s=kitchen&amp;sr=1-206" TargetMode="External"/><Relationship Id="rId360" Type="http://schemas.openxmlformats.org/officeDocument/2006/relationships/hyperlink" Target="https://www.amazon.in/Noise-ColorFit-Display-Monitoring-Smartwatches/dp/B09NVPSCQT/ref=sr_1_28?qid=1672895755&amp;s=electronics&amp;sr=1-28" TargetMode="External"/><Relationship Id="rId1197" Type="http://schemas.openxmlformats.org/officeDocument/2006/relationships/hyperlink" Target="https://www.amazon.in/Philips-Handheld-Garment-Steamer-Purple/dp/B07DXRGWDJ/ref=sr_1_207?qid=1672923601&amp;s=kitchen&amp;sr=1-207" TargetMode="External"/><Relationship Id="rId125" Type="http://schemas.openxmlformats.org/officeDocument/2006/relationships/hyperlink" Target="https://www.amazon.in/Redmi-inches-Ultra-Android-L50M6-RA/dp/B08Y55LPBF/ref=sr_1_138?qid=1672909130&amp;s=electronics&amp;sr=1-138" TargetMode="External"/><Relationship Id="rId367" Type="http://schemas.openxmlformats.org/officeDocument/2006/relationships/hyperlink" Target="https://www.amazon.in/Samsung-Storage-6000mAh-Purchased-Separately/dp/B09TWH8YHM/ref=sr_1_35?qid=1672895755&amp;s=electronics&amp;sr=1-35" TargetMode="External"/><Relationship Id="rId1198" Type="http://schemas.openxmlformats.org/officeDocument/2006/relationships/hyperlink" Target="https://www.amazon.in/Vedini-Refillable-Spray-Bottle-Transparent/dp/B08243SKCK/ref=sr_1_212?qid=1672923601&amp;s=kitchen&amp;sr=1-212" TargetMode="External"/><Relationship Id="rId124" Type="http://schemas.openxmlformats.org/officeDocument/2006/relationships/hyperlink" Target="https://www.amazon.in/Hisense-inches-Certified-Android-43A6GE/dp/B099K9ZX65/ref=sr_1_137?qid=1672909130&amp;s=electronics&amp;sr=1-137" TargetMode="External"/><Relationship Id="rId366" Type="http://schemas.openxmlformats.org/officeDocument/2006/relationships/hyperlink" Target="https://www.amazon.in/Fire-Boltt-Smartwatch-Bluetooth-Calling-Assistance/dp/B09YV4MW2T/ref=sr_1_34?qid=1672895755&amp;s=electronics&amp;sr=1-34" TargetMode="External"/><Relationship Id="rId1199" Type="http://schemas.openxmlformats.org/officeDocument/2006/relationships/hyperlink" Target="https://www.amazon.in/CROMPTON-Sapphira-Ultra-Ceiling-Lustre/dp/B09SPTNG58/ref=sr_1_213?qid=1672923601&amp;s=kitchen&amp;sr=1-213" TargetMode="External"/><Relationship Id="rId123" Type="http://schemas.openxmlformats.org/officeDocument/2006/relationships/hyperlink" Target="https://www.amazon.in/VW-Playwall-Frameless-Android-VW3251/dp/B0B16KD737/ref=sr_1_136?qid=1672909130&amp;s=electronics&amp;sr=1-136" TargetMode="External"/><Relationship Id="rId365" Type="http://schemas.openxmlformats.org/officeDocument/2006/relationships/hyperlink" Target="https://www.amazon.in/Fire-Boltt-Bluetooth-Calling-Assistance-Resolution/dp/B0BF54972T/ref=sr_1_33?qid=1672895755&amp;s=electronics&amp;sr=1-33" TargetMode="External"/><Relationship Id="rId122" Type="http://schemas.openxmlformats.org/officeDocument/2006/relationships/hyperlink" Target="https://www.amazon.in/Remote-Control-Compatible-Amazon-basesailor/dp/B0BHZCNC4P/ref=sr_1_135?qid=1672909130&amp;s=electronics&amp;sr=1-135" TargetMode="External"/><Relationship Id="rId364" Type="http://schemas.openxmlformats.org/officeDocument/2006/relationships/hyperlink" Target="https://www.amazon.in/Samsung-Galaxy-Storage-6000mAh-Battery/dp/B0B4F2XCK3/ref=sr_1_32?qid=1672895755&amp;s=electronics&amp;sr=1-32" TargetMode="External"/><Relationship Id="rId95" Type="http://schemas.openxmlformats.org/officeDocument/2006/relationships/hyperlink" Target="https://www.amazon.in/TCL-inches-Certified-Android-40S6505/dp/B09T3KB6JZ/ref=sr_1_103?qid=1672909129&amp;s=electronics&amp;sr=1-103" TargetMode="External"/><Relationship Id="rId94" Type="http://schemas.openxmlformats.org/officeDocument/2006/relationships/hyperlink" Target="https://www.amazon.in/Lapster-Micro-SuperSpeed-hard-cable/dp/B09VT6JKRP/ref=sr_1_102?qid=1672909129&amp;s=electronics&amp;sr=1-102" TargetMode="External"/><Relationship Id="rId97" Type="http://schemas.openxmlformats.org/officeDocument/2006/relationships/hyperlink" Target="https://www.amazon.in/LOHAYA-Remote-Compatible-Control-Please/dp/B093ZNQZ2Y/ref=sr_1_108?qid=1672909129&amp;s=electronics&amp;sr=1-108" TargetMode="External"/><Relationship Id="rId96" Type="http://schemas.openxmlformats.org/officeDocument/2006/relationships/hyperlink" Target="https://www.amazon.in/ZEBRONICS-ZEB-USB150WF1-Supports-encryption-Standards/dp/B093QCY6YJ/ref=sr_1_104?qid=1672909129&amp;s=electronics&amp;sr=1-104" TargetMode="External"/><Relationship Id="rId99" Type="http://schemas.openxmlformats.org/officeDocument/2006/relationships/hyperlink" Target="https://www.amazon.in/TP-Link-TL-UE300-Gigabit-Ethernet-Network/dp/B00V4BGDKU/ref=sr_1_110?qid=1672909129&amp;s=electronics&amp;sr=1-110" TargetMode="External"/><Relationship Id="rId98" Type="http://schemas.openxmlformats.org/officeDocument/2006/relationships/hyperlink" Target="https://www.amazon.in/Gilary-Charging-Braided-Magnetic-Charger/dp/B08LKS3LSP/ref=sr_1_109?qid=1672909129&amp;s=electronics&amp;sr=1-109" TargetMode="External"/><Relationship Id="rId91" Type="http://schemas.openxmlformats.org/officeDocument/2006/relationships/hyperlink" Target="https://www.amazon.in/Receiver-300Mbps-802-11b-Wireless-Network/dp/B0141EZMAI/ref=sr_1_99?qid=1672909129&amp;s=electronics&amp;sr=1-99" TargetMode="External"/><Relationship Id="rId90" Type="http://schemas.openxmlformats.org/officeDocument/2006/relationships/hyperlink" Target="https://www.amazon.in/Wayona-Braided-WN3LG2-Syncing-Charging/dp/B07JH1C41D/ref=sr_1_98?qid=1672909129&amp;s=electronics&amp;sr=1-98" TargetMode="External"/><Relationship Id="rId93" Type="http://schemas.openxmlformats.org/officeDocument/2006/relationships/hyperlink" Target="https://www.amazon.in/Deuce-300-Resistant-Transmission-Mercurial/dp/B08HDH26JX/ref=sr_1_101?qid=1672909129&amp;s=electronics&amp;sr=1-101" TargetMode="External"/><Relationship Id="rId92" Type="http://schemas.openxmlformats.org/officeDocument/2006/relationships/hyperlink" Target="https://www.amazon.in/OnePlus-inches-Smart-Android-Black/dp/B09Q5P2MT3/ref=sr_1_100?qid=1672909129&amp;s=electronics&amp;sr=1-100" TargetMode="External"/><Relationship Id="rId118" Type="http://schemas.openxmlformats.org/officeDocument/2006/relationships/hyperlink" Target="https://www.amazon.in/Retractable-Multiple-Charging-Compatible-Smartphones/dp/B08RP2L2NL/ref=sr_1_131?qid=1672909130&amp;s=electronics&amp;sr=1-131" TargetMode="External"/><Relationship Id="rId117" Type="http://schemas.openxmlformats.org/officeDocument/2006/relationships/hyperlink" Target="https://www.amazon.in/Electvision-Remote-Control-Compatible-Pairing/dp/B09DDCQFMT/ref=sr_1_130?qid=1672909130&amp;s=electronics&amp;sr=1-130" TargetMode="External"/><Relationship Id="rId359" Type="http://schemas.openxmlformats.org/officeDocument/2006/relationships/hyperlink" Target="https://www.amazon.in/Samsung-25W-Travel-Adapter/dp/B08VFF6JQ8/ref=sr_1_27_mod_primary_new?qid=1672895755&amp;s=electronics&amp;sbo=RZvfv%2F%2FHxDF%2BO5021pAnSA%3D%3D&amp;sr=1-27" TargetMode="External"/><Relationship Id="rId116" Type="http://schemas.openxmlformats.org/officeDocument/2006/relationships/hyperlink" Target="https://www.amazon.in/Portronics-Konnect-POR-1403-Charging-Function/dp/B09KH58JZR/ref=sr_1_129?qid=1672909130&amp;s=electronics&amp;sr=1-129" TargetMode="External"/><Relationship Id="rId358" Type="http://schemas.openxmlformats.org/officeDocument/2006/relationships/hyperlink" Target="https://www.amazon.in/Adjustable-Holder-Universal-Windshield-Smartphones/dp/B0746JGVDS/ref=sr_1_26?qid=1672895755&amp;s=electronics&amp;sr=1-26" TargetMode="External"/><Relationship Id="rId115" Type="http://schemas.openxmlformats.org/officeDocument/2006/relationships/hyperlink" Target="https://www.amazon.in/Cotbolt-Silicone-Protective-Shockproof-Waterproof/dp/B09TT6BFDX/ref=sr_1_127?qid=1672909130&amp;s=electronics&amp;sr=1-127" TargetMode="External"/><Relationship Id="rId357" Type="http://schemas.openxmlformats.org/officeDocument/2006/relationships/hyperlink" Target="https://www.amazon.in/10000mAH-Li-Polymer-Power-Charging-Midnight/dp/B08HVL8QN3/ref=sr_1_25?qid=1672895755&amp;s=electronics&amp;sr=1-25" TargetMode="External"/><Relationship Id="rId599" Type="http://schemas.openxmlformats.org/officeDocument/2006/relationships/hyperlink" Target="https://www.amazon.in/JBL-C100SI-Ear-Headphones-Black/dp/B01DEWVZ2C/ref=sr_1_15?qid=1672902995&amp;s=computers&amp;sr=1-15" TargetMode="External"/><Relationship Id="rId1180" Type="http://schemas.openxmlformats.org/officeDocument/2006/relationships/hyperlink" Target="https://www.amazon.in/Bajaj-Frore-1200-Brown-Ceiling/dp/B07SPVMSC6/ref=sr_1_192?qid=1672923600&amp;s=kitchen&amp;sr=1-192" TargetMode="External"/><Relationship Id="rId1181" Type="http://schemas.openxmlformats.org/officeDocument/2006/relationships/hyperlink" Target="https://www.amazon.in/Venus-Weighing-Warranty-Included-Capacity/dp/B09H3BXWTK/ref=sr_1_193?qid=1672923600&amp;s=kitchen&amp;sr=1-193" TargetMode="External"/><Relationship Id="rId119" Type="http://schemas.openxmlformats.org/officeDocument/2006/relationships/hyperlink" Target="https://www.amazon.in/Lapster-camera-usb2-0-External-Readers/dp/B0B4G2MWSB/ref=sr_1_132?qid=1672909130&amp;s=electronics&amp;sr=1-132" TargetMode="External"/><Relationship Id="rId1182" Type="http://schemas.openxmlformats.org/officeDocument/2006/relationships/hyperlink" Target="https://www.amazon.in/Bajaj-ATX-750-Watt-Pop-up-Toaster/dp/B0073QGKAS/ref=sr_1_194?qid=1672923600&amp;s=kitchen&amp;sr=1-194" TargetMode="External"/><Relationship Id="rId110" Type="http://schemas.openxmlformats.org/officeDocument/2006/relationships/hyperlink" Target="https://www.amazon.in/Solero-T241-Charging-480Mbps-Durable/dp/B08Y5KXR6Z/ref=sr_1_122?qid=1672909130&amp;s=electronics&amp;sr=1-122" TargetMode="External"/><Relationship Id="rId352" Type="http://schemas.openxmlformats.org/officeDocument/2006/relationships/hyperlink" Target="https://www.amazon.in/PTron-Bullet-Pro-Lightweight-Smartphones/dp/B07WG8PDCW/ref=sr_1_20?qid=1672895748&amp;s=electronics&amp;sr=1-20" TargetMode="External"/><Relationship Id="rId594" Type="http://schemas.openxmlformats.org/officeDocument/2006/relationships/hyperlink" Target="https://www.amazon.in/SanDisk-Ultra%C2%AE-microSDXCTM-Warranty-Smartphones/dp/B0BDRVFDKP/ref=sr_1_10?qid=1672902995&amp;s=computers&amp;sr=1-10" TargetMode="External"/><Relationship Id="rId1183" Type="http://schemas.openxmlformats.org/officeDocument/2006/relationships/hyperlink" Target="https://www.amazon.in/Coway-Professional-Purifier-Anti-Virus-AP-1019C/dp/B08GJ57MKL/ref=sr_1_195?qid=1672923600&amp;s=kitchen&amp;sr=1-195" TargetMode="External"/><Relationship Id="rId351" Type="http://schemas.openxmlformats.org/officeDocument/2006/relationships/hyperlink" Target="https://www.amazon.in/Redmi-Charcoal-Storage-Battery-Booster/dp/B09XB8GFBQ/ref=sr_1_19?qid=1672895748&amp;s=electronics&amp;sr=1-19" TargetMode="External"/><Relationship Id="rId593" Type="http://schemas.openxmlformats.org/officeDocument/2006/relationships/hyperlink" Target="https://www.amazon.in/SKE-Portable-Multifunction-Laptop-Table-Children/dp/B0B72BSW7K/ref=sr_1_9?qid=1672902995&amp;s=computers&amp;sr=1-9" TargetMode="External"/><Relationship Id="rId1184" Type="http://schemas.openxmlformats.org/officeDocument/2006/relationships/hyperlink" Target="https://www.amazon.in/Gold-Optima-10-Litres-Non-electric-Purifier/dp/B009DA69W6/ref=sr_1_196?qid=1672923600&amp;s=kitchen&amp;sr=1-196" TargetMode="External"/><Relationship Id="rId350" Type="http://schemas.openxmlformats.org/officeDocument/2006/relationships/hyperlink" Target="https://www.amazon.in/Tangentbeat-Bluetooth-Headphones-Waterproof-Cancelation/dp/B08D77XZX5/ref=sr_1_18?qid=1672895748&amp;s=electronics&amp;sr=1-18" TargetMode="External"/><Relationship Id="rId592" Type="http://schemas.openxmlformats.org/officeDocument/2006/relationships/hyperlink" Target="https://www.amazon.in/Airdopes-121v2-Bluetooth-Immersive-Assistant/dp/B08JQN8DGZ/ref=sr_1_8?qid=1672902995&amp;s=computers&amp;sr=1-8" TargetMode="External"/><Relationship Id="rId1185" Type="http://schemas.openxmlformats.org/officeDocument/2006/relationships/hyperlink" Target="https://www.amazon.in/HOMEPACK%C2%AE-Radiant-Office-Heaters-Portable/dp/B099PR2GQJ/ref=sr_1_197?qid=1672923600&amp;s=kitchen&amp;sr=1-197" TargetMode="External"/><Relationship Id="rId591" Type="http://schemas.openxmlformats.org/officeDocument/2006/relationships/hyperlink" Target="https://www.amazon.in/Storio-Writing-Tablet-8-5Inch-Birthday/dp/B09CTRPSJR/ref=sr_1_7?qid=1672902995&amp;s=computers&amp;sr=1-7" TargetMode="External"/><Relationship Id="rId1186" Type="http://schemas.openxmlformats.org/officeDocument/2006/relationships/hyperlink" Target="https://www.amazon.in/Bajaj-Rex-Mixer-Grinder-White/dp/B08G8H8DPL/ref=sr_1_198?qid=1672923600&amp;s=kitchen&amp;sr=1-198" TargetMode="External"/><Relationship Id="rId114" Type="http://schemas.openxmlformats.org/officeDocument/2006/relationships/hyperlink" Target="https://www.amazon.in/boAt-A750-Resistant-Tangle-free-Transmission/dp/B09RX1FK54/ref=sr_1_126?qid=1672909130&amp;s=electronics&amp;sr=1-126" TargetMode="External"/><Relationship Id="rId356" Type="http://schemas.openxmlformats.org/officeDocument/2006/relationships/hyperlink" Target="https://www.amazon.in/Pocket-10000mAh-Triple-Charging-Delivery/dp/B08MC57J31/ref=sr_1_24?qid=1672895748&amp;s=electronics&amp;sr=1-24" TargetMode="External"/><Relationship Id="rId598" Type="http://schemas.openxmlformats.org/officeDocument/2006/relationships/hyperlink" Target="https://www.amazon.in/Zebronics-Zeb-Bro-Wired-Earphone/dp/B07T5DKR5D/ref=sr_1_14?qid=1672902995&amp;s=computers&amp;sr=1-14" TargetMode="External"/><Relationship Id="rId1187" Type="http://schemas.openxmlformats.org/officeDocument/2006/relationships/hyperlink" Target="https://www.amazon.in/Heart-Home-Foldable-Organiser-HEARTXY11447/dp/B08VGM3YMF/ref=sr_1_196?qid=1672923601&amp;s=kitchen&amp;sr=1-196" TargetMode="External"/><Relationship Id="rId113" Type="http://schemas.openxmlformats.org/officeDocument/2006/relationships/hyperlink" Target="https://www.amazon.in/LG-inches-Ready-32LQ576BPSA-Ceramic/dp/B09YL9SN9B/ref=sr_1_125?qid=1672909130&amp;s=electronics&amp;sr=1-125" TargetMode="External"/><Relationship Id="rId355" Type="http://schemas.openxmlformats.org/officeDocument/2006/relationships/hyperlink" Target="https://www.amazon.in/Samsung-Galaxy-Storage-MediaTek-Battery/dp/B0BMGB2TPR/ref=sr_1_23?qid=1672895748&amp;s=electronics&amp;sr=1-23" TargetMode="External"/><Relationship Id="rId597" Type="http://schemas.openxmlformats.org/officeDocument/2006/relationships/hyperlink" Target="https://www.amazon.in/STRIFF-Adjustable-Patented-Ventilated-Compatible/dp/B07XCM6T4N/ref=sr_1_13?qid=1672902995&amp;s=computers&amp;sr=1-13" TargetMode="External"/><Relationship Id="rId1188" Type="http://schemas.openxmlformats.org/officeDocument/2006/relationships/hyperlink" Target="https://www.amazon.in/MILTON-Smart-Egg-Boiler-Transparent/dp/B08TTRVWKY/ref=sr_1_197?qid=1672923601&amp;s=kitchen&amp;sr=1-197" TargetMode="External"/><Relationship Id="rId112" Type="http://schemas.openxmlformats.org/officeDocument/2006/relationships/hyperlink" Target="https://www.amazon.in/boAt-Type-c-A400-Cable-Carbon/dp/B0974G5Q2Y/ref=sr_1_124?qid=1672909130&amp;s=electronics&amp;sr=1-124" TargetMode="External"/><Relationship Id="rId354" Type="http://schemas.openxmlformats.org/officeDocument/2006/relationships/hyperlink" Target="https://www.amazon.in/SanDisk-Ultra%C2%AE-microSDXCTM-Warranty-Smartphones/dp/B0BDYVC5TD/ref=sr_1_22?qid=1672895748&amp;s=electronics&amp;sr=1-22" TargetMode="External"/><Relationship Id="rId596" Type="http://schemas.openxmlformats.org/officeDocument/2006/relationships/hyperlink" Target="https://www.amazon.in/boAt-Rockerz-255-Pro-Earphones/dp/B08TV2P1N8/ref=sr_1_12?qid=1672902995&amp;s=computers&amp;sr=1-12" TargetMode="External"/><Relationship Id="rId1189" Type="http://schemas.openxmlformats.org/officeDocument/2006/relationships/hyperlink" Target="https://www.amazon.in/Premium-Stainless-Electric-Cut-Off-Feature/dp/B07T4D9FNY/ref=sr_1_199?qid=1672923601&amp;s=kitchen&amp;sr=1-199" TargetMode="External"/><Relationship Id="rId111" Type="http://schemas.openxmlformats.org/officeDocument/2006/relationships/hyperlink" Target="https://www.amazon.in/Croma-Inches-Ready-CREL7369-Black/dp/B09F6VHQXB/ref=sr_1_123?qid=1672909130&amp;s=electronics&amp;sr=1-123" TargetMode="External"/><Relationship Id="rId353" Type="http://schemas.openxmlformats.org/officeDocument/2006/relationships/hyperlink" Target="https://www.amazon.in/Boat-BassHeads-100-Inspired-Earphones/dp/B07GPXXNNG/ref=sr_1_21?qid=1672895748&amp;s=electronics&amp;sr=1-21" TargetMode="External"/><Relationship Id="rId595" Type="http://schemas.openxmlformats.org/officeDocument/2006/relationships/hyperlink" Target="https://www.amazon.in/Noise-Bluetooth-Calling-Tracking-Detection/dp/B0B5LVS732/ref=sr_1_11?qid=1672902995&amp;s=computers&amp;sr=1-11" TargetMode="External"/><Relationship Id="rId1136" Type="http://schemas.openxmlformats.org/officeDocument/2006/relationships/hyperlink" Target="https://www.amazon.in/InstaCuppa-Portable-Smoothie-Crushing-Rechargeable/dp/B09NTHQRW3/ref=sr_1_140?qid=1672923597&amp;s=kitchen&amp;sr=1-140" TargetMode="External"/><Relationship Id="rId1378" Type="http://schemas.openxmlformats.org/officeDocument/2006/relationships/hyperlink" Target="https://www.amazon.in/Havells-Dzire-1000-Watt-Iron-Mint/dp/B07LDN9Q2P/ref=sr_1_406?qid=1672923612&amp;s=kitchen&amp;sr=1-406" TargetMode="External"/><Relationship Id="rId1137" Type="http://schemas.openxmlformats.org/officeDocument/2006/relationships/hyperlink" Target="https://www.amazon.in/Usha-EI-1602-1000-Watt-Lightweight/dp/B008YW3CYM/ref=sr_1_141?qid=1672923597&amp;s=kitchen&amp;sr=1-141" TargetMode="External"/><Relationship Id="rId1379" Type="http://schemas.openxmlformats.org/officeDocument/2006/relationships/hyperlink" Target="https://www.amazon.in/Tvara-Enterprise-Instant-Electric-Heating/dp/B08T8KWNQ9/ref=sr_1_407?qid=1672923612&amp;s=kitchen&amp;sr=1-407" TargetMode="External"/><Relationship Id="rId1138" Type="http://schemas.openxmlformats.org/officeDocument/2006/relationships/hyperlink" Target="https://www.amazon.in/Kent-KENT-Hand-Blender/dp/B07QHHCB27/ref=sr_1_142?qid=1672923597&amp;s=kitchen&amp;sr=1-142" TargetMode="External"/><Relationship Id="rId1139" Type="http://schemas.openxmlformats.org/officeDocument/2006/relationships/hyperlink" Target="https://www.amazon.in/White-Feather-Portable-Sealing-Multicolor/dp/B0BMFD94VD/ref=sr_1_143?qid=1672923597&amp;s=kitchen&amp;sr=1-143" TargetMode="External"/><Relationship Id="rId305" Type="http://schemas.openxmlformats.org/officeDocument/2006/relationships/hyperlink" Target="https://www.amazon.in/LS-LAPSTER-Quality-Assured-Biometric/dp/B0B61GCHC1/ref=sr_1_471?qid=1672909147&amp;s=electronics&amp;sr=1-471" TargetMode="External"/><Relationship Id="rId547" Type="http://schemas.openxmlformats.org/officeDocument/2006/relationships/hyperlink" Target="https://www.amazon.in/POCO-C31-Shadow-Gray-RAM/dp/B09NY7W8YD/ref=sr_1_353?qid=1672895850&amp;s=electronics&amp;sr=1-353" TargetMode="External"/><Relationship Id="rId789" Type="http://schemas.openxmlformats.org/officeDocument/2006/relationships/hyperlink" Target="https://www.amazon.in/SanDisk-Ultra-UHS-I-Memory-SDSDUN4-032G-GN6IN/dp/B08GYG6T12/ref=sr_1_223?qid=1672903006&amp;s=computers&amp;sr=1-223" TargetMode="External"/><Relationship Id="rId304" Type="http://schemas.openxmlformats.org/officeDocument/2006/relationships/hyperlink" Target="https://www.amazon.in/NK-STAR-USB-Wireless-Receiver/dp/B08G43CCLC/ref=sr_1_470?qid=1672909147&amp;s=electronics&amp;sr=1-470" TargetMode="External"/><Relationship Id="rId546" Type="http://schemas.openxmlformats.org/officeDocument/2006/relationships/hyperlink" Target="https://www.amazon.in/SHREENOVA-Bluetooth-Fitness-Activity-Tracker/dp/B0BBVKRP7B/ref=sr_1_338?qid=1672895850&amp;s=electronics&amp;sr=1-338" TargetMode="External"/><Relationship Id="rId788" Type="http://schemas.openxmlformats.org/officeDocument/2006/relationships/hyperlink" Target="https://www.amazon.in/Essentials-G11-Earphone-Carrying-Earphones/dp/B07DKZCZ89/ref=sr_1_222?qid=1672903006&amp;s=computers&amp;sr=1-222" TargetMode="External"/><Relationship Id="rId303" Type="http://schemas.openxmlformats.org/officeDocument/2006/relationships/hyperlink" Target="https://www.amazon.in/Technotech-High-Speed-Cable-Meter/dp/B016MDK4F4/ref=sr_1_469?qid=1672909147&amp;s=electronics&amp;sr=1-469" TargetMode="External"/><Relationship Id="rId545" Type="http://schemas.openxmlformats.org/officeDocument/2006/relationships/hyperlink" Target="https://www.amazon.in/iQOO-Sunset-Storage-Qualcomm-Snapdragon/dp/B07WHS7MZ1/ref=sr_1_336?qid=1672895842&amp;s=electronics&amp;sr=1-336" TargetMode="External"/><Relationship Id="rId787" Type="http://schemas.openxmlformats.org/officeDocument/2006/relationships/hyperlink" Target="https://www.amazon.in/Lapster-Gaming-Nonslip-Laptop-Computer/dp/B0B2PQL5N3/ref=sr_1_221?qid=1672903006&amp;s=computers&amp;sr=1-221" TargetMode="External"/><Relationship Id="rId302" Type="http://schemas.openxmlformats.org/officeDocument/2006/relationships/hyperlink" Target="https://www.amazon.in/Tizum-10-2Gbps-Speed-Plated-Cable/dp/B01M5967SY/ref=sr_1_468?qid=1672909147&amp;s=electronics&amp;sr=1-468" TargetMode="External"/><Relationship Id="rId544" Type="http://schemas.openxmlformats.org/officeDocument/2006/relationships/hyperlink" Target="https://www.amazon.in/Samsung-Storage-sAmoled-Purchased-Separately/dp/B09XJ5LD6L/ref=sr_1_333?qid=1672895842&amp;s=electronics&amp;sr=1-333" TargetMode="External"/><Relationship Id="rId786" Type="http://schemas.openxmlformats.org/officeDocument/2006/relationships/hyperlink" Target="https://www.amazon.in/Noise-Wireless-Equalizer-Resistance-Bluetooth/dp/B098R25TGC/ref=sr_1_220?qid=1672903006&amp;s=computers&amp;sr=1-220" TargetMode="External"/><Relationship Id="rId309" Type="http://schemas.openxmlformats.org/officeDocument/2006/relationships/hyperlink" Target="https://www.amazon.in/Sansui-inches-JSY32SKHD-Bezel-less-Design/dp/B09NNJ9WYM/ref=sr_1_475?qid=1672909147&amp;s=electronics&amp;sr=1-475" TargetMode="External"/><Relationship Id="rId308" Type="http://schemas.openxmlformats.org/officeDocument/2006/relationships/hyperlink" Target="https://www.amazon.in/Generation-Space-Saving-Solution-Management-Speakers/dp/B0B8ZKWGKD/ref=sr_1_474?qid=1672909147&amp;s=electronics&amp;sr=1-474" TargetMode="External"/><Relationship Id="rId307" Type="http://schemas.openxmlformats.org/officeDocument/2006/relationships/hyperlink" Target="https://www.amazon.in/Kodak-inches-Android-50UHDX7XPROBL-Bezel-Less/dp/B09PLD9TCD/ref=sr_1_473?qid=1672909147&amp;s=electronics&amp;sr=1-473" TargetMode="External"/><Relationship Id="rId549" Type="http://schemas.openxmlformats.org/officeDocument/2006/relationships/hyperlink" Target="https://www.amazon.in/POPIO-Tempered-Protector-Compatible-Installation/dp/B08M66K48D/ref=sr_1_356?qid=1672895850&amp;s=electronics&amp;sr=1-356" TargetMode="External"/><Relationship Id="rId306" Type="http://schemas.openxmlformats.org/officeDocument/2006/relationships/hyperlink" Target="https://www.amazon.in/AmazonBasics-High-Speed-Braided-6-Foot-1-Pack/dp/B07RX14W1Q/ref=sr_1_472?qid=1672909147&amp;s=electronics&amp;sr=1-472" TargetMode="External"/><Relationship Id="rId548" Type="http://schemas.openxmlformats.org/officeDocument/2006/relationships/hyperlink" Target="https://www.amazon.in/Noise_Colorfit-Charger-Magnetic-Charging-Adapter/dp/B0BMM7R92G/ref=sr_1_354?qid=1672895850&amp;s=electronics&amp;sr=1-354" TargetMode="External"/><Relationship Id="rId781" Type="http://schemas.openxmlformats.org/officeDocument/2006/relationships/hyperlink" Target="https://www.amazon.in/Boult-Audio-TrueBuds-Wireless-Waterproof/dp/B08CFCK6CW/ref=sr_1_215?qid=1672903005&amp;s=computers&amp;sr=1-215" TargetMode="External"/><Relationship Id="rId1370" Type="http://schemas.openxmlformats.org/officeDocument/2006/relationships/hyperlink" Target="https://www.amazon.in/Saiyam-Stainless-Espresso-Maker-Percolator/dp/B095K14P86/ref=sr_1_394?qid=1672923612&amp;s=kitchen&amp;sr=1-394" TargetMode="External"/><Relationship Id="rId780" Type="http://schemas.openxmlformats.org/officeDocument/2006/relationships/hyperlink" Target="https://www.amazon.in/Zebronics-Zeb-Jaguar-Wireless-Precision-Ambidextrous/dp/B098JYT4SY/ref=sr_1_214?qid=1672903005&amp;s=computers&amp;sr=1-214" TargetMode="External"/><Relationship Id="rId1371" Type="http://schemas.openxmlformats.org/officeDocument/2006/relationships/hyperlink" Target="https://www.amazon.in/KONVIO-NEER-Cartridge-Compatible-Pre-Filter/dp/B08K36NZSV/ref=sr_1_395?qid=1672923612&amp;s=kitchen&amp;sr=1-395" TargetMode="External"/><Relationship Id="rId1130" Type="http://schemas.openxmlformats.org/officeDocument/2006/relationships/hyperlink" Target="https://www.amazon.in/HUL-Pureit-Germkill-Classic-Purifier/dp/B00H3H03Q4/ref=sr_1_131?qid=1672923597&amp;s=kitchen&amp;sr=1-131" TargetMode="External"/><Relationship Id="rId1372" Type="http://schemas.openxmlformats.org/officeDocument/2006/relationships/hyperlink" Target="https://www.amazon.in/Havells-Glydo-1000-Watt-Iron-Charcoal/dp/B07LDPLSZC/ref=sr_1_396?qid=1672923612&amp;s=kitchen&amp;sr=1-396" TargetMode="External"/><Relationship Id="rId1131" Type="http://schemas.openxmlformats.org/officeDocument/2006/relationships/hyperlink" Target="https://www.amazon.in/Prestige-Iris-Grinder-Stainless-Juicer/dp/B0756K5DYZ/ref=sr_1_132?qid=1672923597&amp;s=kitchen&amp;sr=1-132" TargetMode="External"/><Relationship Id="rId1373" Type="http://schemas.openxmlformats.org/officeDocument/2006/relationships/hyperlink" Target="https://www.amazon.in/Raffles-Premium-Stainless-Indian-Coffee/dp/B07F1T31ZZ/ref=sr_1_397?qid=1672923612&amp;s=kitchen&amp;sr=1-397" TargetMode="External"/><Relationship Id="rId301" Type="http://schemas.openxmlformats.org/officeDocument/2006/relationships/hyperlink" Target="https://www.amazon.in/Lava-Elements-Charging-Speed-Type-C/dp/B0941392C8/ref=sr_1_467?qid=1672909147&amp;s=electronics&amp;sr=1-467" TargetMode="External"/><Relationship Id="rId543" Type="http://schemas.openxmlformats.org/officeDocument/2006/relationships/hyperlink" Target="https://www.amazon.in/Sounce-Protective-Case-Xtend-Unbreakable/dp/B09SJ1FTYV/ref=sr_1_329?qid=1672895842&amp;s=electronics&amp;sr=1-329" TargetMode="External"/><Relationship Id="rId785" Type="http://schemas.openxmlformats.org/officeDocument/2006/relationships/hyperlink" Target="https://www.amazon.in/Duracell-Lightning-Certified-Braided-Charging/dp/B09W5XR9RT/ref=sr_1_219?qid=1672903006&amp;s=computers&amp;sr=1-219" TargetMode="External"/><Relationship Id="rId1132" Type="http://schemas.openxmlformats.org/officeDocument/2006/relationships/hyperlink" Target="https://www.amazon.in/Preethi-Blue-Leaf-Diamond-750-Watt/dp/B0188KPKB2/ref=sr_1_133?qid=1672923597&amp;s=kitchen&amp;sr=1-133" TargetMode="External"/><Relationship Id="rId1374" Type="http://schemas.openxmlformats.org/officeDocument/2006/relationships/hyperlink" Target="https://www.amazon.in/IONIX-Tap-filter-Multilayer-Filter-Pack/dp/B0BNDRK886/ref=sr_1_399?qid=1672923612&amp;s=kitchen&amp;sr=1-399" TargetMode="External"/><Relationship Id="rId300" Type="http://schemas.openxmlformats.org/officeDocument/2006/relationships/hyperlink" Target="https://www.amazon.in/WANBO-X1-Pro-Projector-Correction/dp/B0BNDD9TN6/ref=sr_1_466?qid=1672909147&amp;s=electronics&amp;sr=1-466" TargetMode="External"/><Relationship Id="rId542" Type="http://schemas.openxmlformats.org/officeDocument/2006/relationships/hyperlink" Target="https://www.amazon.in/Nokia-8210-4G-Display-Wireless/dp/B0B7DHSKS7/ref=sr_1_326?qid=1672895842&amp;s=electronics&amp;sr=1-326" TargetMode="External"/><Relationship Id="rId784" Type="http://schemas.openxmlformats.org/officeDocument/2006/relationships/hyperlink" Target="https://www.amazon.in/DASITON-Flexible-Ambient-Portable-Outdoor/dp/B09N6TTHT6/ref=sr_1_218?qid=1672903006&amp;s=computers&amp;sr=1-218" TargetMode="External"/><Relationship Id="rId1133" Type="http://schemas.openxmlformats.org/officeDocument/2006/relationships/hyperlink" Target="https://www.amazon.in/Themisto-350-Watts-Egg-Boiler-Blue/dp/B091KNVNS9/ref=sr_1_134?qid=1672923597&amp;s=kitchen&amp;sr=1-134" TargetMode="External"/><Relationship Id="rId1375" Type="http://schemas.openxmlformats.org/officeDocument/2006/relationships/hyperlink" Target="https://www.amazon.in/KNYUC-MART-Electric-Compact-Adjustable/dp/B09ZVJXN5L/ref=sr_1_403?qid=1672923612&amp;s=kitchen&amp;sr=1-403" TargetMode="External"/><Relationship Id="rId541" Type="http://schemas.openxmlformats.org/officeDocument/2006/relationships/hyperlink" Target="https://www.amazon.in/AmazonBasics-Nylon-Braided-Lightning-Cable/dp/B082T6V3DT/ref=sr_1_320?qid=1672895842&amp;s=electronics&amp;sr=1-320" TargetMode="External"/><Relationship Id="rId783" Type="http://schemas.openxmlformats.org/officeDocument/2006/relationships/hyperlink" Target="https://www.amazon.in/Essentials-Multi-Purpose-Portable-Wooden-Laptop/dp/B07MSLTW8Z/ref=sr_1_217?qid=1672903006&amp;s=computers&amp;sr=1-217" TargetMode="External"/><Relationship Id="rId1134" Type="http://schemas.openxmlformats.org/officeDocument/2006/relationships/hyperlink" Target="https://www.amazon.in/Butterfly-Smart-750-Watt-Mixer-Grinder/dp/B075JJ5NQC/ref=sr_1_135?qid=1672923597&amp;s=kitchen&amp;sr=1-135" TargetMode="External"/><Relationship Id="rId1376" Type="http://schemas.openxmlformats.org/officeDocument/2006/relationships/hyperlink" Target="https://www.amazon.in/INKULTURE-Stainless-Measuring-Kitchen-Gadgets/dp/B08JKPVDKL/ref=sr_1_404?qid=1672923612&amp;s=kitchen&amp;sr=1-404" TargetMode="External"/><Relationship Id="rId540" Type="http://schemas.openxmlformats.org/officeDocument/2006/relationships/hyperlink" Target="https://www.amazon.in/LIRAMARK-Webcam-Blocker-Computer-MacBook/dp/B08BQ947H3/ref=sr_1_317?qid=1672895842&amp;s=electronics&amp;sr=1-317" TargetMode="External"/><Relationship Id="rId782" Type="http://schemas.openxmlformats.org/officeDocument/2006/relationships/hyperlink" Target="https://www.amazon.in/Wembley-LCD-Writing-Tablet-8-5/dp/B09P564ZTJ/ref=sr_1_216?qid=1672903005&amp;s=computers&amp;sr=1-216" TargetMode="External"/><Relationship Id="rId1135" Type="http://schemas.openxmlformats.org/officeDocument/2006/relationships/hyperlink" Target="https://www.amazon.in/KENT-Electric-Steamer-Vegetables-Stainless/dp/B0B5KZ3C53/ref=sr_1_139?qid=1672923597&amp;s=kitchen&amp;sr=1-139" TargetMode="External"/><Relationship Id="rId1377" Type="http://schemas.openxmlformats.org/officeDocument/2006/relationships/hyperlink" Target="https://www.amazon.in/Macmillan-Aquafresh-Micron-Filter-Purifier/dp/B09JFR8H3Q/ref=sr_1_405?qid=1672923612&amp;s=kitchen&amp;sr=1-405" TargetMode="External"/><Relationship Id="rId1125" Type="http://schemas.openxmlformats.org/officeDocument/2006/relationships/hyperlink" Target="https://www.amazon.in/Luminous-Vento-Deluxe-30-Watt-Ventilator/dp/B00O2R38C4/ref=sr_1_126?qid=1672923597&amp;s=kitchen&amp;sr=1-126" TargetMode="External"/><Relationship Id="rId1367" Type="http://schemas.openxmlformats.org/officeDocument/2006/relationships/hyperlink" Target="https://www.amazon.in/Racold-Pronto-3Litres-Vertical-Instant/dp/B097MKZHNV/ref=sr_1_391?qid=1672923612&amp;s=kitchen&amp;sr=1-391" TargetMode="External"/><Relationship Id="rId1126" Type="http://schemas.openxmlformats.org/officeDocument/2006/relationships/hyperlink" Target="https://www.amazon.in/electric-Kettle-Double-Triple-Protection/dp/B0B2CZTCL2/ref=sr_1_127?qid=1672923597&amp;s=kitchen&amp;sr=1-127" TargetMode="External"/><Relationship Id="rId1368" Type="http://schemas.openxmlformats.org/officeDocument/2006/relationships/hyperlink" Target="https://www.amazon.in/ESN-999-Quality-Immersion-Heater/dp/B07LG96SDB/ref=sr_1_392?qid=1672923612&amp;s=kitchen&amp;sr=1-392" TargetMode="External"/><Relationship Id="rId1127" Type="http://schemas.openxmlformats.org/officeDocument/2006/relationships/hyperlink" Target="https://www.amazon.in/Kitchen-Stainless-Indian-Filter-Coffee/dp/B00PVT30YI/ref=sr_1_128?qid=1672923597&amp;s=kitchen&amp;sr=1-128" TargetMode="External"/><Relationship Id="rId1369" Type="http://schemas.openxmlformats.org/officeDocument/2006/relationships/hyperlink" Target="https://www.amazon.in/n1-Retail-Stainless-Indian-Coffee/dp/B08KS2KQTK/ref=sr_1_393?qid=1672923612&amp;s=kitchen&amp;sr=1-393" TargetMode="External"/><Relationship Id="rId1128" Type="http://schemas.openxmlformats.org/officeDocument/2006/relationships/hyperlink" Target="https://www.amazon.in/Ikea-903-391-72-Sealing-assorted-30-pack/dp/B00SH18114/ref=sr_1_129_mod_primary_new?qid=1672923597&amp;s=kitchen&amp;sbo=RZvfv%2F%2FHxDF%2BO5021pAnSA%3D%3D&amp;sr=1-129" TargetMode="External"/><Relationship Id="rId1129" Type="http://schemas.openxmlformats.org/officeDocument/2006/relationships/hyperlink" Target="https://www.amazon.in/HUL-Pureit-Germkill-Classic-Purifier/dp/B00E9G8KOY/ref=sr_1_130?qid=1672923597&amp;s=kitchen&amp;sr=1-130" TargetMode="External"/><Relationship Id="rId536" Type="http://schemas.openxmlformats.org/officeDocument/2006/relationships/hyperlink" Target="https://www.amazon.in/Noise-ColorFit-Ultra-SE-Smartwatch/dp/B09BNXQ6BR/ref=sr_1_303?qid=1672895835&amp;s=electronics&amp;sr=1-303" TargetMode="External"/><Relationship Id="rId778" Type="http://schemas.openxmlformats.org/officeDocument/2006/relationships/hyperlink" Target="https://www.amazon.in/APC-BX600C-600VA-230V-Back/dp/B016XVRKZM/ref=sr_1_211?qid=1672903005&amp;s=computers&amp;sr=1-211" TargetMode="External"/><Relationship Id="rId535" Type="http://schemas.openxmlformats.org/officeDocument/2006/relationships/hyperlink" Target="https://www.amazon.in/Nokia-150-Cyan/dp/B08H21B6V7/ref=sr_1_301?qid=1672895835&amp;s=electronics&amp;sr=1-301" TargetMode="External"/><Relationship Id="rId777" Type="http://schemas.openxmlformats.org/officeDocument/2006/relationships/hyperlink" Target="https://www.amazon.in/Crucial-PC4-25600-SODIMM-260-Pin-Memory/dp/B08C4Z69LN/ref=sr_1_210?qid=1672903005&amp;s=computers&amp;sr=1-210" TargetMode="External"/><Relationship Id="rId534" Type="http://schemas.openxmlformats.org/officeDocument/2006/relationships/hyperlink" Target="https://www.amazon.in/OnePlus-Moonstone-Black-128GB-Storage/dp/B0B5V47VK4/ref=sr_1_300?qid=1672895835&amp;s=electronics&amp;sr=1-300" TargetMode="External"/><Relationship Id="rId776" Type="http://schemas.openxmlformats.org/officeDocument/2006/relationships/hyperlink" Target="https://www.amazon.in/Wireless-Connection-Battery-Ambidextrous-Suitable/dp/B09ZHCJDP1/ref=sr_1_209?qid=1672903005&amp;s=computers&amp;sr=1-209" TargetMode="External"/><Relationship Id="rId533" Type="http://schemas.openxmlformats.org/officeDocument/2006/relationships/hyperlink" Target="https://www.amazon.in/Redmi-Note-11T-5G-Dimensity/dp/B09LHZSMRR/ref=sr_1_297?qid=1672895835&amp;s=electronics&amp;sr=1-297" TargetMode="External"/><Relationship Id="rId775" Type="http://schemas.openxmlformats.org/officeDocument/2006/relationships/hyperlink" Target="https://www.amazon.in/STRIFF-Android-Portable-Foldable-Stand-Perfect/dp/B09Y14JLP3/ref=sr_1_208?qid=1672903005&amp;s=computers&amp;sr=1-208" TargetMode="External"/><Relationship Id="rId539" Type="http://schemas.openxmlformats.org/officeDocument/2006/relationships/hyperlink" Target="https://www.amazon.in/Compatible-I-Phone13-I-Phone11-Only-Adapter/dp/B0B54Y2SNX/ref=sr_1_315?qid=1672895842&amp;s=electronics&amp;sr=1-315" TargetMode="External"/><Relationship Id="rId538" Type="http://schemas.openxmlformats.org/officeDocument/2006/relationships/hyperlink" Target="https://www.amazon.in/SanDisk-Ultra-microSD-UHS-I-120MB/dp/B08L5FM4JC/ref=sr_1_312?qid=1672895835&amp;s=electronics&amp;sr=1-312" TargetMode="External"/><Relationship Id="rId537" Type="http://schemas.openxmlformats.org/officeDocument/2006/relationships/hyperlink" Target="https://www.amazon.in/Super-Rockerz-400-Bluetooth-Headphones/dp/B01FSYQ2A4/ref=sr_1_307?qid=1672895835&amp;s=electronics&amp;sr=1-307" TargetMode="External"/><Relationship Id="rId779" Type="http://schemas.openxmlformats.org/officeDocument/2006/relationships/hyperlink" Target="https://www.amazon.in/Luxor-Subject-Single-Ruled-Notebook/dp/B00LHZW3XY/ref=sr_1_213_mod_primary_new?qid=1672903005&amp;s=computers&amp;sbo=RZvfv%2F%2FHxDF%2BO5021pAnSA%3D%3D&amp;sr=1-213" TargetMode="External"/><Relationship Id="rId770" Type="http://schemas.openxmlformats.org/officeDocument/2006/relationships/hyperlink" Target="https://www.amazon.in/Quantum-Ethernet-Patch-Straight-Category/dp/B00GZLB57U/ref=sr_1_202?qid=1672903005&amp;s=computers&amp;sr=1-202" TargetMode="External"/><Relationship Id="rId1360" Type="http://schemas.openxmlformats.org/officeDocument/2006/relationships/hyperlink" Target="https://www.amazon.in/KHAITAN-AVAANTE-KA-2013-Halogen-Heater/dp/B09MB3DKG1/ref=sr_1_387?qid=1672923611&amp;s=kitchen&amp;sr=1-387" TargetMode="External"/><Relationship Id="rId1361" Type="http://schemas.openxmlformats.org/officeDocument/2006/relationships/hyperlink" Target="https://www.amazon.in/Kenstar-Watts-Filled-Radiator-Heater/dp/B08QHLXWV3/ref=sr_1_388?qid=1672923611&amp;s=kitchen&amp;sr=1-388" TargetMode="External"/><Relationship Id="rId1120" Type="http://schemas.openxmlformats.org/officeDocument/2006/relationships/hyperlink" Target="https://www.amazon.in/Remover-Clothes-Extractor-Battery-Removing/dp/B09JN37WBX/ref=sr_1_121?qid=1672923596&amp;s=kitchen&amp;sr=1-121" TargetMode="External"/><Relationship Id="rId1362" Type="http://schemas.openxmlformats.org/officeDocument/2006/relationships/hyperlink" Target="https://www.amazon.in/NEXOMS-Instant-Heating-Mounted-Stainless/dp/B07G147SZD/ref=sr_1_389?qid=1672923611&amp;s=kitchen&amp;sr=1-389" TargetMode="External"/><Relationship Id="rId532" Type="http://schemas.openxmlformats.org/officeDocument/2006/relationships/hyperlink" Target="https://www.amazon.in/URBN-20000-22-5W-Charging-Output/dp/B08JW1GVS7/ref=sr_1_295?qid=1672895835&amp;s=electronics&amp;sr=1-295" TargetMode="External"/><Relationship Id="rId774" Type="http://schemas.openxmlformats.org/officeDocument/2006/relationships/hyperlink" Target="https://www.amazon.in/Boult-Audio-Equalizer-Cancellation-Bluetooth/dp/B0B31FR4Y2/ref=sr_1_206?qid=1672903005&amp;s=computers&amp;sr=1-206" TargetMode="External"/><Relationship Id="rId1121" Type="http://schemas.openxmlformats.org/officeDocument/2006/relationships/hyperlink" Target="https://www.amazon.in/Pigeon-Kessel-1-2-Litre-Multi-purpose-Kettle/dp/B01I1LDZGA/ref=sr_1_125_mod_primary_new?qid=1672923596&amp;s=kitchen&amp;sbo=RZvfv%2F%2FHxDF%2BO5021pAnSA%3D%3D&amp;sr=1-125" TargetMode="External"/><Relationship Id="rId1363" Type="http://schemas.openxmlformats.org/officeDocument/2006/relationships/hyperlink" Target="https://www.amazon.in/BONIRY-Waffle-Maker-Inch-Watts/dp/B09LH32678/ref=sr_1_390?qid=1672923611&amp;s=kitchen&amp;sr=1-390" TargetMode="External"/><Relationship Id="rId531" Type="http://schemas.openxmlformats.org/officeDocument/2006/relationships/hyperlink" Target="https://www.amazon.in/Tecno-Spark-8T-Expandable-64GB/dp/B09MKP344P/ref=sr_1_294?qid=1672895835&amp;s=electronics&amp;sr=1-294" TargetMode="External"/><Relationship Id="rId773" Type="http://schemas.openxmlformats.org/officeDocument/2006/relationships/hyperlink" Target="https://www.amazon.in/HUMBLE-Dynamic-Recording-Microphone-SmartPhones/dp/B08HD7JQHX/ref=sr_1_205?qid=1672903005&amp;s=computers&amp;sr=1-205" TargetMode="External"/><Relationship Id="rId1122" Type="http://schemas.openxmlformats.org/officeDocument/2006/relationships/hyperlink" Target="https://www.amazon.in/DEVICE-Remover-Woolen-Clothes-Electric/dp/B0BN2576GQ/ref=sr_1_126?qid=1672923596&amp;s=kitchen&amp;sr=1-126" TargetMode="External"/><Relationship Id="rId1364" Type="http://schemas.openxmlformats.org/officeDocument/2006/relationships/hyperlink" Target="https://www.amazon.in/Candes-BlowHot-Silent-Blower-Heater/dp/B09R1YFL6S/ref=sr_1_388?qid=1672923612&amp;s=kitchen&amp;sr=1-388" TargetMode="External"/><Relationship Id="rId530" Type="http://schemas.openxmlformats.org/officeDocument/2006/relationships/hyperlink" Target="https://www.amazon.in/EN-LIGNE-Adjustable-Tabletop-Compatible/dp/B0B3DV7S9B/ref=sr_1_293?qid=1672895835&amp;s=electronics&amp;sr=1-293" TargetMode="External"/><Relationship Id="rId772" Type="http://schemas.openxmlformats.org/officeDocument/2006/relationships/hyperlink" Target="https://www.amazon.in/A400-Type-C-Cable-Meter-Black/dp/B077Z65HSD/ref=sr_1_204?qid=1672903005&amp;s=computers&amp;sr=1-204" TargetMode="External"/><Relationship Id="rId1123" Type="http://schemas.openxmlformats.org/officeDocument/2006/relationships/hyperlink" Target="https://www.amazon.in/Pigeon-2-Slice-Pop-up-Toaster-Black/dp/B06XPYRWV5/ref=sr_1_124?qid=1672923597&amp;s=kitchen&amp;sr=1-124" TargetMode="External"/><Relationship Id="rId1365" Type="http://schemas.openxmlformats.org/officeDocument/2006/relationships/hyperlink" Target="https://www.amazon.in/Ionix-Digital-Kitchen-Jewellery-Weighing/dp/B07Q4NJQC5/ref=sr_1_389?qid=1672923612&amp;s=kitchen&amp;sr=1-389" TargetMode="External"/><Relationship Id="rId771" Type="http://schemas.openxmlformats.org/officeDocument/2006/relationships/hyperlink" Target="https://www.amazon.in/HP-Multimedia-Wireless-Keyboard-4SC12PA/dp/B07V82W5CN/ref=sr_1_203?qid=1672903005&amp;s=computers&amp;sr=1-203" TargetMode="External"/><Relationship Id="rId1124" Type="http://schemas.openxmlformats.org/officeDocument/2006/relationships/hyperlink" Target="https://www.amazon.in/Bajaj-Majesty-Filled-Radiator-Heater/dp/B01N1XVVLC/ref=sr_1_125?qid=1672923597&amp;s=kitchen&amp;sr=1-125" TargetMode="External"/><Relationship Id="rId1366" Type="http://schemas.openxmlformats.org/officeDocument/2006/relationships/hyperlink" Target="https://www.amazon.in/Kitchen-Kit-Electric-Stainless-Protection/dp/B097RN7BBK/ref=sr_1_390?qid=1672923612&amp;s=kitchen&amp;sr=1-390" TargetMode="External"/><Relationship Id="rId1158" Type="http://schemas.openxmlformats.org/officeDocument/2006/relationships/hyperlink" Target="https://www.amazon.in/Reffair-AX30-MAX-Internationally-Aromabuds/dp/B0912WJ87V/ref=sr_1_164?qid=1672923598&amp;s=kitchen&amp;sr=1-164" TargetMode="External"/><Relationship Id="rId1159" Type="http://schemas.openxmlformats.org/officeDocument/2006/relationships/hyperlink" Target="https://www.amazon.in/2000-Watt-Heater-White-HN-2500-India/dp/B0BMTZ4T1D/ref=sr_1_165?qid=1672923598&amp;s=kitchen&amp;sr=1-165" TargetMode="External"/><Relationship Id="rId327" Type="http://schemas.openxmlformats.org/officeDocument/2006/relationships/hyperlink" Target="https://www.amazon.in/AmazonBasics-108cm-inch-Ultra-Smart/dp/B087JWLZ2K/ref=sr_1_493?qid=1672909149&amp;s=electronics&amp;sr=1-493" TargetMode="External"/><Relationship Id="rId569" Type="http://schemas.openxmlformats.org/officeDocument/2006/relationships/hyperlink" Target="https://www.amazon.in/Samsung-Galaxy-Cloud-128GB-Storage/dp/B08VB57558/ref=sr_1_434?qid=1672895879&amp;s=electronics&amp;sr=1-434" TargetMode="External"/><Relationship Id="rId326" Type="http://schemas.openxmlformats.org/officeDocument/2006/relationships/hyperlink" Target="https://www.amazon.in/OnePlus-163-8-inches-Android-65U1S/dp/B095JPKPH3/ref=sr_1_492?qid=1672909149&amp;s=electronics&amp;sr=1-492" TargetMode="External"/><Relationship Id="rId568" Type="http://schemas.openxmlformats.org/officeDocument/2006/relationships/hyperlink" Target="https://www.amazon.in/Prolet-Classic-Bumper-Samsung-Protector/dp/B0B298D54H/ref=sr_1_433?qid=1672895879&amp;s=electronics&amp;sr=1-433" TargetMode="External"/><Relationship Id="rId325" Type="http://schemas.openxmlformats.org/officeDocument/2006/relationships/hyperlink" Target="https://www.amazon.in/REDTECH-Lightning-Certified-Charging-Compatible/dp/B0BQRJ3C47/ref=sr_1_491?qid=1672909149&amp;s=electronics&amp;sr=1-491" TargetMode="External"/><Relationship Id="rId567" Type="http://schemas.openxmlformats.org/officeDocument/2006/relationships/hyperlink" Target="https://www.amazon.in/Redmi-9A-Sport-Octa-core-Processor/dp/B09GFPN6TP/ref=sr_1_432?qid=1672895872&amp;s=electronics&amp;sr=1-432" TargetMode="External"/><Relationship Id="rId324" Type="http://schemas.openxmlformats.org/officeDocument/2006/relationships/hyperlink" Target="https://www.amazon.in/TCL-inches-Certified-Android-43P615/dp/B08FD2VSD9/ref=sr_1_490?qid=1672909149&amp;s=electronics&amp;sr=1-490" TargetMode="External"/><Relationship Id="rId566" Type="http://schemas.openxmlformats.org/officeDocument/2006/relationships/hyperlink" Target="https://www.amazon.in/FLiX-Charger-Charging-Adapter-More-Black/dp/B09T37CKQ5/ref=sr_1_431?qid=1672895872&amp;s=electronics&amp;sr=1-431" TargetMode="External"/><Relationship Id="rId329" Type="http://schemas.openxmlformats.org/officeDocument/2006/relationships/hyperlink" Target="https://www.amazon.in/Synqe-Braided-Charging-Compatible-Samsung/dp/B08V9C4B1J/ref=sr_1_495?qid=1672909149&amp;s=electronics&amp;sr=1-495" TargetMode="External"/><Relationship Id="rId1390" Type="http://schemas.openxmlformats.org/officeDocument/2006/relationships/hyperlink" Target="https://www.amazon.in/Themisto-TH-WS20-Digital-Weighing-Stainless/dp/B09W9V2PXG/ref=sr_1_420?qid=1672923613&amp;s=kitchen&amp;sr=1-420" TargetMode="External"/><Relationship Id="rId328" Type="http://schemas.openxmlformats.org/officeDocument/2006/relationships/hyperlink" Target="https://www.amazon.in/Kodak-inches-Certified-Android-32HDX7XPROBL/dp/B09DSXK8JX/ref=sr_1_494?qid=1672909149&amp;s=electronics&amp;sr=1-494" TargetMode="External"/><Relationship Id="rId1391" Type="http://schemas.openxmlformats.org/officeDocument/2006/relationships/hyperlink" Target="https://www.amazon.in/FYA-Handheld-Cordless-Wireless-Rechargeable/dp/B09XTQFFCG/ref=sr_1_421?qid=1672923613&amp;s=kitchen&amp;sr=1-421" TargetMode="External"/><Relationship Id="rId561" Type="http://schemas.openxmlformats.org/officeDocument/2006/relationships/hyperlink" Target="https://www.amazon.in/Lava-Notfication-recoding-Military-Certified/dp/B09BF8JBWX/ref=sr_1_411?qid=1672895872&amp;s=electronics&amp;sr=1-411" TargetMode="External"/><Relationship Id="rId1150" Type="http://schemas.openxmlformats.org/officeDocument/2006/relationships/hyperlink" Target="https://www.amazon.in/Atom-Selves-A100-Digital-Pocket-Silver/dp/B06XMZV7RH/ref=sr_1_152?qid=1672923598&amp;s=kitchen&amp;sr=1-152" TargetMode="External"/><Relationship Id="rId1392" Type="http://schemas.openxmlformats.org/officeDocument/2006/relationships/hyperlink" Target="https://www.amazon.in/Lifelong-Sandwich-Griller-Non-Stick-Plates/dp/B08LVVTGZK/ref=sr_1_422?qid=1672923613&amp;s=kitchen&amp;sr=1-422" TargetMode="External"/><Relationship Id="rId560" Type="http://schemas.openxmlformats.org/officeDocument/2006/relationships/hyperlink" Target="https://www.amazon.in/Fire-Boltt-Ninja-Smartwatch-Sports-Tracking/dp/B09YV42QHZ/ref=sr_1_408?qid=1672895864&amp;s=electronics&amp;sr=1-408" TargetMode="External"/><Relationship Id="rId1151" Type="http://schemas.openxmlformats.org/officeDocument/2006/relationships/hyperlink" Target="https://www.amazon.in/Crompton-InstaBliss-Instant-Heater-Advanced/dp/B09WMTJPG7/ref=sr_1_153?qid=1672923598&amp;s=kitchen&amp;sr=1-153" TargetMode="External"/><Relationship Id="rId1393" Type="http://schemas.openxmlformats.org/officeDocument/2006/relationships/hyperlink" Target="https://www.amazon.in/Kuber-Industries-Laundry-Basket-CTKTC1475/dp/B07J2BQZD6/ref=sr_1_427?qid=1672923613&amp;s=kitchen&amp;sr=1-427" TargetMode="External"/><Relationship Id="rId1152" Type="http://schemas.openxmlformats.org/officeDocument/2006/relationships/hyperlink" Target="https://www.amazon.in/Croma-Weilburger-Soleplate-Coating-CRSHAH702SIR11/dp/B09ZK6THRR/ref=sr_1_154?qid=1672923598&amp;s=kitchen&amp;sr=1-154" TargetMode="External"/><Relationship Id="rId1394" Type="http://schemas.openxmlformats.org/officeDocument/2006/relationships/hyperlink" Target="https://www.amazon.in/Bulfyss-Plastic-Remover-Cleaner-Remover/dp/B07HK53XM4/ref=sr_1_428?qid=1672923613&amp;s=kitchen&amp;sr=1-428" TargetMode="External"/><Relationship Id="rId1153" Type="http://schemas.openxmlformats.org/officeDocument/2006/relationships/hyperlink" Target="https://www.amazon.in/Ikea-Lint-Roller-Paper-Sheets/dp/B07MP21WJD/ref=sr_1_156_mod_primary_new?qid=1672923598&amp;s=kitchen&amp;sbo=RZvfv%2F%2FHxDF%2BO5021pAnSA%3D%3D&amp;sr=1-156" TargetMode="External"/><Relationship Id="rId1395" Type="http://schemas.openxmlformats.org/officeDocument/2006/relationships/hyperlink" Target="https://www.amazon.in/TOPLINE-Egg-Beater-Stainless-Attachments/dp/B08RDWBYCQ/ref=sr_1_429?qid=1672923613&amp;s=kitchen&amp;sr=1-429" TargetMode="External"/><Relationship Id="rId323" Type="http://schemas.openxmlformats.org/officeDocument/2006/relationships/hyperlink" Target="https://www.amazon.in/Storite-USB-2-0-Mini-External/dp/B00GGGOYEU/ref=sr_1_489?qid=1672909149&amp;s=electronics&amp;sr=1-489" TargetMode="External"/><Relationship Id="rId565" Type="http://schemas.openxmlformats.org/officeDocument/2006/relationships/hyperlink" Target="https://www.amazon.in/Pinnaclz-Original-Micro-USB-Charging/dp/B08R69VDHT/ref=sr_1_429?qid=1672895872&amp;s=electronics&amp;sr=1-429" TargetMode="External"/><Relationship Id="rId1154" Type="http://schemas.openxmlformats.org/officeDocument/2006/relationships/hyperlink" Target="https://www.amazon.in/Portable-Hairball-Epilator-Removing-Furniture/dp/B09XB1R2F3/ref=sr_1_157?qid=1672923598&amp;s=kitchen&amp;sr=1-157" TargetMode="External"/><Relationship Id="rId1396" Type="http://schemas.openxmlformats.org/officeDocument/2006/relationships/hyperlink" Target="https://www.amazon.in/Empty-Trigger-Plastic-Spray-Bottle/dp/B09FHHTL8L/ref=sr_1_430_mod_primary_new?qid=1672923613&amp;s=kitchen&amp;sbo=RZvfv%2F%2FHxDF%2BO5021pAnSA%3D%3D&amp;sr=1-430" TargetMode="External"/><Relationship Id="rId322" Type="http://schemas.openxmlformats.org/officeDocument/2006/relationships/hyperlink" Target="https://www.amazon.in/Mi-inches-Ready-Android-Black/dp/B084872DQY/ref=sr_1_488?qid=1672909149&amp;s=electronics&amp;sr=1-488" TargetMode="External"/><Relationship Id="rId564" Type="http://schemas.openxmlformats.org/officeDocument/2006/relationships/hyperlink" Target="https://www.amazon.in/Amozo-iPhone-13-Polycarbonate-Transparent/dp/B09MY4W73Q/ref=sr_1_419?qid=1672895872&amp;s=electronics&amp;sr=1-419" TargetMode="External"/><Relationship Id="rId1155" Type="http://schemas.openxmlformats.org/officeDocument/2006/relationships/hyperlink" Target="https://www.amazon.in/Atomberg-Renesa-Motor-Remote-Ceiling/dp/B08Y5QJXSR/ref=sr_1_158?qid=1672923598&amp;s=kitchen&amp;sr=1-158" TargetMode="External"/><Relationship Id="rId1397" Type="http://schemas.openxmlformats.org/officeDocument/2006/relationships/hyperlink" Target="https://www.amazon.in/LONAXA-Travel-Rechargeable-Fruit-Juicer/dp/B0BHNHMR3H/ref=sr_1_431?qid=1672923613&amp;s=kitchen&amp;sr=1-431" TargetMode="External"/><Relationship Id="rId321" Type="http://schemas.openxmlformats.org/officeDocument/2006/relationships/hyperlink" Target="https://www.amazon.in/Female-Converter-Adapter-Projectors-Devices/dp/B07VJ9ZTXS/ref=sr_1_487?qid=1672909149&amp;s=electronics&amp;sr=1-487" TargetMode="External"/><Relationship Id="rId563" Type="http://schemas.openxmlformats.org/officeDocument/2006/relationships/hyperlink" Target="https://www.amazon.in/AmazonBasics-Type-C-USB-Male-Cable/dp/B01GGKYKQM/ref=sr_1_418?qid=1672895872&amp;s=electronics&amp;sr=1-418" TargetMode="External"/><Relationship Id="rId1156" Type="http://schemas.openxmlformats.org/officeDocument/2006/relationships/hyperlink" Target="https://www.amazon.in/Pigeon-stovekraft-Amaze-Plus-1-8/dp/B07WJXCTG9/ref=sr_1_159?qid=1672923598&amp;s=kitchen&amp;sr=1-159" TargetMode="External"/><Relationship Id="rId1398" Type="http://schemas.openxmlformats.org/officeDocument/2006/relationships/hyperlink" Target="https://www.amazon.in/Powermatic-Plus-CH-900-Watt-Grinder/dp/B07D8VBYB4/ref=sr_1_432?qid=1672923613&amp;s=kitchen&amp;sr=1-432" TargetMode="External"/><Relationship Id="rId320" Type="http://schemas.openxmlformats.org/officeDocument/2006/relationships/hyperlink" Target="https://www.amazon.in/PRUSHTI-COVER-BAGS-Protective-Xstream/dp/B08BG4M4N7/ref=sr_1_486?qid=1672909149&amp;s=electronics&amp;sr=1-486" TargetMode="External"/><Relationship Id="rId562" Type="http://schemas.openxmlformats.org/officeDocument/2006/relationships/hyperlink" Target="https://www.amazon.in/POPIO-Compatible-iPhone-Transparent-Installation/dp/B0B5YBGCKD/ref=sr_1_417?qid=1672895872&amp;s=electronics&amp;sr=1-417" TargetMode="External"/><Relationship Id="rId1157" Type="http://schemas.openxmlformats.org/officeDocument/2006/relationships/hyperlink" Target="https://www.amazon.in/CookJoy-CJ1600WPC-Induction-cooktop-Black/dp/B09NBZ36F7/ref=sr_1_163?qid=1672923598&amp;s=kitchen&amp;sr=1-163" TargetMode="External"/><Relationship Id="rId1399" Type="http://schemas.openxmlformats.org/officeDocument/2006/relationships/hyperlink" Target="https://www.amazon.in/AGARO-Double-Layered-Boiling-Protection/dp/B0B3TBY2YX/ref=sr_1_433_mod_primary_new?qid=1672923613&amp;s=kitchen&amp;sbo=RZvfv%2F%2FHxDF%2BO5021pAnSA%3D%3D&amp;sr=1-433" TargetMode="External"/><Relationship Id="rId1147" Type="http://schemas.openxmlformats.org/officeDocument/2006/relationships/hyperlink" Target="https://www.amazon.in/InstaCuppa-Portable-Smoothie-Crushing-Rechargeable/dp/B0B3G5XZN5/ref=sr_1_148?qid=1672923598&amp;s=kitchen&amp;sr=1-148" TargetMode="External"/><Relationship Id="rId1389" Type="http://schemas.openxmlformats.org/officeDocument/2006/relationships/hyperlink" Target="https://www.amazon.in/Spring-Chef-Stainless-Restaurant-Installation/dp/B0BP89YBC1/ref=sr_1_419?qid=1672923613&amp;s=kitchen&amp;sr=1-419" TargetMode="External"/><Relationship Id="rId1148" Type="http://schemas.openxmlformats.org/officeDocument/2006/relationships/hyperlink" Target="https://www.amazon.in/Lifelong-Flash-Instant-Heater-Certified/dp/B07WKB69RS/ref=sr_1_149?qid=1672923598&amp;s=kitchen&amp;sr=1-149" TargetMode="External"/><Relationship Id="rId1149" Type="http://schemas.openxmlformats.org/officeDocument/2006/relationships/hyperlink" Target="https://www.amazon.in/Hindware-Atlantic-Compacto-Instant-HI03PDW30/dp/B09DL9978Y/ref=sr_1_151?qid=1672923598&amp;s=kitchen&amp;sr=1-151" TargetMode="External"/><Relationship Id="rId316" Type="http://schemas.openxmlformats.org/officeDocument/2006/relationships/hyperlink" Target="https://www.amazon.in/Shopoflux-Silicone-Remote-Cover-Xiaomi/dp/B09YHLPQYT/ref=sr_1_482?qid=1672909149&amp;s=electronics&amp;sr=1-482" TargetMode="External"/><Relationship Id="rId558" Type="http://schemas.openxmlformats.org/officeDocument/2006/relationships/hyperlink" Target="https://www.amazon.in/LAPSTER-Protectors-Charger-Protector-Computers/dp/B0BBW521YC/ref=sr_1_403?qid=1672895864&amp;s=electronics&amp;sr=1-403" TargetMode="External"/><Relationship Id="rId315" Type="http://schemas.openxmlformats.org/officeDocument/2006/relationships/hyperlink" Target="https://www.amazon.in/Charging-Braided-Compatible-Samsung-Galaxy/dp/B08NW8GHCJ/ref=sr_1_481?qid=1672909149&amp;s=electronics&amp;sr=1-481" TargetMode="External"/><Relationship Id="rId557" Type="http://schemas.openxmlformats.org/officeDocument/2006/relationships/hyperlink" Target="https://www.amazon.in/ORAIMO-SUPER-FAST-CHARGER/dp/B078G6ZF5Z/ref=sr_1_402?qid=1672895864&amp;s=electronics&amp;sr=1-402" TargetMode="External"/><Relationship Id="rId799" Type="http://schemas.openxmlformats.org/officeDocument/2006/relationships/hyperlink" Target="https://www.amazon.in/Gizga-Essentials-Compatible-Smartphone-Security/dp/B09RF2QXGX/ref=sr_1_234?qid=1672903006&amp;s=computers&amp;sr=1-234" TargetMode="External"/><Relationship Id="rId314" Type="http://schemas.openxmlformats.org/officeDocument/2006/relationships/hyperlink" Target="https://www.amazon.in/Amazon-Brand-Charging-Suitable-Supported/dp/B09SB6SJB4/ref=sr_1_480?qid=1672909147&amp;s=electronics&amp;sr=1-480" TargetMode="External"/><Relationship Id="rId556" Type="http://schemas.openxmlformats.org/officeDocument/2006/relationships/hyperlink" Target="https://www.amazon.in/Spigen-Hybrid-Compatible-Carbonate-Crystal/dp/B0B1NX6JTN/ref=sr_1_389?qid=1672895864&amp;s=electronics&amp;sr=1-389" TargetMode="External"/><Relationship Id="rId798" Type="http://schemas.openxmlformats.org/officeDocument/2006/relationships/hyperlink" Target="https://www.amazon.in/Zinq-Technologies-Cool-Slate-Five/dp/B082FTPRSK/ref=sr_1_233?qid=1672903006&amp;s=computers&amp;sr=1-233" TargetMode="External"/><Relationship Id="rId313" Type="http://schemas.openxmlformats.org/officeDocument/2006/relationships/hyperlink" Target="https://www.amazon.in/Virtual-Reality-Headset-Headphones-Gaming/dp/B097JVLW3L/ref=sr_1_479?qid=1672909147&amp;s=electronics&amp;sr=1-479" TargetMode="External"/><Relationship Id="rId555" Type="http://schemas.openxmlformats.org/officeDocument/2006/relationships/hyperlink" Target="https://www.amazon.in/Redmi-Horizon-Qualcomm%C2%AE-SnapdragonTM-Included/dp/B09QS9CWLV/ref=sr_1_382?qid=1672895857&amp;s=electronics&amp;sr=1-382" TargetMode="External"/><Relationship Id="rId797" Type="http://schemas.openxmlformats.org/officeDocument/2006/relationships/hyperlink" Target="https://www.amazon.in/AirCase-15-6-Inch-MacBook-Protective-Neoprene/dp/B07Z1YVP72/ref=sr_1_232?qid=1672903006&amp;s=computers&amp;sr=1-232" TargetMode="External"/><Relationship Id="rId319" Type="http://schemas.openxmlformats.org/officeDocument/2006/relationships/hyperlink" Target="https://www.amazon.in/7SEVENTM-Bluetooth-Command-Compatible-Control/dp/B09P8M18QM/ref=sr_1_485?qid=1672909149&amp;s=electronics&amp;sr=1-485" TargetMode="External"/><Relationship Id="rId318" Type="http://schemas.openxmlformats.org/officeDocument/2006/relationships/hyperlink" Target="https://www.amazon.in/LUNAGARIYA%C2%AE-Protective-Compatible-Control-Dimensions/dp/B08YXJJW8H/ref=sr_1_484?qid=1672909149&amp;s=electronics&amp;sr=1-484" TargetMode="External"/><Relationship Id="rId317" Type="http://schemas.openxmlformats.org/officeDocument/2006/relationships/hyperlink" Target="https://www.amazon.in/EYNK-Charging-Charger-Transfer-Smartphones/dp/B08G1RW2Q3/ref=sr_1_483?qid=1672909149&amp;s=electronics&amp;sr=1-483" TargetMode="External"/><Relationship Id="rId559" Type="http://schemas.openxmlformats.org/officeDocument/2006/relationships/hyperlink" Target="https://www.amazon.in/REDMI-Sport-Carbon-Black-RAM/dp/B09HSKYMB3/ref=sr_1_405?qid=1672895864&amp;s=electronics&amp;sr=1-405" TargetMode="External"/><Relationship Id="rId1380" Type="http://schemas.openxmlformats.org/officeDocument/2006/relationships/hyperlink" Target="https://www.amazon.in/WinoteK-Instant-Portable-Geysers-automatic/dp/B07Y1RCCW5/ref=sr_1_409?qid=1672923612&amp;s=kitchen&amp;sr=1-409" TargetMode="External"/><Relationship Id="rId550" Type="http://schemas.openxmlformats.org/officeDocument/2006/relationships/hyperlink" Target="https://www.amazon.in/10WERUN-Bluetooth-Smartwatch-Wireless-Fitness/dp/B09RFB2SJQ/ref=sr_1_367?qid=1672895857&amp;s=electronics&amp;sr=1-367" TargetMode="External"/><Relationship Id="rId792" Type="http://schemas.openxmlformats.org/officeDocument/2006/relationships/hyperlink" Target="https://www.amazon.in/Lenovo-GX30M39704-300-USB-Mouse/dp/B073BRXPZX/ref=sr_1_226?qid=1672903006&amp;s=computers&amp;sr=1-226" TargetMode="External"/><Relationship Id="rId1381" Type="http://schemas.openxmlformats.org/officeDocument/2006/relationships/hyperlink" Target="https://www.amazon.in/Kent-Alkaline-Filter-Pitcher-3-5-litres/dp/B0762HXMTF/ref=sr_1_410?qid=1672923612&amp;s=kitchen&amp;sr=1-410" TargetMode="External"/><Relationship Id="rId791" Type="http://schemas.openxmlformats.org/officeDocument/2006/relationships/hyperlink" Target="https://www.amazon.in/Classmate-Long-Notebook-Cover-Single/dp/B00J4YG0PC/ref=sr_1_225?qid=1672903006&amp;s=computers&amp;sr=1-225" TargetMode="External"/><Relationship Id="rId1140" Type="http://schemas.openxmlformats.org/officeDocument/2006/relationships/hyperlink" Target="https://www.amazon.in/Crompton-CG-IHL-1500-Watt-Immersion-Compatible/dp/B00HZIOGXW/ref=sr_1_144?qid=1672923597&amp;s=kitchen&amp;sr=1-144" TargetMode="External"/><Relationship Id="rId1382" Type="http://schemas.openxmlformats.org/officeDocument/2006/relationships/hyperlink" Target="https://www.amazon.in/Sujata-DynaMix-DX-900-Watt-Grinder/dp/B00K57MR22/ref=sr_1_411?qid=1672923612&amp;s=kitchen&amp;sr=1-411" TargetMode="External"/><Relationship Id="rId790" Type="http://schemas.openxmlformats.org/officeDocument/2006/relationships/hyperlink" Target="https://www.amazon.in/DIGITEK%C2%AE-DRL-14C-Temperature-Photo-Shoot-Vlogging/dp/B09BN2NPBD/ref=sr_1_224?qid=1672903006&amp;s=computers&amp;sr=1-224" TargetMode="External"/><Relationship Id="rId1141" Type="http://schemas.openxmlformats.org/officeDocument/2006/relationships/hyperlink" Target="https://www.amazon.in/InstaCuppa-Rechargeable-Mini-Electric-Chopper/dp/B09CKSYBLR/ref=sr_1_145?qid=1672923597&amp;s=kitchen&amp;sr=1-145" TargetMode="External"/><Relationship Id="rId1383" Type="http://schemas.openxmlformats.org/officeDocument/2006/relationships/hyperlink" Target="https://www.amazon.in/Lifelong-LLMG74-Mixer-Grinder-White/dp/B07TTSS5MP/ref=sr_1_412?qid=1672923612&amp;s=kitchen&amp;sr=1-412" TargetMode="External"/><Relationship Id="rId1142" Type="http://schemas.openxmlformats.org/officeDocument/2006/relationships/hyperlink" Target="https://www.amazon.in/Philips-PowerPro-FC9352-01-Compact/dp/B072J83V9W/ref=sr_1_146?qid=1672923597&amp;s=kitchen&amp;sr=1-146" TargetMode="External"/><Relationship Id="rId1384" Type="http://schemas.openxmlformats.org/officeDocument/2006/relationships/hyperlink" Target="https://www.amazon.in/TTK-Prestige-Limited-Grinder-1200ml/dp/B09ZDVL7L8/ref=sr_1_413?qid=1672923612&amp;s=kitchen&amp;sr=1-413" TargetMode="External"/><Relationship Id="rId312" Type="http://schemas.openxmlformats.org/officeDocument/2006/relationships/hyperlink" Target="https://www.amazon.in/BESTOR%C2%AE-48Gbps-9-80FT-Braided-Cord-4K/dp/B09HCH3JZG/ref=sr_1_478?qid=1672909147&amp;s=electronics&amp;sr=1-478" TargetMode="External"/><Relationship Id="rId554" Type="http://schemas.openxmlformats.org/officeDocument/2006/relationships/hyperlink" Target="https://www.amazon.in/Noise-ColorFit-Bluetooth-Calling-Metallic/dp/B0B2X35B1K/ref=sr_1_379?qid=1672895857&amp;s=electronics&amp;sr=1-379" TargetMode="External"/><Relationship Id="rId796" Type="http://schemas.openxmlformats.org/officeDocument/2006/relationships/hyperlink" Target="https://www.amazon.in/Portronics-MPORT-Ports-USB-Connector/dp/B09M8888DM/ref=sr_1_231?qid=1672903006&amp;s=computers&amp;sr=1-231" TargetMode="External"/><Relationship Id="rId1143" Type="http://schemas.openxmlformats.org/officeDocument/2006/relationships/hyperlink" Target="https://www.amazon.in/SAIELLIN-Clothes-Sweater-Defuzzer-Trimmer/dp/B09MTLG4TP/ref=sr_1_147?qid=1672923597&amp;s=kitchen&amp;sr=1-147" TargetMode="External"/><Relationship Id="rId1385" Type="http://schemas.openxmlformats.org/officeDocument/2006/relationships/hyperlink" Target="https://www.amazon.in/AGARO-Regal-Electric-Ceramic-functions/dp/B09XHXXCFH/ref=sr_1_412?qid=1672923613&amp;s=kitchen&amp;sr=1-412" TargetMode="External"/><Relationship Id="rId311" Type="http://schemas.openxmlformats.org/officeDocument/2006/relationships/hyperlink" Target="https://www.amazon.in/MI-inches-Ready-Android-L32M7-EAIN/dp/B0B8CXTTG3/ref=sr_1_477?qid=1672909147&amp;s=electronics&amp;sr=1-477" TargetMode="External"/><Relationship Id="rId553" Type="http://schemas.openxmlformats.org/officeDocument/2006/relationships/hyperlink" Target="https://www.amazon.in/Sounce-Plated-Headphone-Earphone-Splitter/dp/B08BCKN299/ref=sr_1_375?qid=1672895857&amp;s=electronics&amp;sr=1-375" TargetMode="External"/><Relationship Id="rId795" Type="http://schemas.openxmlformats.org/officeDocument/2006/relationships/hyperlink" Target="https://www.amazon.in/Logitech-C270-HD-Webcam-Black/dp/B008QS9J6Y/ref=sr_1_230?qid=1672903006&amp;s=computers&amp;sr=1-230" TargetMode="External"/><Relationship Id="rId1144" Type="http://schemas.openxmlformats.org/officeDocument/2006/relationships/hyperlink" Target="https://www.amazon.in/Cookwell-Bullet-Mixer-Grinder-Silver/dp/B097XJQZ8H/ref=sr_1_148?qid=1672923597&amp;s=kitchen&amp;sr=1-148" TargetMode="External"/><Relationship Id="rId1386" Type="http://schemas.openxmlformats.org/officeDocument/2006/relationships/hyperlink" Target="https://www.amazon.in/Portable-Rechargeable-Smoothies-Vegetables-BOTTLE/dp/B0BL3R4RGS/ref=sr_1_415?qid=1672923613&amp;s=kitchen&amp;sr=1-415" TargetMode="External"/><Relationship Id="rId310" Type="http://schemas.openxmlformats.org/officeDocument/2006/relationships/hyperlink" Target="https://www.amazon.in/Synqe-Charging-Charger-Samsung-Galaxy/dp/B08H5L8V1L/ref=sr_1_476?qid=1672909147&amp;s=electronics&amp;sr=1-476" TargetMode="External"/><Relationship Id="rId552" Type="http://schemas.openxmlformats.org/officeDocument/2006/relationships/hyperlink" Target="https://www.amazon.in/URBN-20000-Li-Polymer-Compact-Charge/dp/B08HF4W2CT/ref=sr_1_372?qid=1672895857&amp;s=electronics&amp;sr=1-372" TargetMode="External"/><Relationship Id="rId794" Type="http://schemas.openxmlformats.org/officeDocument/2006/relationships/hyperlink" Target="https://www.amazon.in/Passport-Portable-External-Drive-Black/dp/B07VTFN6HM/ref=sr_1_229?qid=1672903006&amp;s=computers&amp;sr=1-229" TargetMode="External"/><Relationship Id="rId1145" Type="http://schemas.openxmlformats.org/officeDocument/2006/relationships/hyperlink" Target="https://www.amazon.in/Prestige-PRWO-1-8-2-700-Watts-Aluminium/dp/B00935MD1C/ref=sr_1_149?qid=1672923597&amp;s=kitchen&amp;sr=1-149" TargetMode="External"/><Relationship Id="rId1387" Type="http://schemas.openxmlformats.org/officeDocument/2006/relationships/hyperlink" Target="https://www.amazon.in/Philips-HD6975-00-25-Litre-Digital/dp/B07P1BR7L8/ref=sr_1_417?qid=1672923613&amp;s=kitchen&amp;sr=1-417" TargetMode="External"/><Relationship Id="rId551" Type="http://schemas.openxmlformats.org/officeDocument/2006/relationships/hyperlink" Target="https://www.amazon.in/Tokdis-MX-1-Bluetooth-Calling-Smartwatch/dp/B0B82YGCF6/ref=sr_1_370?qid=1672895857&amp;s=electronics&amp;sr=1-370" TargetMode="External"/><Relationship Id="rId793" Type="http://schemas.openxmlformats.org/officeDocument/2006/relationships/hyperlink" Target="https://www.amazon.in/Dyazo-Computer-Adjustable-Ergonomic-Compatible/dp/B08LHTJTBB/ref=sr_1_228?qid=1672903006&amp;s=computers&amp;sr=1-228" TargetMode="External"/><Relationship Id="rId1146" Type="http://schemas.openxmlformats.org/officeDocument/2006/relationships/hyperlink" Target="https://www.amazon.in/Swiffer-Instant-Electric-Home-Kitchen-Instantaneous/dp/B0BR4F878Q/ref=sr_1_150?qid=1672923597&amp;s=kitchen&amp;sr=1-150" TargetMode="External"/><Relationship Id="rId1388" Type="http://schemas.openxmlformats.org/officeDocument/2006/relationships/hyperlink" Target="https://www.amazon.in/Usha-Electric-EI3710-1000W-Golden/dp/B078WB1VWJ/ref=sr_1_418?qid=1672923613&amp;s=kitchen&amp;sr=1-418" TargetMode="External"/><Relationship Id="rId297" Type="http://schemas.openxmlformats.org/officeDocument/2006/relationships/hyperlink" Target="https://www.amazon.in/Smashtronics%C2%AE-Silicone-Firestick-Control-Shockproof/dp/B09HK9JH4F/ref=sr_1_463?qid=1672909147&amp;s=electronics&amp;sr=1-463" TargetMode="External"/><Relationship Id="rId296" Type="http://schemas.openxmlformats.org/officeDocument/2006/relationships/hyperlink" Target="https://www.amazon.in/Kodak-inches-55CA0909-Digital-Surround/dp/B08XXF5V6G/ref=sr_1_462?qid=1672909147&amp;s=electronics&amp;sr=1-462" TargetMode="External"/><Relationship Id="rId295" Type="http://schemas.openxmlformats.org/officeDocument/2006/relationships/hyperlink" Target="https://www.amazon.in/AmazonBasics-USB-Type-C-Micro-B-Cable/dp/B01LONQBDG/ref=sr_1_458?qid=1672909147&amp;s=electronics&amp;sr=1-458" TargetMode="External"/><Relationship Id="rId294" Type="http://schemas.openxmlformats.org/officeDocument/2006/relationships/hyperlink" Target="https://www.amazon.in/Tuarso-High-Speed-Compatible-Television-Projectors/dp/B0BBMGLQDW/ref=sr_1_457?qid=1672909147&amp;s=electronics&amp;sr=1-457" TargetMode="External"/><Relationship Id="rId299" Type="http://schemas.openxmlformats.org/officeDocument/2006/relationships/hyperlink" Target="https://www.amazon.in/PROLEGEND%C2%AE-PL-T002-Universal-Stand-Screen/dp/B09HN7LD5L/ref=sr_1_465?qid=1672909147&amp;s=electronics&amp;sr=1-465" TargetMode="External"/><Relationship Id="rId298" Type="http://schemas.openxmlformats.org/officeDocument/2006/relationships/hyperlink" Target="https://www.amazon.in/7SEVENTM-Universal-Replacement-Original-Television/dp/B09MMD1FDN/ref=sr_1_464?qid=1672909147&amp;s=electronics&amp;sr=1-464" TargetMode="External"/><Relationship Id="rId271" Type="http://schemas.openxmlformats.org/officeDocument/2006/relationships/hyperlink" Target="https://www.amazon.in/Acer-inches-Ultra-Android-AR55AR2851UDPRO/dp/B0B997FBZT/ref=sr_1_394?qid=1672909144&amp;s=electronics&amp;sr=1-394" TargetMode="External"/><Relationship Id="rId270" Type="http://schemas.openxmlformats.org/officeDocument/2006/relationships/hyperlink" Target="https://www.amazon.in/KRISONS-Multimedia-Standing-Bluetooth-Connectivity/dp/B09LRZYBH1/ref=sr_1_388?qid=1672909144&amp;s=electronics&amp;sr=1-388" TargetMode="External"/><Relationship Id="rId269" Type="http://schemas.openxmlformats.org/officeDocument/2006/relationships/hyperlink" Target="https://www.amazon.in/Bluetooth-Transmitter-Receiver-Headphones-Speakers/dp/B0978V2CP6/ref=sr_1_385?qid=1672909144&amp;s=electronics&amp;sr=1-385" TargetMode="External"/><Relationship Id="rId264" Type="http://schemas.openxmlformats.org/officeDocument/2006/relationships/hyperlink" Target="https://www.amazon.in/Compatible-Suitable-Control-Non-Support-Netflix/dp/B09F6D21BY/ref=sr_1_344?qid=1672909141&amp;s=electronics&amp;sr=1-344" TargetMode="External"/><Relationship Id="rId263" Type="http://schemas.openxmlformats.org/officeDocument/2006/relationships/hyperlink" Target="https://www.amazon.in/Belkin-Certified-Lightning-Braided-Meters-Black/dp/B084N1BM9L/ref=sr_1_340?qid=1672909141&amp;s=electronics&amp;sr=1-340" TargetMode="External"/><Relationship Id="rId262" Type="http://schemas.openxmlformats.org/officeDocument/2006/relationships/hyperlink" Target="https://www.amazon.in/Wayona-Charger-Samsung-Galaxy-Wc3Cb1/dp/B07F1P8KNV/ref=sr_1_338?qid=1672909141&amp;s=electronics&amp;sr=1-338" TargetMode="External"/><Relationship Id="rId261" Type="http://schemas.openxmlformats.org/officeDocument/2006/relationships/hyperlink" Target="https://www.amazon.in/AmazonBasics-High-Speed-Female-Extension-Cable/dp/B01D5H90L4/ref=sr_1_335?qid=1672909140&amp;s=electronics&amp;sr=1-335" TargetMode="External"/><Relationship Id="rId268" Type="http://schemas.openxmlformats.org/officeDocument/2006/relationships/hyperlink" Target="https://www.amazon.in/AmazonBasics-Braided-HDMI-Cable-3-Feet/dp/B075ZTJ9XR/ref=sr_1_380?qid=1672909143&amp;s=electronics&amp;sr=1-380" TargetMode="External"/><Relationship Id="rId267" Type="http://schemas.openxmlformats.org/officeDocument/2006/relationships/hyperlink" Target="https://www.amazon.in/Lapster-mantra-cable-data-black/dp/B0B61HYR92/ref=sr_1_371?qid=1672909143&amp;s=electronics&amp;sr=1-371" TargetMode="External"/><Relationship Id="rId266" Type="http://schemas.openxmlformats.org/officeDocument/2006/relationships/hyperlink" Target="https://www.amazon.in/Acer-inches-Android-Smart-AR40AR2841FDFL/dp/B0BC9BW512/ref=sr_1_367?qid=1672909143&amp;s=electronics&amp;sr=1-367" TargetMode="External"/><Relationship Id="rId265" Type="http://schemas.openxmlformats.org/officeDocument/2006/relationships/hyperlink" Target="https://www.amazon.in/Realme-Smart-TV-Stick-4K/dp/B09LQQYNZQ/ref=sr_1_352?qid=1672909141&amp;s=electronics&amp;sr=1-352" TargetMode="External"/><Relationship Id="rId260" Type="http://schemas.openxmlformats.org/officeDocument/2006/relationships/hyperlink" Target="https://www.amazon.in/AmazonBasics-Certified-Lightning-Charge-Collection/dp/B07DWFX9YS/ref=sr_1_333?qid=1672909140&amp;s=electronics&amp;sr=1-333" TargetMode="External"/><Relationship Id="rId259" Type="http://schemas.openxmlformats.org/officeDocument/2006/relationships/hyperlink" Target="https://www.amazon.in/Rugged-V3-Braided-Micro-Cable/dp/B07CRL2GY6/ref=sr_1_329?qid=1672909140&amp;s=electronics&amp;sr=1-329" TargetMode="External"/><Relationship Id="rId258" Type="http://schemas.openxmlformats.org/officeDocument/2006/relationships/hyperlink" Target="https://www.amazon.in/Wayona-Charging-Charger-Samsung-Galaxy/dp/B08CT62BM1/ref=sr_1_326?qid=1672909140&amp;s=electronics&amp;sr=1-326" TargetMode="External"/><Relationship Id="rId253" Type="http://schemas.openxmlformats.org/officeDocument/2006/relationships/hyperlink" Target="https://www.amazon.in/Storite-Feet-Micro-USB-Cable/dp/B07924P3C5/ref=sr_1_292?qid=1672909139&amp;s=electronics&amp;sr=1-292" TargetMode="External"/><Relationship Id="rId495" Type="http://schemas.openxmlformats.org/officeDocument/2006/relationships/hyperlink" Target="https://www.amazon.in/Charger-Multi-Layer-Protection-Certified-Charging/dp/B09TP5KBN7/ref=sr_1_186?qid=1672895799&amp;s=electronics&amp;sr=1-186" TargetMode="External"/><Relationship Id="rId252" Type="http://schemas.openxmlformats.org/officeDocument/2006/relationships/hyperlink" Target="https://www.amazon.in/7SEVENTM-Compatible-Android-Original-Replacement/dp/B09RQRZW2X/ref=sr_1_291?qid=1672909139&amp;s=electronics&amp;sr=1-291" TargetMode="External"/><Relationship Id="rId494" Type="http://schemas.openxmlformats.org/officeDocument/2006/relationships/hyperlink" Target="https://www.amazon.in/Portronics-POR-926-Car-Vent-Mobile-Holder/dp/B07GNC2592/ref=sr_1_185?qid=1672895799&amp;s=electronics&amp;sr=1-185" TargetMode="External"/><Relationship Id="rId251" Type="http://schemas.openxmlformats.org/officeDocument/2006/relationships/hyperlink" Target="https://www.amazon.in/7SEVEN-Compatible-Non-Voice-Infrared-Universal/dp/B09B125CFJ/ref=sr_1_290?qid=1672909139&amp;s=electronics&amp;sr=1-290" TargetMode="External"/><Relationship Id="rId493" Type="http://schemas.openxmlformats.org/officeDocument/2006/relationships/hyperlink" Target="https://www.amazon.in/PTron-Force-Bluetooth-Smartwatch-Waterproof/dp/B0B53NXFFR/ref=sr_1_184?qid=1672895799&amp;s=electronics&amp;sr=1-184" TargetMode="External"/><Relationship Id="rId250" Type="http://schemas.openxmlformats.org/officeDocument/2006/relationships/hyperlink" Target="https://www.amazon.in/Sony-Bravia-inches-Google-KD-65X74K/dp/B09WN3SRC7/ref=sr_1_291?qid=1672909138&amp;s=electronics&amp;sr=1-291" TargetMode="External"/><Relationship Id="rId492" Type="http://schemas.openxmlformats.org/officeDocument/2006/relationships/hyperlink" Target="https://www.amazon.in/Noise-Bluetooth-Calling-Function-Monitoring/dp/B09PLFJ7ZW/ref=sr_1_182?qid=1672895799&amp;s=electronics&amp;sr=1-182" TargetMode="External"/><Relationship Id="rId257" Type="http://schemas.openxmlformats.org/officeDocument/2006/relationships/hyperlink" Target="https://www.amazon.in/Cablecreation-Audio-Cable-3-5mm-2-Male/dp/B06XFTHCNY/ref=sr_1_305?qid=1672909139&amp;s=electronics&amp;sr=1-305" TargetMode="External"/><Relationship Id="rId499" Type="http://schemas.openxmlformats.org/officeDocument/2006/relationships/hyperlink" Target="https://www.amazon.in/Samsung-Galaxy-Prime-Light-Blue/dp/B0BD3T6Z1D/ref=sr_1_193?qid=1672895806&amp;s=electronics&amp;sr=1-193" TargetMode="External"/><Relationship Id="rId256" Type="http://schemas.openxmlformats.org/officeDocument/2006/relationships/hyperlink" Target="https://www.amazon.in/VU-inches-GloLED-Google-65GloLED/dp/B0BC8BQ432/ref=sr_1_302?qid=1672909139&amp;s=electronics&amp;sr=1-302" TargetMode="External"/><Relationship Id="rId498" Type="http://schemas.openxmlformats.org/officeDocument/2006/relationships/hyperlink" Target="https://www.amazon.in/iQOO-Phantom-Snapdragon-FlashCharge-Brightness/dp/B07WHSJXLF/ref=sr_1_192?qid=1672895799&amp;s=electronics&amp;sr=1-192" TargetMode="External"/><Relationship Id="rId255" Type="http://schemas.openxmlformats.org/officeDocument/2006/relationships/hyperlink" Target="https://www.amazon.in/SVM-Products-Premium-Quality-Unbreakable/dp/B07VVXJ2P5/ref=sr_1_300?qid=1672909139&amp;s=electronics&amp;sr=1-300" TargetMode="External"/><Relationship Id="rId497" Type="http://schemas.openxmlformats.org/officeDocument/2006/relationships/hyperlink" Target="https://www.amazon.in/boAt-Wave-Lite-Smartwatch-Multiple/dp/B09V175NP7/ref=sr_1_190?qid=1672895799&amp;s=electronics&amp;sr=1-190" TargetMode="External"/><Relationship Id="rId254" Type="http://schemas.openxmlformats.org/officeDocument/2006/relationships/hyperlink" Target="https://www.amazon.in/FLiX-Textured-charging-Lightning-Smartphones/dp/B08N1WL9XW/ref=sr_1_293?qid=1672909139&amp;s=electronics&amp;sr=1-293" TargetMode="External"/><Relationship Id="rId496" Type="http://schemas.openxmlformats.org/officeDocument/2006/relationships/hyperlink" Target="https://www.amazon.in/boAt-Flash-Smartwatch-Resistance-Lightning/dp/B0949SBKMP/ref=sr_1_188?qid=1672895799&amp;s=electronics&amp;sr=1-188" TargetMode="External"/><Relationship Id="rId293" Type="http://schemas.openxmlformats.org/officeDocument/2006/relationships/hyperlink" Target="https://www.amazon.in/Hisense-inches-Bezelless-Google-50A6H/dp/B0B2C5MJN6/ref=sr_1_456?qid=1672909146&amp;s=electronics&amp;sr=1-456" TargetMode="External"/><Relationship Id="rId292" Type="http://schemas.openxmlformats.org/officeDocument/2006/relationships/hyperlink" Target="https://www.amazon.in/AmazonBasics-High-Speed-Braided-10-Foot-1-Pack/dp/B07RY2X9MP/ref=sr_1_454?qid=1672909146&amp;s=electronics&amp;sr=1-454" TargetMode="External"/><Relationship Id="rId291" Type="http://schemas.openxmlformats.org/officeDocument/2006/relationships/hyperlink" Target="https://www.amazon.in/V-smash-Firestick-Remote/dp/B09TY4MSH3/ref=sr_1_453?qid=1672909146&amp;s=electronics&amp;sr=1-453" TargetMode="External"/><Relationship Id="rId290" Type="http://schemas.openxmlformats.org/officeDocument/2006/relationships/hyperlink" Target="https://www.amazon.in/AmazonBasics-Double-Braided-Nylon-Type-C/dp/B07CWDX49D/ref=sr_1_452?qid=1672909146&amp;s=electronics&amp;sr=1-452" TargetMode="External"/><Relationship Id="rId286" Type="http://schemas.openxmlformats.org/officeDocument/2006/relationships/hyperlink" Target="https://www.amazon.in/pTron-Charging-480Mbps-Durable-Smartphone/dp/B0B4T8RSJ1/ref=sr_1_448?qid=1672909146&amp;s=electronics&amp;sr=1-448" TargetMode="External"/><Relationship Id="rId285" Type="http://schemas.openxmlformats.org/officeDocument/2006/relationships/hyperlink" Target="https://www.amazon.in/Tata-Sky-Digital-Setup-Remote/dp/B08RZ12GKR/ref=sr_1_447?qid=1672909146&amp;s=electronics&amp;sr=1-447" TargetMode="External"/><Relationship Id="rId284" Type="http://schemas.openxmlformats.org/officeDocument/2006/relationships/hyperlink" Target="https://www.amazon.in/LG-inches-Ultra-55UQ7500PSF-Ceramic/dp/B0B3XXSB1K/ref=sr_1_445?qid=1672909146&amp;s=electronics&amp;sr=1-445" TargetMode="External"/><Relationship Id="rId283" Type="http://schemas.openxmlformats.org/officeDocument/2006/relationships/hyperlink" Target="https://www.amazon.in/Amazon-Brand-Charging-Suitable-Supported/dp/B0B94JPY2N/ref=sr_1_444?qid=1672909146&amp;s=electronics&amp;sr=1-444" TargetMode="External"/><Relationship Id="rId289" Type="http://schemas.openxmlformats.org/officeDocument/2006/relationships/hyperlink" Target="https://www.amazon.in/Kodak-inches-32HDX900S-Ready-Black/dp/B06XGWRKYT/ref=sr_1_451?qid=1672909146&amp;s=electronics&amp;sr=1-451" TargetMode="External"/><Relationship Id="rId288" Type="http://schemas.openxmlformats.org/officeDocument/2006/relationships/hyperlink" Target="https://www.amazon.in/Storite-USB-3-0-Transfer-Enclosures/dp/B08XXVXP3J/ref=sr_1_450?qid=1672909146&amp;s=electronics&amp;sr=1-450" TargetMode="External"/><Relationship Id="rId287" Type="http://schemas.openxmlformats.org/officeDocument/2006/relationships/hyperlink" Target="https://www.amazon.in/VU-inches-Premium-Smart-43GA/dp/B0B7B9V9QP/ref=sr_1_449?qid=1672909146&amp;s=electronics&amp;sr=1-449" TargetMode="External"/><Relationship Id="rId282" Type="http://schemas.openxmlformats.org/officeDocument/2006/relationships/hyperlink" Target="https://www.amazon.in/Lenovo-Tangle-free-Aramid-braided-1-2m-transmission-certified/dp/B09PTT8DZF/ref=sr_1_438?qid=1672909146&amp;s=electronics&amp;sr=1-438" TargetMode="External"/><Relationship Id="rId281" Type="http://schemas.openxmlformats.org/officeDocument/2006/relationships/hyperlink" Target="https://www.amazon.in/Toshiba-inches-Android-43V35KP-Silver/dp/B0B21XL94T/ref=sr_1_425?qid=1672909145&amp;s=electronics&amp;sr=1-425" TargetMode="External"/><Relationship Id="rId280" Type="http://schemas.openxmlformats.org/officeDocument/2006/relationships/hyperlink" Target="https://www.amazon.in/Astigo-Compatible-Remote-Control-Smart/dp/B08TZD7FQN/ref=sr_1_423?qid=1672909145&amp;s=electronics&amp;sr=1-423" TargetMode="External"/><Relationship Id="rId275" Type="http://schemas.openxmlformats.org/officeDocument/2006/relationships/hyperlink" Target="https://www.amazon.in/Airtel-Digital-TV-Month-Recording/dp/B075TJHWVC/ref=sr_1_407_mod_primary_new?qid=1672909144&amp;s=electronics&amp;sbo=RZvfv%2F%2FHxDF%2BO5021pAnSA%3D%3D&amp;sr=1-407" TargetMode="External"/><Relationship Id="rId274" Type="http://schemas.openxmlformats.org/officeDocument/2006/relationships/hyperlink" Target="https://www.amazon.in/inches-Ready-Smart-VW32PRO-Black/dp/B08PZ6HZLT/ref=sr_1_404?qid=1672909144&amp;s=electronics&amp;sr=1-404" TargetMode="External"/><Relationship Id="rId273" Type="http://schemas.openxmlformats.org/officeDocument/2006/relationships/hyperlink" Target="https://www.amazon.in/Wayona-Lightning-Certified-charging-Braided/dp/B09HV71RL1/ref=sr_1_400?qid=1672909144&amp;s=electronics&amp;sr=1-400" TargetMode="External"/><Relationship Id="rId272" Type="http://schemas.openxmlformats.org/officeDocument/2006/relationships/hyperlink" Target="https://www.amazon.in/Dealfreez-Compatible-Shockproof-Silicone-Anti-Lost/dp/B098LCVYPW/ref=sr_1_395?qid=1672909144&amp;s=electronics&amp;sr=1-395" TargetMode="External"/><Relationship Id="rId279" Type="http://schemas.openxmlformats.org/officeDocument/2006/relationships/hyperlink" Target="https://www.amazon.in/inches-Horizon-Android-L40M6-EI-Black/dp/B09HQSV46W/ref=sr_1_420?qid=1672909145&amp;s=electronics&amp;sr=1-420" TargetMode="External"/><Relationship Id="rId278" Type="http://schemas.openxmlformats.org/officeDocument/2006/relationships/hyperlink" Target="https://www.amazon.in/Amazon-Brand-Solimo-Charging-Cable/dp/B09VH568H7/ref=sr_1_415?qid=1672909145&amp;s=electronics&amp;sr=1-415" TargetMode="External"/><Relationship Id="rId277" Type="http://schemas.openxmlformats.org/officeDocument/2006/relationships/hyperlink" Target="https://www.amazon.in/Samsung-inches-Crystal-Ultra-UA55AUE60AKLXL/dp/B092BL5DCX/ref=sr_1_411?qid=1672909145&amp;s=electronics&amp;sr=1-411" TargetMode="External"/><Relationship Id="rId276" Type="http://schemas.openxmlformats.org/officeDocument/2006/relationships/hyperlink" Target="https://www.amazon.in/LOHAYA-Assistant-Compatible-Xstream-Function/dp/B09LV13JFB/ref=sr_1_408?qid=1672909144&amp;s=electronics&amp;sr=1-408" TargetMode="External"/><Relationship Id="rId907" Type="http://schemas.openxmlformats.org/officeDocument/2006/relationships/hyperlink" Target="https://www.amazon.in/HP-B4B09PA-Headphones-with-Mic/dp/B009LJ2BXA/ref=sr_1_361?qid=1672903013&amp;s=computers&amp;sr=1-361" TargetMode="External"/><Relationship Id="rId906" Type="http://schemas.openxmlformats.org/officeDocument/2006/relationships/hyperlink" Target="https://www.amazon.in/Lenovo-65W-320-15IKBRA-320S-14IKBR-510S-13IKB/dp/B07DJ5KYDZ/ref=sr_1_360?qid=1672903012&amp;s=computers&amp;sr=1-360" TargetMode="External"/><Relationship Id="rId905" Type="http://schemas.openxmlformats.org/officeDocument/2006/relationships/hyperlink" Target="https://www.amazon.in/Camel-Camlin-Kokuyo-Fabrica-Acrylic/dp/B00LY1FN1K/ref=sr_1_359?qid=1672903012&amp;s=computers&amp;sr=1-359" TargetMode="External"/><Relationship Id="rId904" Type="http://schemas.openxmlformats.org/officeDocument/2006/relationships/hyperlink" Target="https://www.amazon.in/Duracell-Chhota-Power-Coins-2025-5/dp/B08Y5QJTVK/ref=sr_1_358?qid=1672903012&amp;s=computers&amp;sr=1-358" TargetMode="External"/><Relationship Id="rId909" Type="http://schemas.openxmlformats.org/officeDocument/2006/relationships/hyperlink" Target="https://www.amazon.in/Ambrane-Unbreakable-Charging-RCT15-Supports/dp/B0BFWGBX61/ref=sr_1_363?qid=1672903013&amp;s=computers&amp;sr=1-363" TargetMode="External"/><Relationship Id="rId908" Type="http://schemas.openxmlformats.org/officeDocument/2006/relationships/hyperlink" Target="https://www.amazon.in/Redragon-K617-Keyboard-Mechanical-Supported/dp/B09BVCVTBC/ref=sr_1_362?qid=1672903013&amp;s=computers&amp;sr=1-362" TargetMode="External"/><Relationship Id="rId903" Type="http://schemas.openxmlformats.org/officeDocument/2006/relationships/hyperlink" Target="https://www.amazon.in/Smart-Camera-Coverage-Intruder-Google/dp/B09LD3116F/ref=sr_1_357?qid=1672903012&amp;s=computers&amp;sr=1-357" TargetMode="External"/><Relationship Id="rId902" Type="http://schemas.openxmlformats.org/officeDocument/2006/relationships/hyperlink" Target="https://www.amazon.in/URBN-Li-Polymer-Charge-Compact-Certification/dp/B07X963JNS/ref=sr_1_356?qid=1672903012&amp;s=computers&amp;sr=1-356" TargetMode="External"/><Relationship Id="rId901" Type="http://schemas.openxmlformats.org/officeDocument/2006/relationships/hyperlink" Target="https://www.amazon.in/LAPSTER-SATA-CABLE-LAPTOP-DESKTOP/dp/B09F3PDDRF/ref=sr_1_353?qid=1672903012&amp;s=computers&amp;sr=1-353" TargetMode="External"/><Relationship Id="rId900" Type="http://schemas.openxmlformats.org/officeDocument/2006/relationships/hyperlink" Target="https://www.amazon.in/Zebronics-Zeb-Vita-Portable-Speaker-Bluetooth/dp/B0814ZY6FP/ref=sr_1_352?qid=1672903012&amp;s=computers&amp;sr=1-352" TargetMode="External"/><Relationship Id="rId929" Type="http://schemas.openxmlformats.org/officeDocument/2006/relationships/hyperlink" Target="https://www.amazon.in/Portronics-Konnect-POR-1079-Charging-Micro/dp/B08CDKQ8T6/ref=sr_1_385?qid=1672903014&amp;s=computers&amp;sr=1-385" TargetMode="External"/><Relationship Id="rId928" Type="http://schemas.openxmlformats.org/officeDocument/2006/relationships/hyperlink" Target="https://www.amazon.in/SaleOnTM-Portable-Organizer-Earphone-Assorted/dp/B07NTKGW45/ref=sr_1_384?qid=1672903013&amp;s=computers&amp;sr=1-384" TargetMode="External"/><Relationship Id="rId927" Type="http://schemas.openxmlformats.org/officeDocument/2006/relationships/hyperlink" Target="https://www.amazon.in/Zinq-Technologies-ZQ-6600-Intercom-Set-top/dp/B08FGNPQ9X/ref=sr_1_383?qid=1672903013&amp;s=computers&amp;sr=1-383" TargetMode="External"/><Relationship Id="rId926" Type="http://schemas.openxmlformats.org/officeDocument/2006/relationships/hyperlink" Target="https://www.amazon.in/WeCool-Unbreakable-Charging-Purpose-iPhone/dp/B0B4DT8MKT/ref=sr_1_382?qid=1672903013&amp;s=computers&amp;sr=1-382" TargetMode="External"/><Relationship Id="rId921" Type="http://schemas.openxmlformats.org/officeDocument/2006/relationships/hyperlink" Target="https://www.amazon.in/Silicone-Earplugs-Replacement-Earphones-Bluetooth/dp/B08X77LM8C/ref=sr_1_376?qid=1672903013&amp;s=computers&amp;sr=1-376" TargetMode="External"/><Relationship Id="rId920" Type="http://schemas.openxmlformats.org/officeDocument/2006/relationships/hyperlink" Target="https://www.amazon.in/Parker-Vector-Standard-Ball-Black/dp/B00LZPQVMK/ref=sr_1_374?qid=1672903013&amp;s=computers&amp;sr=1-374" TargetMode="External"/><Relationship Id="rId925" Type="http://schemas.openxmlformats.org/officeDocument/2006/relationships/hyperlink" Target="https://www.amazon.in/Faber-Castell-Connector-Pen-Set-Assorted/dp/B00DJ5N9VK/ref=sr_1_381?qid=1672903013&amp;s=computers&amp;sr=1-381" TargetMode="External"/><Relationship Id="rId924" Type="http://schemas.openxmlformats.org/officeDocument/2006/relationships/hyperlink" Target="https://www.amazon.in/AirCase-14-Inch-MacBook-Protective-Neoprene/dp/B07Z1Z77ZZ/ref=sr_1_380?qid=1672903013&amp;s=computers&amp;sr=1-380" TargetMode="External"/><Relationship Id="rId923" Type="http://schemas.openxmlformats.org/officeDocument/2006/relationships/hyperlink" Target="https://www.amazon.in/Samsung-inch-Bezel-Flicker-Monitor-LF24T350FHWXXL/dp/B08J82K4GX/ref=sr_1_379?qid=1672903013&amp;s=computers&amp;sr=1-379" TargetMode="External"/><Relationship Id="rId922" Type="http://schemas.openxmlformats.org/officeDocument/2006/relationships/hyperlink" Target="https://www.amazon.in/Canon-MG2577s-Inkjet-Colour-Printer/dp/B01EJ5MM5M/ref=sr_1_378?qid=1672903013&amp;s=computers&amp;sr=1-378" TargetMode="External"/><Relationship Id="rId918" Type="http://schemas.openxmlformats.org/officeDocument/2006/relationships/hyperlink" Target="https://www.amazon.in/ESR-iPad-Screen-Protector-Scratch-Resistant/dp/B07TMCXRFV/ref=sr_1_372?qid=1672903013&amp;s=computers&amp;sr=1-372" TargetMode="External"/><Relationship Id="rId917" Type="http://schemas.openxmlformats.org/officeDocument/2006/relationships/hyperlink" Target="https://www.amazon.in/Boult-Audio-Wired-Lightweight-Comfortable/dp/B08FY4FG5X/ref=sr_1_371?qid=1672903013&amp;s=computers&amp;sr=1-371" TargetMode="External"/><Relationship Id="rId916" Type="http://schemas.openxmlformats.org/officeDocument/2006/relationships/hyperlink" Target="https://www.amazon.in/Zebronics-100HB-High-Speed-Port/dp/B07GLNJC25/ref=sr_1_370?qid=1672903013&amp;s=computers&amp;sr=1-370" TargetMode="External"/><Relationship Id="rId915" Type="http://schemas.openxmlformats.org/officeDocument/2006/relationships/hyperlink" Target="https://www.amazon.in/Security-Bluetooth-Connection-Low-Light-Detection/dp/B09CYTJV3N/ref=sr_1_369?qid=1672903013&amp;s=computers&amp;sr=1-369" TargetMode="External"/><Relationship Id="rId919" Type="http://schemas.openxmlformats.org/officeDocument/2006/relationships/hyperlink" Target="https://www.amazon.in/Super-Rockerz-400-Bluetooth-Headphones/dp/B01FSYQ2A4/ref=sr_1_373?qid=1672903013&amp;s=computers&amp;sr=1-373" TargetMode="External"/><Relationship Id="rId910" Type="http://schemas.openxmlformats.org/officeDocument/2006/relationships/hyperlink" Target="https://www.amazon.in/HP-GT53XL-135-ml-Black-Bottle/dp/B07SY4C3TD/ref=sr_1_364?qid=1672903013&amp;s=computers&amp;sr=1-364" TargetMode="External"/><Relationship Id="rId914" Type="http://schemas.openxmlformats.org/officeDocument/2006/relationships/hyperlink" Target="https://www.amazon.in/Duracell-Chhota-Power-Coins-2016-5/dp/B08Y57TPDM/ref=sr_1_368?qid=1672903013&amp;s=computers&amp;sr=1-368" TargetMode="External"/><Relationship Id="rId913" Type="http://schemas.openxmlformats.org/officeDocument/2006/relationships/hyperlink" Target="https://www.amazon.in/Boat-Bassheads-102-Wired-Earphones/dp/B08MTLLSL8/ref=sr_1_367?qid=1672903013&amp;s=computers&amp;sr=1-367" TargetMode="External"/><Relationship Id="rId912" Type="http://schemas.openxmlformats.org/officeDocument/2006/relationships/hyperlink" Target="https://www.amazon.in/Zebronics-Zeb-JUKEBAR-3900-Multimedia-Supporting/dp/B08CRRQK6Z/ref=sr_1_366?qid=1672903013&amp;s=computers&amp;sr=1-366" TargetMode="External"/><Relationship Id="rId911" Type="http://schemas.openxmlformats.org/officeDocument/2006/relationships/hyperlink" Target="https://www.amazon.in/Noise-ColorFit-Bezel-Less-TruView-Display/dp/B094JB13XL/ref=sr_1_365?qid=1672903013&amp;s=computers&amp;sr=1-365" TargetMode="External"/><Relationship Id="rId1213" Type="http://schemas.openxmlformats.org/officeDocument/2006/relationships/hyperlink" Target="https://www.amazon.in/Kent-Zoom-Vacuum-Cleaner-16068/dp/B08J7VCT12/ref=sr_1_225?qid=1672923603&amp;s=kitchen&amp;sr=1-225" TargetMode="External"/><Relationship Id="rId1455" Type="http://schemas.openxmlformats.org/officeDocument/2006/relationships/hyperlink" Target="https://www.amazon.in/akiara-Tailoring-Stitching-Scissors-Accessories/dp/B08ZXZ362Z/ref=sr_1_493?qid=1672923617&amp;s=kitchen&amp;sr=1-493" TargetMode="External"/><Relationship Id="rId1214" Type="http://schemas.openxmlformats.org/officeDocument/2006/relationships/hyperlink" Target="https://www.amazon.in/Sealing-Machine-Warranty-Function-Plastic/dp/B0989W6J2F/ref=sr_1_226?qid=1672923603&amp;s=kitchen&amp;sr=1-226" TargetMode="External"/><Relationship Id="rId1456" Type="http://schemas.openxmlformats.org/officeDocument/2006/relationships/hyperlink" Target="https://www.amazon.in/Usha-1212-PTC-Adjustable-Thermostat/dp/B00GHL8VP2/ref=sr_1_494?qid=1672923617&amp;s=kitchen&amp;sr=1-494" TargetMode="External"/><Relationship Id="rId1215" Type="http://schemas.openxmlformats.org/officeDocument/2006/relationships/hyperlink" Target="https://www.amazon.in/Heavyweight-Automatic-bacterial-Weilburger-Soleplate/dp/B0B84KSH3X/ref=sr_1_227?qid=1672923603&amp;s=kitchen&amp;sr=1-227" TargetMode="External"/><Relationship Id="rId1457" Type="http://schemas.openxmlformats.org/officeDocument/2006/relationships/hyperlink" Target="https://www.amazon.in/Handheld-Electric-Vegetable-Wireless-Processor/dp/B0B9JZW1SQ/ref=sr_1_495_mod_primary_new?qid=1672923617&amp;s=kitchen&amp;sbo=RZvfv%2F%2FHxDF%2BO5021pAnSA%3D%3D&amp;sr=1-495" TargetMode="External"/><Relationship Id="rId1216" Type="http://schemas.openxmlformats.org/officeDocument/2006/relationships/hyperlink" Target="https://www.amazon.in/Inalsa-Electric-Kettle-Prism-Inox/dp/B08HLC7Z3G/ref=sr_1_229?qid=1672923603&amp;s=kitchen&amp;sr=1-229" TargetMode="External"/><Relationship Id="rId1458" Type="http://schemas.openxmlformats.org/officeDocument/2006/relationships/hyperlink" Target="https://www.amazon.in/Philips-HD9306-06-1-5-Litre-Multicolor/dp/B00TI8E7BI/ref=sr_1_499?qid=1672923617&amp;s=kitchen&amp;sr=1-499" TargetMode="External"/><Relationship Id="rId1217" Type="http://schemas.openxmlformats.org/officeDocument/2006/relationships/hyperlink" Target="https://www.amazon.in/VRPRIME-Remover-Reusable-Easy-Tear-Furniture/dp/B0BN6M3TCM/ref=sr_1_230?qid=1672923603&amp;s=kitchen&amp;sr=1-230" TargetMode="External"/><Relationship Id="rId1459" Type="http://schemas.openxmlformats.org/officeDocument/2006/relationships/hyperlink" Target="https://www.amazon.in/LIBRA-Portable-Heater-Adjustable-Thermostat/dp/B07J9KXQCC/ref=sr_1_500?qid=1672923617&amp;s=kitchen&amp;sr=1-500" TargetMode="External"/><Relationship Id="rId1218" Type="http://schemas.openxmlformats.org/officeDocument/2006/relationships/hyperlink" Target="https://www.amazon.in/Philips-AC1215-20-Purifier-White/dp/B01L6MT7E0/ref=sr_1_231?qid=1672923603&amp;s=kitchen&amp;sr=1-231" TargetMode="External"/><Relationship Id="rId1219" Type="http://schemas.openxmlformats.org/officeDocument/2006/relationships/hyperlink" Target="https://www.amazon.in/Eopora-Ceramic-Heating-Bedroom-Electric/dp/B0B9F9PT8R/ref=sr_1_235?qid=1672923603&amp;s=kitchen&amp;sr=1-235" TargetMode="External"/><Relationship Id="rId629" Type="http://schemas.openxmlformats.org/officeDocument/2006/relationships/hyperlink" Target="https://www.amazon.in/Deuce-300-Resistant-Tangle-Free-Transmission/dp/B08HDJ86NZ/ref=sr_1_47?qid=1672902996&amp;s=computers&amp;sr=1-47" TargetMode="External"/><Relationship Id="rId624" Type="http://schemas.openxmlformats.org/officeDocument/2006/relationships/hyperlink" Target="https://www.amazon.in/Sounce-iPhone-Charging-Compatible-Devices/dp/B096MSW6CT/ref=sr_1_42?qid=1672902996&amp;s=computers&amp;sr=1-42" TargetMode="External"/><Relationship Id="rId866" Type="http://schemas.openxmlformats.org/officeDocument/2006/relationships/hyperlink" Target="https://www.amazon.in/Fire-Boltt-Bluetooth-Calling-Monitoring-Functionality/dp/B09YV575RK/ref=sr_1_308?qid=1672903010&amp;s=computers&amp;sr=1-308" TargetMode="External"/><Relationship Id="rId623" Type="http://schemas.openxmlformats.org/officeDocument/2006/relationships/hyperlink" Target="https://www.amazon.in/Ambrane-Unbreakable-Charging-Braided-Cable/dp/B098NS6PVG/ref=sr_1_41?qid=1672902996&amp;s=computers&amp;sr=1-41" TargetMode="External"/><Relationship Id="rId865" Type="http://schemas.openxmlformats.org/officeDocument/2006/relationships/hyperlink" Target="https://www.amazon.in/SanDisk-Extreme-Video-Mirrorless-Cameras/dp/B09X7DY7Q4/ref=sr_1_307?qid=1672903010&amp;s=computers&amp;sr=1-307" TargetMode="External"/><Relationship Id="rId622" Type="http://schemas.openxmlformats.org/officeDocument/2006/relationships/hyperlink" Target="https://www.amazon.in/Dell-Wireless-Keyboard-Mouse-Spill-Resistant/dp/B09T3H12GV/ref=sr_1_40?qid=1672902996&amp;s=computers&amp;sr=1-40" TargetMode="External"/><Relationship Id="rId864" Type="http://schemas.openxmlformats.org/officeDocument/2006/relationships/hyperlink" Target="https://www.amazon.in/Lapster-Caddy-Optical-Drive-Laptop/dp/B0BDS8MY8J/ref=sr_1_306?qid=1672903010&amp;s=computers&amp;sr=1-306" TargetMode="External"/><Relationship Id="rId621" Type="http://schemas.openxmlformats.org/officeDocument/2006/relationships/hyperlink" Target="https://www.amazon.in/BassHeads-122-Earphones-Tangle-Straight/dp/B07QZ3CZ48/ref=sr_1_39?qid=1672902996&amp;s=computers&amp;sr=1-39" TargetMode="External"/><Relationship Id="rId863" Type="http://schemas.openxmlformats.org/officeDocument/2006/relationships/hyperlink" Target="https://www.amazon.in/Noise-ColorFit-Bluetooth-Resolution-Smartwatch/dp/B09NC2TY11/ref=sr_1_305?qid=1672903010&amp;s=computers&amp;sr=1-305" TargetMode="External"/><Relationship Id="rId628" Type="http://schemas.openxmlformats.org/officeDocument/2006/relationships/hyperlink" Target="https://www.amazon.in/ZEBRONICS-Zeb-Dash-Wireless-Receiver-Buttons/dp/B08YDFX7Y1/ref=sr_1_46?qid=1672902996&amp;s=computers&amp;sr=1-46" TargetMode="External"/><Relationship Id="rId627" Type="http://schemas.openxmlformats.org/officeDocument/2006/relationships/hyperlink" Target="https://www.amazon.in/HP-Webcam-Wide-Angle-Calling-Microsoft/dp/B08FTFXNNB/ref=sr_1_45?qid=1672902996&amp;s=computers&amp;sr=1-45" TargetMode="External"/><Relationship Id="rId869" Type="http://schemas.openxmlformats.org/officeDocument/2006/relationships/hyperlink" Target="https://www.amazon.in/Classmate-Pulse-Spiral-Notebook-Unruled/dp/B00P93X6EK/ref=sr_1_311?qid=1672903010&amp;s=computers&amp;sr=1-311" TargetMode="External"/><Relationship Id="rId626" Type="http://schemas.openxmlformats.org/officeDocument/2006/relationships/hyperlink" Target="https://www.amazon.in/Seagate-Expansion-1TB-External-HDD/dp/B08ZJDWTJ1/ref=sr_1_44?qid=1672902996&amp;s=computers&amp;sr=1-44" TargetMode="External"/><Relationship Id="rId868" Type="http://schemas.openxmlformats.org/officeDocument/2006/relationships/hyperlink" Target="https://www.amazon.in/Boult-Audio-Bluetooth-Resistant-Assistant/dp/B09ND94ZRG/ref=sr_1_310?qid=1672903010&amp;s=computers&amp;sr=1-310" TargetMode="External"/><Relationship Id="rId625" Type="http://schemas.openxmlformats.org/officeDocument/2006/relationships/hyperlink" Target="https://www.amazon.in/Noise-ColorFit-Bluetooth-Fully-Functional-Brightness/dp/B09ZQK9X8G/ref=sr_1_43?qid=1672902996&amp;s=computers&amp;sr=1-43" TargetMode="External"/><Relationship Id="rId867" Type="http://schemas.openxmlformats.org/officeDocument/2006/relationships/hyperlink" Target="https://www.amazon.in/Lenovo-600-Bluetooth%C2%AE-Silent-Mouse/dp/B08LW31NQ6/ref=sr_1_309?qid=1672903010&amp;s=computers&amp;sr=1-309" TargetMode="External"/><Relationship Id="rId1450" Type="http://schemas.openxmlformats.org/officeDocument/2006/relationships/hyperlink" Target="https://www.amazon.in/IONIX-Tap-Multilayer-Filter-Filter-Pack/dp/B0BBLHTRM9/ref=sr_1_488?qid=1672923617&amp;s=kitchen&amp;sr=1-488" TargetMode="External"/><Relationship Id="rId620" Type="http://schemas.openxmlformats.org/officeDocument/2006/relationships/hyperlink" Target="https://www.amazon.in/Fire-Boltt-Smartwatch-Resolution-Connection-Assistance/dp/B0B3N7LR6K/ref=sr_1_38?qid=1672902996&amp;s=computers&amp;sr=1-38" TargetMode="External"/><Relationship Id="rId862" Type="http://schemas.openxmlformats.org/officeDocument/2006/relationships/hyperlink" Target="https://www.amazon.in/IT2M-Designer-Laptop-Computer-12788/dp/B07S7DCJKS/ref=sr_1_303?qid=1672903010&amp;s=computers&amp;sr=1-303" TargetMode="External"/><Relationship Id="rId1451" Type="http://schemas.openxmlformats.org/officeDocument/2006/relationships/hyperlink" Target="https://www.amazon.in/Kitchengenixs-Waffle-Maker-Inch-Watts/dp/B0BJYSCWFQ/ref=sr_1_489?qid=1672923617&amp;s=kitchen&amp;sr=1-489" TargetMode="External"/><Relationship Id="rId861" Type="http://schemas.openxmlformats.org/officeDocument/2006/relationships/hyperlink" Target="https://www.amazon.in/Boult-Audio-BassBuds-Oak-Earphones/dp/B091JF2TFD/ref=sr_1_302?qid=1672903010&amp;s=computers&amp;sr=1-302" TargetMode="External"/><Relationship Id="rId1210" Type="http://schemas.openxmlformats.org/officeDocument/2006/relationships/hyperlink" Target="https://www.amazon.in/Bajaj-DHX-1000-Watt-Ivory-Color/dp/B009P2L7CO/ref=sr_1_222?qid=1672923603&amp;s=kitchen&amp;sr=1-222" TargetMode="External"/><Relationship Id="rId1452" Type="http://schemas.openxmlformats.org/officeDocument/2006/relationships/hyperlink" Target="https://www.amazon.in/Bajaj-HM-01-250-Watt-Mixer/dp/B0187F2IOK/ref=sr_1_490?qid=1672923617&amp;s=kitchen&amp;sr=1-490" TargetMode="External"/><Relationship Id="rId860" Type="http://schemas.openxmlformats.org/officeDocument/2006/relationships/hyperlink" Target="https://www.amazon.in/boAt-Airdopes-191G-Wireless-Appealing/dp/B09X76VL5L/ref=sr_1_301?qid=1672903010&amp;s=computers&amp;sr=1-301" TargetMode="External"/><Relationship Id="rId1211" Type="http://schemas.openxmlformats.org/officeDocument/2006/relationships/hyperlink" Target="https://www.amazon.in/Eureka-Forbes-Amaze-RO-MTDS/dp/B07YC8JHMB/ref=sr_1_223?qid=1672923603&amp;s=kitchen&amp;sr=1-223" TargetMode="External"/><Relationship Id="rId1453" Type="http://schemas.openxmlformats.org/officeDocument/2006/relationships/hyperlink" Target="https://www.amazon.in/Electric-Handheld-BLACK-COFFEE-BEATER/dp/B0B8CB7MHW/ref=sr_1_491?qid=1672923617&amp;s=kitchen&amp;sr=1-491" TargetMode="External"/><Relationship Id="rId1212" Type="http://schemas.openxmlformats.org/officeDocument/2006/relationships/hyperlink" Target="https://www.amazon.in/ROYAL-STEP-Portable-Electric-Rechargeable/dp/B0BNQMF152/ref=sr_1_224?qid=1672923603&amp;s=kitchen&amp;sr=1-224" TargetMode="External"/><Relationship Id="rId1454" Type="http://schemas.openxmlformats.org/officeDocument/2006/relationships/hyperlink" Target="https://www.amazon.in/Usha-812-Thermo-Room-Heater/dp/B07K19NYZ8/ref=sr_1_492?qid=1672923617&amp;s=kitchen&amp;sr=1-492" TargetMode="External"/><Relationship Id="rId1202" Type="http://schemas.openxmlformats.org/officeDocument/2006/relationships/hyperlink" Target="https://www.amazon.in/Oratech-electric-cappuccino-Mocktail-Multicolour/dp/B0BQ3K23Y1/ref=sr_1_216?qid=1672923601&amp;s=kitchen&amp;sr=1-216" TargetMode="External"/><Relationship Id="rId1444" Type="http://schemas.openxmlformats.org/officeDocument/2006/relationships/hyperlink" Target="https://www.amazon.in/PHILIPS-Coffee-HD7432-20-Medium/dp/B09H7JDJCW/ref=sr_1_483?qid=1672923615&amp;s=kitchen&amp;sr=1-483" TargetMode="External"/><Relationship Id="rId1203" Type="http://schemas.openxmlformats.org/officeDocument/2006/relationships/hyperlink" Target="https://www.amazon.in/Havells-Glaze-Pearl-Ivory-Ceiling/dp/B09MT94QLL/ref=sr_1_217?qid=1672923601&amp;s=kitchen&amp;sr=1-217" TargetMode="External"/><Relationship Id="rId1445" Type="http://schemas.openxmlformats.org/officeDocument/2006/relationships/hyperlink" Target="https://www.amazon.in/Eureka-Forbes-Euroclean-Vacuum-Cleaner/dp/B07F6GXNPB/ref=sr_1_485?qid=1672923615&amp;s=kitchen&amp;sr=1-485" TargetMode="External"/><Relationship Id="rId1204" Type="http://schemas.openxmlformats.org/officeDocument/2006/relationships/hyperlink" Target="https://www.amazon.in/Ur-NeedsTM-Rocklight-Remover-Fabric/dp/B07NKNBTT3/ref=sr_1_218?qid=1672923601&amp;s=kitchen&amp;sr=1-218" TargetMode="External"/><Relationship Id="rId1446" Type="http://schemas.openxmlformats.org/officeDocument/2006/relationships/hyperlink" Target="https://www.amazon.in/Larrito-Humidifiers-Humidifier-humidifiers-HUMIDIFIRE/dp/B0B97D658R/ref=sr_1_484?qid=1672923617&amp;s=kitchen&amp;sr=1-484" TargetMode="External"/><Relationship Id="rId1205" Type="http://schemas.openxmlformats.org/officeDocument/2006/relationships/hyperlink" Target="https://www.amazon.in/Rico-Japanese-Technology-Rechargeable-Replacement/dp/B09KPXTZXN/ref=sr_1_220?qid=1672923601&amp;s=kitchen&amp;sr=1-220" TargetMode="External"/><Relationship Id="rId1447" Type="http://schemas.openxmlformats.org/officeDocument/2006/relationships/hyperlink" Target="https://www.amazon.in/Hilton-Quartz-Heater-Watt-Certified/dp/B09NFSHCWN/ref=sr_1_485?qid=1672923617&amp;s=kitchen&amp;sr=1-485" TargetMode="External"/><Relationship Id="rId1206" Type="http://schemas.openxmlformats.org/officeDocument/2006/relationships/hyperlink" Target="https://www.amazon.in/Butterfly-150-Watt-Grinder-Scrapper-Attachment/dp/B078HG2ZPS/ref=sr_1_221?qid=1672923601&amp;s=kitchen&amp;sr=1-221" TargetMode="External"/><Relationship Id="rId1448" Type="http://schemas.openxmlformats.org/officeDocument/2006/relationships/hyperlink" Target="https://www.amazon.in/Syska-SDI-07-Stellar-Dry-Iron/dp/B076VQS87V/ref=sr_1_486_mod_primary_new?qid=1672923617&amp;s=kitchen&amp;sbo=RZvfv%2F%2FHxDF%2BO5021pAnSA%3D%3D&amp;sr=1-486" TargetMode="External"/><Relationship Id="rId1207" Type="http://schemas.openxmlformats.org/officeDocument/2006/relationships/hyperlink" Target="https://www.amazon.in/AGARO-Marvel-Litre-Toaster-Griller/dp/B07N2MGB3G/ref=sr_1_222?qid=1672923601&amp;s=kitchen&amp;sr=1-222" TargetMode="External"/><Relationship Id="rId1449" Type="http://schemas.openxmlformats.org/officeDocument/2006/relationships/hyperlink" Target="https://www.amazon.in/IKEA-Frother-Coffee-Drinks-Black/dp/B09LMMFW3S/ref=sr_1_487_mod_primary_new?qid=1672923617&amp;s=kitchen&amp;sbo=RZvfv%2F%2FHxDF%2BO5021pAnSA%3D%3D&amp;sr=1-487" TargetMode="External"/><Relationship Id="rId1208" Type="http://schemas.openxmlformats.org/officeDocument/2006/relationships/hyperlink" Target="https://www.amazon.in/Philips-GC1920-28-1440-Watt-Non-Stick/dp/B008LN8KDM/ref=sr_1_220?qid=1672923603&amp;s=kitchen&amp;sr=1-220" TargetMode="External"/><Relationship Id="rId1209" Type="http://schemas.openxmlformats.org/officeDocument/2006/relationships/hyperlink" Target="https://www.amazon.in/Havells-OFR-13-Wave-Fin/dp/B08MZNT7GP/ref=sr_1_221?qid=1672923603&amp;s=kitchen&amp;sr=1-221" TargetMode="External"/><Relationship Id="rId619" Type="http://schemas.openxmlformats.org/officeDocument/2006/relationships/hyperlink" Target="https://www.amazon.in/BassHeads-152-ToneSecure-Braided-Earphones/dp/B07KY3FNQP/ref=sr_1_37?qid=1672902996&amp;s=computers&amp;sr=1-37" TargetMode="External"/><Relationship Id="rId618" Type="http://schemas.openxmlformats.org/officeDocument/2006/relationships/hyperlink" Target="https://www.amazon.in/Scotch-Double-Foam-Tape-24/dp/B00N1U9AJS/ref=sr_1_36?qid=1672902996&amp;s=computers&amp;sr=1-36" TargetMode="External"/><Relationship Id="rId613" Type="http://schemas.openxmlformats.org/officeDocument/2006/relationships/hyperlink" Target="https://www.amazon.in/Dell-MS116-1000DPI-Wired-Optical/dp/B01HJI0FS2/ref=sr_1_31?qid=1672902996&amp;s=computers&amp;sr=1-31" TargetMode="External"/><Relationship Id="rId855" Type="http://schemas.openxmlformats.org/officeDocument/2006/relationships/hyperlink" Target="https://www.amazon.in/Apsara-Platinum-Pencils-Value-Pack/dp/B00VA7YYUO/ref=sr_1_296?qid=1672903010&amp;s=computers&amp;sr=1-296" TargetMode="External"/><Relationship Id="rId612" Type="http://schemas.openxmlformats.org/officeDocument/2006/relationships/hyperlink" Target="https://www.amazon.in/Fire-Boltt-Smartwatch-Bluetooth-Calling-Assistance/dp/B09YV4MW2T/ref=sr_1_30?qid=1672902996&amp;s=computers&amp;sr=1-30" TargetMode="External"/><Relationship Id="rId854" Type="http://schemas.openxmlformats.org/officeDocument/2006/relationships/hyperlink" Target="https://www.amazon.in/Logitech-Pebble-M350-Wireless-Bluetooth/dp/B07X2L5Z8C/ref=sr_1_295?qid=1672903010&amp;s=computers&amp;sr=1-295" TargetMode="External"/><Relationship Id="rId611" Type="http://schemas.openxmlformats.org/officeDocument/2006/relationships/hyperlink" Target="https://www.amazon.in/Dell-KB216-Wired-Multimedia-Keyboard/dp/B00ZYLMQH0/ref=sr_1_29?qid=1672902996&amp;s=computers&amp;sr=1-29" TargetMode="External"/><Relationship Id="rId853" Type="http://schemas.openxmlformats.org/officeDocument/2006/relationships/hyperlink" Target="https://www.amazon.in/AmazonBasics-USB-2-0-Cable-Male/dp/B00NH11KIK/ref=sr_1_293?qid=1672903010&amp;s=computers&amp;sr=1-293" TargetMode="External"/><Relationship Id="rId610" Type="http://schemas.openxmlformats.org/officeDocument/2006/relationships/hyperlink" Target="https://www.amazon.in/Boult-Audio-X1-Earphones-Cancellation/dp/B07TCN5VR9/ref=sr_1_28?qid=1672902996&amp;s=computers&amp;sr=1-28" TargetMode="External"/><Relationship Id="rId852" Type="http://schemas.openxmlformats.org/officeDocument/2006/relationships/hyperlink" Target="https://www.amazon.in/DURACELL-Type-C-braided-Charge-Cable/dp/B09C6HWG18/ref=sr_1_292?qid=1672903010&amp;s=computers&amp;sr=1-292" TargetMode="External"/><Relationship Id="rId617" Type="http://schemas.openxmlformats.org/officeDocument/2006/relationships/hyperlink" Target="https://www.amazon.in/Classmate-Octane-Neon-Pack-5/dp/B07KCMR8D6/ref=sr_1_35?qid=1672902996&amp;s=computers&amp;sr=1-35" TargetMode="External"/><Relationship Id="rId859" Type="http://schemas.openxmlformats.org/officeDocument/2006/relationships/hyperlink" Target="https://www.amazon.in/Pilot-Liquid-Roller-Ball-Black/dp/B00LOD70SC/ref=sr_1_300?qid=1672903010&amp;s=computers&amp;sr=1-300" TargetMode="External"/><Relationship Id="rId616" Type="http://schemas.openxmlformats.org/officeDocument/2006/relationships/hyperlink" Target="https://www.amazon.in/Duracell-Alkaline-Battery-Duralock-Technology/dp/B014SZO90Y/ref=sr_1_34?qid=1672902996&amp;s=computers&amp;sr=1-34" TargetMode="External"/><Relationship Id="rId858" Type="http://schemas.openxmlformats.org/officeDocument/2006/relationships/hyperlink" Target="https://www.amazon.in/WeCool-Braided-Multifunction-Charging-Android/dp/B07XJYYH7L/ref=sr_1_299?qid=1672903010&amp;s=computers&amp;sr=1-299" TargetMode="External"/><Relationship Id="rId615" Type="http://schemas.openxmlformats.org/officeDocument/2006/relationships/hyperlink" Target="https://www.amazon.in/Wayona-Braided-WN3LG1-Syncing-Charging/dp/B07JW9H4J1/ref=sr_1_33?qid=1672902996&amp;s=computers&amp;sr=1-33" TargetMode="External"/><Relationship Id="rId857" Type="http://schemas.openxmlformats.org/officeDocument/2006/relationships/hyperlink" Target="https://www.amazon.in/Ant-Esports-GM320-Programmable-Comfortable/dp/B08D64C9FN/ref=sr_1_298?qid=1672903010&amp;s=computers&amp;sr=1-298" TargetMode="External"/><Relationship Id="rId614" Type="http://schemas.openxmlformats.org/officeDocument/2006/relationships/hyperlink" Target="https://www.amazon.in/Boya-Omnidirectional-Lavalier-Condenser-Microphone/dp/B076B8G5D8/ref=sr_1_32?qid=1672902996&amp;s=computers&amp;sr=1-32" TargetMode="External"/><Relationship Id="rId856" Type="http://schemas.openxmlformats.org/officeDocument/2006/relationships/hyperlink" Target="https://www.amazon.in/Zebronics-Zeb-Power-Wired-Mouse-Black/dp/B07L9FW9GF/ref=sr_1_297?qid=1672903010&amp;s=computers&amp;sr=1-297" TargetMode="External"/><Relationship Id="rId851" Type="http://schemas.openxmlformats.org/officeDocument/2006/relationships/hyperlink" Target="https://www.amazon.in/Linc-Ball-Point-Pentonic-Multicolor/dp/B07SBGFDX9/ref=sr_1_291?qid=1672903010&amp;s=computers&amp;sr=1-291" TargetMode="External"/><Relationship Id="rId1440" Type="http://schemas.openxmlformats.org/officeDocument/2006/relationships/hyperlink" Target="https://www.amazon.in/AmazonBasics-400mm-Pedestal-Remote-White/dp/B07NPBG1B4/ref=sr_1_477?qid=1672923615&amp;s=kitchen&amp;sr=1-477" TargetMode="External"/><Relationship Id="rId850" Type="http://schemas.openxmlformats.org/officeDocument/2006/relationships/hyperlink" Target="https://www.amazon.in/Classmate-Pulse-Spiral-Notebook-Unruled/dp/B00P93X0VO/ref=sr_1_290?qid=1672903010&amp;s=computers&amp;sr=1-290" TargetMode="External"/><Relationship Id="rId1441" Type="http://schemas.openxmlformats.org/officeDocument/2006/relationships/hyperlink" Target="https://www.amazon.in/Crystal-Cartridge-size-Fresh-Clean/dp/B01MRARGBW/ref=sr_1_478?qid=1672923615&amp;s=kitchen&amp;sr=1-478" TargetMode="External"/><Relationship Id="rId1200" Type="http://schemas.openxmlformats.org/officeDocument/2006/relationships/hyperlink" Target="https://www.amazon.in/Kuber-Industries-Waterproof-Organizer-CTKTC034616/dp/B083J64CBB/ref=sr_1_214?qid=1672923601&amp;s=kitchen&amp;sr=1-214" TargetMode="External"/><Relationship Id="rId1442" Type="http://schemas.openxmlformats.org/officeDocument/2006/relationships/hyperlink" Target="https://www.amazon.in/Borosil-Rio-1-5L-Electric-Kettle/dp/B07VZYMQNZ/ref=sr_1_479?qid=1672923615&amp;s=kitchen&amp;sr=1-479" TargetMode="External"/><Relationship Id="rId1201" Type="http://schemas.openxmlformats.org/officeDocument/2006/relationships/hyperlink" Target="https://www.amazon.in/JM-SELLER-Electric-Beater-180-Watt/dp/B08JV91JTK/ref=sr_1_215?qid=1672923601&amp;s=kitchen&amp;sr=1-215" TargetMode="External"/><Relationship Id="rId1443" Type="http://schemas.openxmlformats.org/officeDocument/2006/relationships/hyperlink" Target="https://www.amazon.in/Havells-Ambrose-1200mm-Ceiling-Pearl/dp/B01L7C4IU2/ref=sr_1_480?qid=1672923615&amp;s=kitchen&amp;sr=1-480" TargetMode="External"/><Relationship Id="rId1235" Type="http://schemas.openxmlformats.org/officeDocument/2006/relationships/hyperlink" Target="https://www.amazon.in/Philips-AeraSense-AC2887-20-Purifier/dp/B01KCSGBU2/ref=sr_1_249?qid=1672923605&amp;s=kitchen&amp;sr=1-249" TargetMode="External"/><Relationship Id="rId1236" Type="http://schemas.openxmlformats.org/officeDocument/2006/relationships/hyperlink" Target="https://www.amazon.in/Esquire-Elite-Laundry-Basket-Colour/dp/B095XCRDQW/ref=sr_1_250?qid=1672923605&amp;s=kitchen&amp;sr=1-250" TargetMode="External"/><Relationship Id="rId1237" Type="http://schemas.openxmlformats.org/officeDocument/2006/relationships/hyperlink" Target="https://www.amazon.in/PHILIPS-Fryer-HD9200-90-Technology/dp/B09CTWFV5W/ref=sr_1_251?qid=1672923605&amp;s=kitchen&amp;sr=1-251" TargetMode="External"/><Relationship Id="rId1238" Type="http://schemas.openxmlformats.org/officeDocument/2006/relationships/hyperlink" Target="https://www.amazon.in/Havells-Quartz-Settings-Product-Warranty/dp/B0B7NWGXS6/ref=sr_1_252?qid=1672923605&amp;s=kitchen&amp;sr=1-252" TargetMode="External"/><Relationship Id="rId1239" Type="http://schemas.openxmlformats.org/officeDocument/2006/relationships/hyperlink" Target="https://www.amazon.in/Philips-Garment-Steamer-GC523-60/dp/B07DZ986Q2/ref=sr_1_253?qid=1672923605&amp;s=kitchen&amp;sr=1-253" TargetMode="External"/><Relationship Id="rId409" Type="http://schemas.openxmlformats.org/officeDocument/2006/relationships/hyperlink" Target="https://www.amazon.in/Boom-Ultima-Headphones-Cancelling-Earphones/dp/B08D75R3Z1/ref=sr_1_77?qid=1672895770&amp;s=electronics&amp;sr=1-77" TargetMode="External"/><Relationship Id="rId404" Type="http://schemas.openxmlformats.org/officeDocument/2006/relationships/hyperlink" Target="https://www.amazon.in/Solero-TB301-Charging-480Mbps-1-5-Meter/dp/B08Y1TFSP6/ref=sr_1_72?qid=1672895762&amp;s=electronics&amp;sr=1-72" TargetMode="External"/><Relationship Id="rId646" Type="http://schemas.openxmlformats.org/officeDocument/2006/relationships/hyperlink" Target="https://www.amazon.in/Universal-Silicone-Keyboard-Protector-15-6-inch/dp/B00MFPCY5C/ref=sr_1_65?qid=1672902997&amp;s=computers&amp;sr=1-65" TargetMode="External"/><Relationship Id="rId888" Type="http://schemas.openxmlformats.org/officeDocument/2006/relationships/hyperlink" Target="https://www.amazon.in/Camel-Camlin-Kokuyo-Acrylic-Color/dp/B00KIE28X0/ref=sr_1_334?qid=1672903011&amp;s=computers&amp;sr=1-334" TargetMode="External"/><Relationship Id="rId403" Type="http://schemas.openxmlformats.org/officeDocument/2006/relationships/hyperlink" Target="https://www.amazon.in/Fire-Boltt-Gladiator-Bluetooth-Assistant-Interactions/dp/B0BP18W8TM/ref=sr_1_71?qid=1672895762&amp;s=electronics&amp;sr=1-71" TargetMode="External"/><Relationship Id="rId645" Type="http://schemas.openxmlformats.org/officeDocument/2006/relationships/hyperlink" Target="https://www.amazon.in/Sounce-Charger-Protector-Charging-Protective/dp/B085HY1DGR/ref=sr_1_64?qid=1672902997&amp;s=computers&amp;sr=1-64" TargetMode="External"/><Relationship Id="rId887" Type="http://schemas.openxmlformats.org/officeDocument/2006/relationships/hyperlink" Target="https://www.amazon.in/Logitech-Silent-Wireless-Mouse-Black/dp/B01MQ2A86A/ref=sr_1_333?qid=1672903011&amp;s=computers&amp;sr=1-333" TargetMode="External"/><Relationship Id="rId402" Type="http://schemas.openxmlformats.org/officeDocument/2006/relationships/hyperlink" Target="https://www.amazon.in/iQOO-Lumina-Blue-128GB-Storage/dp/B07WDKLRM4/ref=sr_1_70?qid=1672895762&amp;s=electronics&amp;sr=1-70" TargetMode="External"/><Relationship Id="rId644" Type="http://schemas.openxmlformats.org/officeDocument/2006/relationships/hyperlink" Target="https://www.amazon.in/805-Black-Original-Ink-Cartridge/dp/B08CYPB15D/ref=sr_1_62?qid=1672902997&amp;s=computers&amp;sr=1-62" TargetMode="External"/><Relationship Id="rId886" Type="http://schemas.openxmlformats.org/officeDocument/2006/relationships/hyperlink" Target="https://www.amazon.in/AmazonBasics-Micro-Charging-Android-Phones/dp/B07232M876/ref=sr_1_332?qid=1672903011&amp;s=computers&amp;sr=1-332" TargetMode="External"/><Relationship Id="rId401" Type="http://schemas.openxmlformats.org/officeDocument/2006/relationships/hyperlink" Target="https://www.amazon.in/Boat-BassHeads-100-Inspired-Earphones/dp/B07GQD4K6L/ref=sr_1_69?qid=1672895762&amp;s=electronics&amp;sr=1-69" TargetMode="External"/><Relationship Id="rId643" Type="http://schemas.openxmlformats.org/officeDocument/2006/relationships/hyperlink" Target="https://www.amazon.in/Solero-TB301-Charging-480Mbps-1-5-Meter/dp/B08Y1TFSP6/ref=sr_1_61?qid=1672902997&amp;s=computers&amp;sr=1-61" TargetMode="External"/><Relationship Id="rId885" Type="http://schemas.openxmlformats.org/officeDocument/2006/relationships/hyperlink" Target="https://www.amazon.in/Robustrion-Smart-Trifold-Stand-Generation/dp/B07YNHCW6N/ref=sr_1_331?qid=1672903011&amp;s=computers&amp;sr=1-331" TargetMode="External"/><Relationship Id="rId408" Type="http://schemas.openxmlformats.org/officeDocument/2006/relationships/hyperlink" Target="https://www.amazon.in/Sounce-Charger-Protector-Charging-Protective/dp/B085HY1DGR/ref=sr_1_76?qid=1672895770&amp;s=electronics&amp;sr=1-76" TargetMode="External"/><Relationship Id="rId407" Type="http://schemas.openxmlformats.org/officeDocument/2006/relationships/hyperlink" Target="https://www.amazon.in/OnePlus-Nord-Jade-256GB-Storage/dp/B0B3D39RKV/ref=sr_1_75?qid=1672895770&amp;s=electronics&amp;sr=1-75" TargetMode="External"/><Relationship Id="rId649" Type="http://schemas.openxmlformats.org/officeDocument/2006/relationships/hyperlink" Target="https://www.amazon.in/DELL-WM118-Wireless-Optical-Mouse/dp/B07JPX9CR7/ref=sr_1_68?qid=1672902997&amp;s=computers&amp;sr=1-68" TargetMode="External"/><Relationship Id="rId406" Type="http://schemas.openxmlformats.org/officeDocument/2006/relationships/hyperlink" Target="https://www.amazon.in/Samsung-Galaxy-SM-R180NZKAINU-Mystic-Black/dp/B08FN6WGDQ/ref=sr_1_74?qid=1672895770&amp;s=electronics&amp;sr=1-74" TargetMode="External"/><Relationship Id="rId648" Type="http://schemas.openxmlformats.org/officeDocument/2006/relationships/hyperlink" Target="https://www.amazon.in/Boult-Audio-Bluetooth-Environmental-Cancellation/dp/B09NR6G588/ref=sr_1_67?qid=1672902997&amp;s=computers&amp;sr=1-67" TargetMode="External"/><Relationship Id="rId405" Type="http://schemas.openxmlformats.org/officeDocument/2006/relationships/hyperlink" Target="https://www.amazon.in/STRIFF-Mobile-Android-Samsung-OnePlus/dp/B07GXHC691/ref=sr_1_73?qid=1672895770&amp;s=electronics&amp;sr=1-73" TargetMode="External"/><Relationship Id="rId647" Type="http://schemas.openxmlformats.org/officeDocument/2006/relationships/hyperlink" Target="https://www.amazon.in/SanDisk-Ultra-128-Drive-Black/dp/B07JJFSG2B/ref=sr_1_66?qid=1672902997&amp;s=computers&amp;sr=1-66" TargetMode="External"/><Relationship Id="rId889" Type="http://schemas.openxmlformats.org/officeDocument/2006/relationships/hyperlink" Target="https://www.amazon.in/LIRAMARK-Webcam-Blocker-Computer-MacBook/dp/B08BQ947H3/ref=sr_1_335?qid=1672903011&amp;s=computers&amp;sr=1-335" TargetMode="External"/><Relationship Id="rId880" Type="http://schemas.openxmlformats.org/officeDocument/2006/relationships/hyperlink" Target="https://www.amazon.in/Sony-Headphones-Customizable-Equalizer-DSEE-Upscale/dp/B09YLFHFDW/ref=sr_1_325?qid=1672903011&amp;s=computers&amp;sr=1-325" TargetMode="External"/><Relationship Id="rId1230" Type="http://schemas.openxmlformats.org/officeDocument/2006/relationships/hyperlink" Target="https://www.amazon.in/Havells-Instanio-1-Litre-Instant-Geyser/dp/B078JBK4GX/ref=sr_1_244?qid=1672923605&amp;s=kitchen&amp;sr=1-244" TargetMode="External"/><Relationship Id="rId400" Type="http://schemas.openxmlformats.org/officeDocument/2006/relationships/hyperlink" Target="https://www.amazon.in/Samsung-Galaxy-Storage-5000mAh-Battery/dp/B0B4F3QNDM/ref=sr_1_68?qid=1672895762&amp;s=electronics&amp;sr=1-68" TargetMode="External"/><Relationship Id="rId642" Type="http://schemas.openxmlformats.org/officeDocument/2006/relationships/hyperlink" Target="https://www.amazon.in/Samsung-microSDXC-Memory-Adapter-MB-MC128KA/dp/B09MT84WV5/ref=sr_1_60?qid=1672902997&amp;s=computers&amp;sr=1-60" TargetMode="External"/><Relationship Id="rId884" Type="http://schemas.openxmlformats.org/officeDocument/2006/relationships/hyperlink" Target="https://www.amazon.in/Infinity-Glide-510-Headphone-Equalizer/dp/B0873L7J6X/ref=sr_1_329?qid=1672903011&amp;s=computers&amp;sr=1-329" TargetMode="External"/><Relationship Id="rId1231" Type="http://schemas.openxmlformats.org/officeDocument/2006/relationships/hyperlink" Target="https://www.amazon.in/Lifelong-Boiler-Poacher-500-Watt-Transparent/dp/B08S7V8YTN/ref=sr_1_245?qid=1672923605&amp;s=kitchen&amp;sr=1-245" TargetMode="External"/><Relationship Id="rId641" Type="http://schemas.openxmlformats.org/officeDocument/2006/relationships/hyperlink" Target="https://www.amazon.in/DIGITEK%C2%AE-DTR-260-GT-Flexible/dp/B08LPJZSSW/ref=sr_1_59?qid=1672902997&amp;s=computers&amp;sr=1-59" TargetMode="External"/><Relationship Id="rId883" Type="http://schemas.openxmlformats.org/officeDocument/2006/relationships/hyperlink" Target="https://www.amazon.in/Tukzer-Memory-Foam-Ergonomic-Mousepad-Suitable/dp/B08WLY8V9S/ref=sr_1_328?qid=1672903011&amp;s=computers&amp;sr=1-328" TargetMode="External"/><Relationship Id="rId1232" Type="http://schemas.openxmlformats.org/officeDocument/2006/relationships/hyperlink" Target="https://www.amazon.in/Indias-Instant-Bathroom-Kitchen-Hospital/dp/B07H5PBN54/ref=sr_1_246?qid=1672923605&amp;s=kitchen&amp;sr=1-246" TargetMode="External"/><Relationship Id="rId640" Type="http://schemas.openxmlformats.org/officeDocument/2006/relationships/hyperlink" Target="https://www.amazon.in/boAt-Bassheads-242-Wired-Earphones/dp/B08H9Z3XQW/ref=sr_1_58?qid=1672902997&amp;s=computers&amp;sr=1-58" TargetMode="External"/><Relationship Id="rId882" Type="http://schemas.openxmlformats.org/officeDocument/2006/relationships/hyperlink" Target="https://www.amazon.in/D-Link-DWA-131-Wireless-Adapter-Black/dp/B002PD61Y4/ref=sr_1_327?qid=1672903011&amp;s=computers&amp;sr=1-327" TargetMode="External"/><Relationship Id="rId1233" Type="http://schemas.openxmlformats.org/officeDocument/2006/relationships/hyperlink" Target="https://www.amazon.in/AmazonBasics-Induction-Cooktop-1600-Watt/dp/B07YCBSCYB/ref=sr_1_247?qid=1672923605&amp;s=kitchen&amp;sr=1-247" TargetMode="External"/><Relationship Id="rId881" Type="http://schemas.openxmlformats.org/officeDocument/2006/relationships/hyperlink" Target="https://www.amazon.in/Zebronics-ZEB-NC3300-Powered-Laptop-Cooling/dp/B07YWS9SP9/ref=sr_1_326?qid=1672903011&amp;s=computers&amp;sr=1-326" TargetMode="External"/><Relationship Id="rId1234" Type="http://schemas.openxmlformats.org/officeDocument/2006/relationships/hyperlink" Target="https://www.amazon.in/Sui-Generis-Frother-Electric-Blender/dp/B098T9CJVQ/ref=sr_1_248?qid=1672923605&amp;s=kitchen&amp;sr=1-248" TargetMode="External"/><Relationship Id="rId1224" Type="http://schemas.openxmlformats.org/officeDocument/2006/relationships/hyperlink" Target="https://www.amazon.in/FIGMENT-Rechargeable-Decoration-ENTERPRISES-A1/dp/B0BM4KTNL1/ref=sr_1_240?qid=1672923603&amp;s=kitchen&amp;sr=1-240" TargetMode="External"/><Relationship Id="rId1466" Type="http://schemas.openxmlformats.org/officeDocument/2006/relationships/drawing" Target="../drawings/drawing1.xml"/><Relationship Id="rId1225" Type="http://schemas.openxmlformats.org/officeDocument/2006/relationships/hyperlink" Target="https://www.amazon.in/Balzano-Speed-Nutri-Blender-Smoothie/dp/B08S6RKT4L/ref=sr_1_241?qid=1672923603&amp;s=kitchen&amp;sr=1-241" TargetMode="External"/><Relationship Id="rId1226" Type="http://schemas.openxmlformats.org/officeDocument/2006/relationships/hyperlink" Target="https://www.amazon.in/Swiss-Military-VC03-Wireless-Collection/dp/B09SZ5TWHW/ref=sr_1_242?qid=1672923603&amp;s=kitchen&amp;sr=1-242" TargetMode="External"/><Relationship Id="rId1227" Type="http://schemas.openxmlformats.org/officeDocument/2006/relationships/hyperlink" Target="https://www.amazon.in/Zuvexa-Rechargeable-Electric-Foam-Maker/dp/B0BLC2BYPX/ref=sr_1_243?qid=1672923603&amp;s=kitchen&amp;sr=1-243" TargetMode="External"/><Relationship Id="rId1228" Type="http://schemas.openxmlformats.org/officeDocument/2006/relationships/hyperlink" Target="https://www.amazon.in/Usha-IH2415-1500-Watt-Immersion-Heater/dp/B00P0R95EA/ref=sr_1_244?qid=1672923603&amp;s=kitchen&amp;sr=1-244" TargetMode="External"/><Relationship Id="rId1229" Type="http://schemas.openxmlformats.org/officeDocument/2006/relationships/hyperlink" Target="https://www.amazon.in/ACTIVA-Instant-SPCEIAL-Warranty-Premium/dp/B07W4HTS8Q/ref=sr_1_245?qid=1672923603&amp;s=kitchen&amp;sr=1-245" TargetMode="External"/><Relationship Id="rId635" Type="http://schemas.openxmlformats.org/officeDocument/2006/relationships/hyperlink" Target="https://www.amazon.in/boAt-Display-Multiple-Monitoring-Charcoal/dp/B09MQSCJQ1/ref=sr_1_53?qid=1672902997&amp;s=computers&amp;sr=1-53" TargetMode="External"/><Relationship Id="rId877" Type="http://schemas.openxmlformats.org/officeDocument/2006/relationships/hyperlink" Target="https://www.amazon.in/Wacom-CTL-472-6-inch-3-5-inch-Graphic/dp/B078HRR1XV/ref=sr_1_322?qid=1672903011&amp;s=computers&amp;sr=1-322" TargetMode="External"/><Relationship Id="rId634" Type="http://schemas.openxmlformats.org/officeDocument/2006/relationships/hyperlink" Target="https://www.amazon.in/SanDisk-Ultra-Flair-USB-64GB/dp/B07SLMR1K6/ref=sr_1_52?qid=1672902997&amp;s=computers&amp;sr=1-52" TargetMode="External"/><Relationship Id="rId876" Type="http://schemas.openxmlformats.org/officeDocument/2006/relationships/hyperlink" Target="https://www.amazon.in/Games-Gaming-Mousepad-Speed-Large/dp/B08WJ86PV2/ref=sr_1_321?qid=1672903011&amp;s=computers&amp;sr=1-321" TargetMode="External"/><Relationship Id="rId633" Type="http://schemas.openxmlformats.org/officeDocument/2006/relationships/hyperlink" Target="https://www.amazon.in/Portronics-Konnect-POR-1080-Charging-Function/dp/B08CF3B7N1/ref=sr_1_51?qid=1672902997&amp;s=computers&amp;sr=1-51" TargetMode="External"/><Relationship Id="rId875" Type="http://schemas.openxmlformats.org/officeDocument/2006/relationships/hyperlink" Target="https://www.amazon.in/D-Link-DIR-615-Wireless-N300-Router-Black/dp/B0085IATT6/ref=sr_1_320?qid=1672903011&amp;s=computers&amp;sr=1-320" TargetMode="External"/><Relationship Id="rId632" Type="http://schemas.openxmlformats.org/officeDocument/2006/relationships/hyperlink" Target="https://www.amazon.in/Boult-Audio-Lightning-Environmental-Cancellation/dp/B0B31BYXQQ/ref=sr_1_50?qid=1672902997&amp;s=computers&amp;sr=1-50" TargetMode="External"/><Relationship Id="rId874" Type="http://schemas.openxmlformats.org/officeDocument/2006/relationships/hyperlink" Target="https://www.amazon.in/HP-DeskJet-Inkjet-Colour-Printer/dp/B08D9NDZ1Y/ref=sr_1_317?qid=1672903011&amp;s=computers&amp;sr=1-317" TargetMode="External"/><Relationship Id="rId639" Type="http://schemas.openxmlformats.org/officeDocument/2006/relationships/hyperlink" Target="https://www.amazon.in/Tp-Link-300Mbps-AC750-Range-Extender/dp/B00KXULGJQ/ref=sr_1_57?qid=1672902997&amp;s=computers&amp;sr=1-57" TargetMode="External"/><Relationship Id="rId638" Type="http://schemas.openxmlformats.org/officeDocument/2006/relationships/hyperlink" Target="https://www.amazon.in/Casio-FX-991ES-Plus-2nd-Scientific-Calculator/dp/B0846D5CBP/ref=sr_1_56?qid=1672902997&amp;s=computers&amp;sr=1-56" TargetMode="External"/><Relationship Id="rId637" Type="http://schemas.openxmlformats.org/officeDocument/2006/relationships/hyperlink" Target="https://www.amazon.in/boAt-Rockerz-330-Bluetooth-Assistant/dp/B092X94QNQ/ref=sr_1_55?qid=1672902997&amp;s=computers&amp;sr=1-55" TargetMode="External"/><Relationship Id="rId879" Type="http://schemas.openxmlformats.org/officeDocument/2006/relationships/hyperlink" Target="https://www.amazon.in/Parker-Quink-Ink-Bottle-Black/dp/B00LM4X3XE/ref=sr_1_324?qid=1672903011&amp;s=computers&amp;sr=1-324" TargetMode="External"/><Relationship Id="rId636" Type="http://schemas.openxmlformats.org/officeDocument/2006/relationships/hyperlink" Target="https://www.amazon.in/Tygot-Bluetooth-Extendable-Multifunctional-Compatible/dp/B094YFFSMY/ref=sr_1_54?qid=1672902997&amp;s=computers&amp;sr=1-54" TargetMode="External"/><Relationship Id="rId878" Type="http://schemas.openxmlformats.org/officeDocument/2006/relationships/hyperlink" Target="https://www.amazon.in/Lenovo-Megapixel-Ultra-Wide-Rotation-Plug-n-Play/dp/B09P22HXH6/ref=sr_1_323?qid=1672903011&amp;s=computers&amp;sr=1-323" TargetMode="External"/><Relationship Id="rId1460" Type="http://schemas.openxmlformats.org/officeDocument/2006/relationships/hyperlink" Target="https://www.amazon.in/Hair-Removers-Laundry-Remover-Reusable/dp/B0B3JSWG81/ref=sr_1_501?qid=1672923617&amp;s=kitchen&amp;sr=1-501" TargetMode="External"/><Relationship Id="rId1461" Type="http://schemas.openxmlformats.org/officeDocument/2006/relationships/hyperlink" Target="https://www.amazon.in/Noir-Aqua-Spanner-Purifiers-cartridge/dp/B08L7J3T31/ref=sr_1_502?qid=1672923617&amp;s=kitchen&amp;sr=1-502" TargetMode="External"/><Relationship Id="rId631" Type="http://schemas.openxmlformats.org/officeDocument/2006/relationships/hyperlink" Target="https://www.amazon.in/Syvo-3130-Aluminum-Universal-Lightweight/dp/B07N42JB4S/ref=sr_1_49?qid=1672902997&amp;s=computers&amp;sr=1-49" TargetMode="External"/><Relationship Id="rId873" Type="http://schemas.openxmlformats.org/officeDocument/2006/relationships/hyperlink" Target="https://www.amazon.in/CP-PLUS-Intelligent-Compatible-Communication/dp/B09NNHFSSF/ref=sr_1_316?qid=1672903011&amp;s=computers&amp;sr=1-316" TargetMode="External"/><Relationship Id="rId1220" Type="http://schemas.openxmlformats.org/officeDocument/2006/relationships/hyperlink" Target="https://www.amazon.in/Goliath-GO1200WG-Weight-1200-Watt-Maroon/dp/B0883LQJ6B/ref=sr_1_236?qid=1672923603&amp;s=kitchen&amp;sr=1-236" TargetMode="External"/><Relationship Id="rId1462" Type="http://schemas.openxmlformats.org/officeDocument/2006/relationships/hyperlink" Target="https://www.amazon.in/Prestige-Delight-PRWO-1-Litre-Electric/dp/B01M6453MB/ref=sr_1_503?qid=1672923617&amp;s=kitchen&amp;sr=1-503" TargetMode="External"/><Relationship Id="rId630" Type="http://schemas.openxmlformats.org/officeDocument/2006/relationships/hyperlink" Target="https://www.amazon.in/Zebronics-Zeb-Companion-107-Wireless-Keyboard/dp/B087FXHB6J/ref=sr_1_48?qid=1672902996&amp;s=computers&amp;sr=1-48" TargetMode="External"/><Relationship Id="rId872" Type="http://schemas.openxmlformats.org/officeDocument/2006/relationships/hyperlink" Target="https://www.amazon.in/Writing-Screenwriting-Digital-Birthday-Multicolor/dp/B07H8W9PB6/ref=sr_1_315?qid=1672903011&amp;s=computers&amp;sr=1-315" TargetMode="External"/><Relationship Id="rId1221" Type="http://schemas.openxmlformats.org/officeDocument/2006/relationships/hyperlink" Target="https://www.amazon.in/Wipro-Electric-Stainless-Automatic-VB021070/dp/B099Z83VRC/ref=sr_1_237?qid=1672923603&amp;s=kitchen&amp;sr=1-237" TargetMode="External"/><Relationship Id="rId1463" Type="http://schemas.openxmlformats.org/officeDocument/2006/relationships/hyperlink" Target="https://www.amazon.in/Bajaj-RX-10-2000-Watt-Convector/dp/B009P2LIL4/ref=sr_1_504?qid=1672923617&amp;s=kitchen&amp;sr=1-504" TargetMode="External"/><Relationship Id="rId871" Type="http://schemas.openxmlformats.org/officeDocument/2006/relationships/hyperlink" Target="https://www.amazon.in/Universal-Silicone-Keyboard-Protector-Keyguard/dp/B0994GP1CX/ref=sr_1_314?qid=1672903011&amp;s=computers&amp;sr=1-314" TargetMode="External"/><Relationship Id="rId1222" Type="http://schemas.openxmlformats.org/officeDocument/2006/relationships/hyperlink" Target="https://www.amazon.in/Philips-Viva-Collection-HR1832-1-5-Litre400-Watt/dp/B00S9BSJC8/ref=sr_1_238?qid=1672923603&amp;s=kitchen&amp;sr=1-238" TargetMode="External"/><Relationship Id="rId1464" Type="http://schemas.openxmlformats.org/officeDocument/2006/relationships/hyperlink" Target="https://www.amazon.in/Havells-Ventilair-230mm-Exhaust-Grey/dp/B00J5DYCCA/ref=sr_1_505?qid=1672923617&amp;s=kitchen&amp;sr=1-505" TargetMode="External"/><Relationship Id="rId870" Type="http://schemas.openxmlformats.org/officeDocument/2006/relationships/hyperlink" Target="https://www.amazon.in/TP-Link-Archer-T2U-Nano-Wireless/dp/B07KRCW6LZ/ref=sr_1_313?qid=1672903011&amp;s=computers&amp;sr=1-313" TargetMode="External"/><Relationship Id="rId1223" Type="http://schemas.openxmlformats.org/officeDocument/2006/relationships/hyperlink" Target="https://www.amazon.in/Kitchenwell-Multipurpose-Portable-Electronic-Scale/dp/B0B4SJKRDF/ref=sr_1_239?qid=1672923603&amp;s=kitchen&amp;sr=1-239" TargetMode="External"/><Relationship Id="rId1465" Type="http://schemas.openxmlformats.org/officeDocument/2006/relationships/hyperlink" Target="https://www.amazon.in/Borosil-Jumbo-1000-Watt-Grill-Sandwich/dp/B01486F4G6/ref=sr_1_506?qid=1672923617&amp;s=kitchen&amp;sr=1-506" TargetMode="External"/><Relationship Id="rId1411" Type="http://schemas.openxmlformats.org/officeDocument/2006/relationships/hyperlink" Target="https://www.amazon.in/Sujata-Supermix-AM-007-Watt-Juicer-Grinder/dp/B075S9FVRY/ref=sr_1_444?qid=1672923614&amp;s=kitchen&amp;sr=1-444" TargetMode="External"/><Relationship Id="rId1412" Type="http://schemas.openxmlformats.org/officeDocument/2006/relationships/hyperlink" Target="https://www.amazon.in/Weighing-Multipurpose-Electronic-Measuring-Vegetable/dp/B08SJVD8QD/ref=sr_1_445?qid=1672923614&amp;s=kitchen&amp;sr=1-445" TargetMode="External"/><Relationship Id="rId1413" Type="http://schemas.openxmlformats.org/officeDocument/2006/relationships/hyperlink" Target="https://www.amazon.in/V-Guard-Zenora-Litre-Purifier-Purification/dp/B07FJNNZCJ/ref=sr_1_446?qid=1672923614&amp;s=kitchen&amp;sr=1-446" TargetMode="External"/><Relationship Id="rId1414" Type="http://schemas.openxmlformats.org/officeDocument/2006/relationships/hyperlink" Target="https://www.amazon.in/Bajaj-Jars-Mixer-Grinder-White/dp/B09MFR93KS/ref=sr_1_447?qid=1672923614&amp;s=kitchen&amp;sr=1-447" TargetMode="External"/><Relationship Id="rId1415" Type="http://schemas.openxmlformats.org/officeDocument/2006/relationships/hyperlink" Target="https://www.amazon.in/Kent-Hand-Blender-300-White/dp/B07Y5FDPKV/ref=sr_1_451?qid=1672923614&amp;s=kitchen&amp;sr=1-451" TargetMode="External"/><Relationship Id="rId1416" Type="http://schemas.openxmlformats.org/officeDocument/2006/relationships/hyperlink" Target="https://www.amazon.in/Prestige-PIC-15-0-1900-Watt-Induction/dp/B0756KCV5K/ref=sr_1_452?qid=1672923614&amp;s=kitchen&amp;sr=1-452" TargetMode="External"/><Relationship Id="rId1417" Type="http://schemas.openxmlformats.org/officeDocument/2006/relationships/hyperlink" Target="https://www.amazon.in/Aquadpure-Copper-RO-Automatic-Controller/dp/B0BJ6P3LSK/ref=sr_1_453?qid=1672923614&amp;s=kitchen&amp;sr=1-453" TargetMode="External"/><Relationship Id="rId1418" Type="http://schemas.openxmlformats.org/officeDocument/2006/relationships/hyperlink" Target="https://www.amazon.in/PrettyKrafts-Laundry-Foldable-Multipurpose-Slanting/dp/B09HS1NDRQ/ref=sr_1_454?qid=1672923614&amp;s=kitchen&amp;sr=1-454" TargetMode="External"/><Relationship Id="rId1419" Type="http://schemas.openxmlformats.org/officeDocument/2006/relationships/hyperlink" Target="https://www.amazon.in/Libra-Athena-Roti-Maker-Black/dp/B018SJJ0GE/ref=sr_1_455?qid=1672923614&amp;s=kitchen&amp;sr=1-455" TargetMode="External"/><Relationship Id="rId829" Type="http://schemas.openxmlformats.org/officeDocument/2006/relationships/hyperlink" Target="https://www.amazon.in/Airtel-DigitalTV-Hotspot-Router-ongle/dp/B08KHM9VBJ/ref=sr_1_266?qid=1672903008&amp;s=computers&amp;sr=1-266" TargetMode="External"/><Relationship Id="rId828" Type="http://schemas.openxmlformats.org/officeDocument/2006/relationships/hyperlink" Target="https://www.amazon.in/Fire-Boltt-Bluetooth-Smartwatch-Monitoring-Assistant/dp/B09RKFBCV7/ref=sr_1_265?qid=1672903008&amp;s=computers&amp;sr=1-265" TargetMode="External"/><Relationship Id="rId827" Type="http://schemas.openxmlformats.org/officeDocument/2006/relationships/hyperlink" Target="https://www.amazon.in/OFIXO-Multi-Purpose-Foldable-Portable-Writing/dp/B08HQL67D6/ref=sr_1_264?qid=1672903007&amp;s=computers&amp;sr=1-264" TargetMode="External"/><Relationship Id="rId822" Type="http://schemas.openxmlformats.org/officeDocument/2006/relationships/hyperlink" Target="https://www.amazon.in/Lenovo-GY50R91293-Wireless-Mouse-Black/dp/B07J2NGB69/ref=sr_1_258?qid=1672903007&amp;s=computers&amp;sr=1-258" TargetMode="External"/><Relationship Id="rId821" Type="http://schemas.openxmlformats.org/officeDocument/2006/relationships/hyperlink" Target="https://www.amazon.in/Redgear-MP35-Speed-Type-Gaming-Mousepad/dp/B01J1CFO5I/ref=sr_1_257?qid=1672903007&amp;s=computers&amp;sr=1-257" TargetMode="External"/><Relationship Id="rId820" Type="http://schemas.openxmlformats.org/officeDocument/2006/relationships/hyperlink" Target="https://www.amazon.in/Elements-Portable-External-Drive-Black/dp/B06XDKWLJH/ref=sr_1_256?qid=1672903007&amp;s=computers&amp;sr=1-256" TargetMode="External"/><Relationship Id="rId826" Type="http://schemas.openxmlformats.org/officeDocument/2006/relationships/hyperlink" Target="https://www.amazon.in/Post-Cubes-sheets-colours-inches/dp/B00N1U7JXM/ref=sr_1_262_mod_primary_new?qid=1672903007&amp;s=computers&amp;sbo=RZvfv%2F%2FHxDF%2BO5021pAnSA%3D%3D&amp;sr=1-262" TargetMode="External"/><Relationship Id="rId825" Type="http://schemas.openxmlformats.org/officeDocument/2006/relationships/hyperlink" Target="https://www.amazon.in/Resonate-RouterUPS-CRU12V2-Backup-Router/dp/B017NC2IPM/ref=sr_1_261?qid=1672903007&amp;s=computers&amp;sr=1-261" TargetMode="External"/><Relationship Id="rId824" Type="http://schemas.openxmlformats.org/officeDocument/2006/relationships/hyperlink" Target="https://www.amazon.in/Charging-Braided-Charger-Samsung-Galaxy/dp/B08QSC1XY8/ref=sr_1_260?qid=1672903007&amp;s=computers&amp;sr=1-260" TargetMode="External"/><Relationship Id="rId823" Type="http://schemas.openxmlformats.org/officeDocument/2006/relationships/hyperlink" Target="https://www.amazon.in/Logitech-Multi-Device-Bluetooth-Keyboard-Black/dp/B00MUTWLW4/ref=sr_1_259?qid=1672903007&amp;s=computers&amp;sr=1-259" TargetMode="External"/><Relationship Id="rId1410" Type="http://schemas.openxmlformats.org/officeDocument/2006/relationships/hyperlink" Target="https://www.amazon.in/Measuring-Cups-Spoons-Set-Essential/dp/B06Y36JKC3/ref=sr_1_443?qid=1672923614&amp;s=kitchen&amp;sr=1-443" TargetMode="External"/><Relationship Id="rId1400" Type="http://schemas.openxmlformats.org/officeDocument/2006/relationships/hyperlink" Target="https://www.amazon.in/Cafe-JEI-Filtration-Resistant-Borosilicate/dp/B088WCFPQF/ref=sr_1_436?qid=1672923613&amp;s=kitchen&amp;sr=1-436" TargetMode="External"/><Relationship Id="rId1401" Type="http://schemas.openxmlformats.org/officeDocument/2006/relationships/hyperlink" Target="https://www.amazon.in/Borosil-Prime-BGRILLPS11-Grill-Sandwich/dp/B07JZSG42Y/ref=sr_1_437?qid=1672923613&amp;s=kitchen&amp;sr=1-437" TargetMode="External"/><Relationship Id="rId1402" Type="http://schemas.openxmlformats.org/officeDocument/2006/relationships/hyperlink" Target="https://www.amazon.in/Candes-Automatic-Instant-Multiple-Perfecto/dp/B08YRMBK9R/ref=sr_1_438?qid=1672923613&amp;s=kitchen&amp;sr=1-438" TargetMode="External"/><Relationship Id="rId1403" Type="http://schemas.openxmlformats.org/officeDocument/2006/relationships/hyperlink" Target="https://www.amazon.in/Prestige-PSMFB-Sandwich-Toaster-Plates/dp/B00935MGHS/ref=sr_1_436?qid=1672923614&amp;s=kitchen&amp;sr=1-436" TargetMode="External"/><Relationship Id="rId1404" Type="http://schemas.openxmlformats.org/officeDocument/2006/relationships/hyperlink" Target="https://www.amazon.in/iBELL-MPK120L-Stainless-Purpose-Kettle/dp/B07B5XJ572/ref=sr_1_437?qid=1672923614&amp;s=kitchen&amp;sr=1-437" TargetMode="External"/><Relationship Id="rId1405" Type="http://schemas.openxmlformats.org/officeDocument/2006/relationships/hyperlink" Target="https://www.amazon.in/Maharaja-Whiteline-Odacio-550-Watt-Grinder/dp/B086199CWG/ref=sr_1_438?qid=1672923614&amp;s=kitchen&amp;sr=1-438" TargetMode="External"/><Relationship Id="rId1406" Type="http://schemas.openxmlformats.org/officeDocument/2006/relationships/hyperlink" Target="https://www.amazon.in/Shakti-Technology-S3-Pressure-Cleaning/dp/B0BBWJFK5C/ref=sr_1_439?qid=1672923614&amp;s=kitchen&amp;sr=1-439" TargetMode="External"/><Relationship Id="rId1407" Type="http://schemas.openxmlformats.org/officeDocument/2006/relationships/hyperlink" Target="https://www.amazon.in/cello-Stainless-Electric-Kettle-Silver/dp/B07GLS2563/ref=sr_1_440?qid=1672923614&amp;s=kitchen&amp;sr=1-440" TargetMode="External"/><Relationship Id="rId819" Type="http://schemas.openxmlformats.org/officeDocument/2006/relationships/hyperlink" Target="https://www.amazon.in/Ambrane-Charging-Unbreakable-Braided-Connector/dp/B09CMM3VGK/ref=sr_1_255?qid=1672903007&amp;s=computers&amp;sr=1-255" TargetMode="External"/><Relationship Id="rId1408" Type="http://schemas.openxmlformats.org/officeDocument/2006/relationships/hyperlink" Target="https://www.amazon.in/AGARO-Ultrasonic-Humidifier-4-5Litres-Adjustable/dp/B09P182Z2H/ref=sr_1_441?qid=1672923614&amp;s=kitchen&amp;sr=1-441" TargetMode="External"/><Relationship Id="rId818" Type="http://schemas.openxmlformats.org/officeDocument/2006/relationships/hyperlink" Target="https://www.amazon.in/TVARA-Writing-Tablet-Inch-Note/dp/B08WD18LJZ/ref=sr_1_254?qid=1672903007&amp;s=computers&amp;sr=1-254" TargetMode="External"/><Relationship Id="rId1409" Type="http://schemas.openxmlformats.org/officeDocument/2006/relationships/hyperlink" Target="https://www.amazon.in/Wolpin-Roller-Sheets-Remove-Clothes/dp/B0B59K1C8F/ref=sr_1_442?qid=1672923614&amp;s=kitchen&amp;sr=1-442" TargetMode="External"/><Relationship Id="rId817" Type="http://schemas.openxmlformats.org/officeDocument/2006/relationships/hyperlink" Target="https://www.amazon.in/Zebronics-Zeb-Fame-Multi-Speakers-Control/dp/B07L3NDN24/ref=sr_1_253?qid=1672903007&amp;s=computers&amp;sr=1-253" TargetMode="External"/><Relationship Id="rId816" Type="http://schemas.openxmlformats.org/officeDocument/2006/relationships/hyperlink" Target="https://www.amazon.in/Seagate-Touch-External-Password-Protection/dp/B094QZLJQ6/ref=sr_1_252?qid=1672903007&amp;s=computers&amp;sr=1-252" TargetMode="External"/><Relationship Id="rId811" Type="http://schemas.openxmlformats.org/officeDocument/2006/relationships/hyperlink" Target="https://www.amazon.in/Crucial-BX500-240GB-2-5-inch-CT240BX500SSD1/dp/B07G3YNLJB/ref=sr_1_247?qid=1672903007&amp;s=computers&amp;sr=1-247" TargetMode="External"/><Relationship Id="rId810" Type="http://schemas.openxmlformats.org/officeDocument/2006/relationships/hyperlink" Target="https://www.amazon.in/Cuzor-Router-Switching-Moisture-Resistant/dp/B07ZKD8T1Q/ref=sr_1_246?qid=1672903007&amp;s=computers&amp;sr=1-246" TargetMode="External"/><Relationship Id="rId815" Type="http://schemas.openxmlformats.org/officeDocument/2006/relationships/hyperlink" Target="https://www.amazon.in/INOVERA-Extended-Rubber-Stitched-Computer/dp/B09MZ6WZ6V/ref=sr_1_251?qid=1672903007&amp;s=computers&amp;sr=1-251" TargetMode="External"/><Relationship Id="rId814" Type="http://schemas.openxmlformats.org/officeDocument/2006/relationships/hyperlink" Target="https://www.amazon.in/ZEBRONICS-Zeb-Evolve-Supporting-Metallic-Blue/dp/B09GFWJDY1/ref=sr_1_250?qid=1672903007&amp;s=computers&amp;sr=1-250" TargetMode="External"/><Relationship Id="rId813" Type="http://schemas.openxmlformats.org/officeDocument/2006/relationships/hyperlink" Target="https://www.amazon.in/Portronics-POR-895-Adjustable-Laptop-Table/dp/B0798PJPCL/ref=sr_1_249?qid=1672903007&amp;s=computers&amp;sr=1-249" TargetMode="External"/><Relationship Id="rId812" Type="http://schemas.openxmlformats.org/officeDocument/2006/relationships/hyperlink" Target="https://www.amazon.in/Classmate-Pulse-Spiral-Notebook-Unruled/dp/B00P93X2H6/ref=sr_1_248?qid=1672903007&amp;s=computers&amp;sr=1-248" TargetMode="External"/><Relationship Id="rId1433" Type="http://schemas.openxmlformats.org/officeDocument/2006/relationships/hyperlink" Target="https://www.amazon.in/AGARO-Setting-Whisking-Warranty-33554/dp/B0977CGNJJ/ref=sr_1_466?qid=1672923615&amp;s=kitchen&amp;sr=1-466" TargetMode="External"/><Relationship Id="rId1434" Type="http://schemas.openxmlformats.org/officeDocument/2006/relationships/hyperlink" Target="https://www.amazon.in/Crompton-Highspeed-Anti-Dust-Ceiling-Efficient/dp/B08WWKM5HQ/ref=sr_1_467?qid=1672923615&amp;s=kitchen&amp;sr=1-467" TargetMode="External"/><Relationship Id="rId1435" Type="http://schemas.openxmlformats.org/officeDocument/2006/relationships/hyperlink" Target="https://www.amazon.in/Lifelong-Waffled105-750-Watt-Waffle-Maker/dp/B015GX9Y0W/ref=sr_1_468?qid=1672923615&amp;s=kitchen&amp;sr=1-468" TargetMode="External"/><Relationship Id="rId1436" Type="http://schemas.openxmlformats.org/officeDocument/2006/relationships/hyperlink" Target="https://www.amazon.in/Kuber-Industries-Waterproof-Organizer-CTKTC044992/dp/B089BDBDGM/ref=sr_1_469?qid=1672923615&amp;s=kitchen&amp;sr=1-469" TargetMode="External"/><Relationship Id="rId1437" Type="http://schemas.openxmlformats.org/officeDocument/2006/relationships/hyperlink" Target="https://www.amazon.in/Portable-Compact-Electric-Wall-Outlet-Adjustable/dp/B0BPBG712X/ref=sr_1_470?qid=1672923615&amp;s=kitchen&amp;sr=1-470" TargetMode="External"/><Relationship Id="rId1438" Type="http://schemas.openxmlformats.org/officeDocument/2006/relationships/hyperlink" Target="https://www.amazon.in/Karcher-WD-Multi-Purpose-Vacuum-Cleaner/dp/B00JBNZPFM/ref=sr_1_471?qid=1672923615&amp;s=kitchen&amp;sr=1-471" TargetMode="External"/><Relationship Id="rId1439" Type="http://schemas.openxmlformats.org/officeDocument/2006/relationships/hyperlink" Target="https://www.amazon.in/Inalsa-Digital-Fryer-Nutri-Fry/dp/B08N6P8G5K/ref=sr_1_475?qid=1672923615&amp;s=kitchen&amp;sr=1-475" TargetMode="External"/><Relationship Id="rId609" Type="http://schemas.openxmlformats.org/officeDocument/2006/relationships/hyperlink" Target="https://www.amazon.in/Fire-Boltt-Ninja-Smartwatch-Sports-Tracking/dp/B09YV4RG4D/ref=sr_1_27?qid=1672902996&amp;s=computers&amp;sr=1-27" TargetMode="External"/><Relationship Id="rId608" Type="http://schemas.openxmlformats.org/officeDocument/2006/relationships/hyperlink" Target="https://www.amazon.in/Noise-ColorFit-Display-Monitoring-Smartwatches/dp/B09NVPSCQT/ref=sr_1_25?qid=1672902996&amp;s=computers&amp;sr=1-25" TargetMode="External"/><Relationship Id="rId607" Type="http://schemas.openxmlformats.org/officeDocument/2006/relationships/hyperlink" Target="https://www.amazon.in/Portronics-Wireless-Optical-Orientation-Adjustable/dp/B0B296NTFV/ref=sr_1_23?qid=1672902995&amp;s=computers&amp;sr=1-23" TargetMode="External"/><Relationship Id="rId849" Type="http://schemas.openxmlformats.org/officeDocument/2006/relationships/hyperlink" Target="https://www.amazon.in/ProElite-Smart-Generation-Stylus-Translucent/dp/B07Z53L5QL/ref=sr_1_289?qid=1672903010&amp;s=computers&amp;sr=1-289" TargetMode="External"/><Relationship Id="rId602" Type="http://schemas.openxmlformats.org/officeDocument/2006/relationships/hyperlink" Target="https://www.amazon.in/JBL-C50HI-Ear-Headphones-Black/dp/B07JQKQ91F/ref=sr_1_18?qid=1672902995&amp;s=computers&amp;sr=1-18" TargetMode="External"/><Relationship Id="rId844" Type="http://schemas.openxmlformats.org/officeDocument/2006/relationships/hyperlink" Target="https://www.amazon.in/Verilux%C2%AE-Multiport-Adapter-Portable-Compatible/dp/B09163Q5CD/ref=sr_1_284?qid=1672903008&amp;s=computers&amp;sr=1-284" TargetMode="External"/><Relationship Id="rId601" Type="http://schemas.openxmlformats.org/officeDocument/2006/relationships/hyperlink" Target="https://www.amazon.in/boAt-Wave-Lite-Smartwatch-Activity/dp/B09V12K8NT/ref=sr_1_17?qid=1672902995&amp;s=computers&amp;sr=1-17" TargetMode="External"/><Relationship Id="rId843" Type="http://schemas.openxmlformats.org/officeDocument/2006/relationships/hyperlink" Target="https://www.amazon.in/Portronics-Ruffpad-Re-Writable-Writing-Battery/dp/B09VC2D2WG/ref=sr_1_283?qid=1672903008&amp;s=computers&amp;sr=1-283" TargetMode="External"/><Relationship Id="rId600" Type="http://schemas.openxmlformats.org/officeDocument/2006/relationships/hyperlink" Target="https://www.amazon.in/Rockerz-450-Wireless-Bluetooth-Headphone/dp/B07PR1CL3S/ref=sr_1_16?qid=1672902995&amp;s=computers&amp;sr=1-16" TargetMode="External"/><Relationship Id="rId842" Type="http://schemas.openxmlformats.org/officeDocument/2006/relationships/hyperlink" Target="https://www.amazon.in/LS-LAPSTER-Accessories-Adapter-Recorder/dp/B084BR3QX8/ref=sr_1_282?qid=1672903008&amp;s=computers&amp;sr=1-282" TargetMode="External"/><Relationship Id="rId841" Type="http://schemas.openxmlformats.org/officeDocument/2006/relationships/hyperlink" Target="https://www.amazon.in/Sounce-Type-C-Compatible-Smartphone-Charging/dp/B09RZS1NQT/ref=sr_1_280?qid=1672903008&amp;s=computers&amp;sr=1-280" TargetMode="External"/><Relationship Id="rId606" Type="http://schemas.openxmlformats.org/officeDocument/2006/relationships/hyperlink" Target="https://www.amazon.in/HP-X1000-Wired-Mouse-Black/dp/B009VCGPSY/ref=sr_1_22?qid=1672902995&amp;s=computers&amp;sr=1-22" TargetMode="External"/><Relationship Id="rId848" Type="http://schemas.openxmlformats.org/officeDocument/2006/relationships/hyperlink" Target="https://www.amazon.in/ENVIE-ECR-20-Charger-Rechargeable-Batteries/dp/B00N3XLDW0/ref=sr_1_288?qid=1672903008&amp;s=computers&amp;sr=1-288" TargetMode="External"/><Relationship Id="rId605" Type="http://schemas.openxmlformats.org/officeDocument/2006/relationships/hyperlink" Target="https://www.amazon.in/HP-v236w-64GB-USB-Drive/dp/B01L8ZNWN2/ref=sr_1_21?qid=1672902995&amp;s=computers&amp;sr=1-21" TargetMode="External"/><Relationship Id="rId847" Type="http://schemas.openxmlformats.org/officeDocument/2006/relationships/hyperlink" Target="https://www.amazon.in/Anjaney-Enterprise-Multipurpose-Breakfast-Ergonomic/dp/B09Z7YGV3R/ref=sr_1_287?qid=1672903008&amp;s=computers&amp;sr=1-287" TargetMode="External"/><Relationship Id="rId604" Type="http://schemas.openxmlformats.org/officeDocument/2006/relationships/hyperlink" Target="https://www.amazon.in/PTron-Bullet-Pro-Lightweight-Smartphones/dp/B07WG8PDCW/ref=sr_1_20?qid=1672902995&amp;s=computers&amp;sr=1-20" TargetMode="External"/><Relationship Id="rId846" Type="http://schemas.openxmlformats.org/officeDocument/2006/relationships/hyperlink" Target="https://www.amazon.in/HP-Wired-Mouse-100-6VY96AA/dp/B083RD1J99/ref=sr_1_286?qid=1672903008&amp;s=computers&amp;sr=1-286" TargetMode="External"/><Relationship Id="rId603" Type="http://schemas.openxmlformats.org/officeDocument/2006/relationships/hyperlink" Target="https://www.amazon.in/LAPSTER-Charger-Protectors-Charging-Protective/dp/B08W56G1K9/ref=sr_1_19?qid=1672902995&amp;s=computers&amp;sr=1-19" TargetMode="External"/><Relationship Id="rId845" Type="http://schemas.openxmlformats.org/officeDocument/2006/relationships/hyperlink" Target="https://www.amazon.in/Zebronics-Wonderbar-Powered-Computer-Speaker/dp/B08K9PX15C/ref=sr_1_285?qid=1672903008&amp;s=computers&amp;sr=1-285" TargetMode="External"/><Relationship Id="rId840" Type="http://schemas.openxmlformats.org/officeDocument/2006/relationships/hyperlink" Target="https://www.amazon.in/AmazonBasics-Apple-Certified-Lightning-Charging/dp/B07XLCFSSN/ref=sr_1_279?qid=1672903008&amp;s=computers&amp;sr=1-279" TargetMode="External"/><Relationship Id="rId1430" Type="http://schemas.openxmlformats.org/officeDocument/2006/relationships/hyperlink" Target="https://www.amazon.in/Cordless-resistant-soleplate-Vertical-Horizontal/dp/B09WF4Q7B3/ref=sr_1_463?qid=1672923615&amp;s=kitchen&amp;sr=1-463" TargetMode="External"/><Relationship Id="rId1431" Type="http://schemas.openxmlformats.org/officeDocument/2006/relationships/hyperlink" Target="https://www.amazon.in/Vacuum-Mop-Intelligent-Navigation-Connectivity-Assistant/dp/B092R48XXB/ref=sr_1_464?qid=1672923615&amp;s=kitchen&amp;sr=1-464" TargetMode="External"/><Relationship Id="rId1432" Type="http://schemas.openxmlformats.org/officeDocument/2006/relationships/hyperlink" Target="https://www.amazon.in/Havells-FHVVEDXOWH08-Ventil-200mm-White/dp/B00KIDSU8S/ref=sr_1_465?qid=1672923615&amp;s=kitchen&amp;sr=1-465" TargetMode="External"/><Relationship Id="rId1422" Type="http://schemas.openxmlformats.org/officeDocument/2006/relationships/hyperlink" Target="https://www.amazon.in/SAIELLIN-Clothes-Sweater-Defuzzer-Trimmer/dp/B09NNZ1GF7/ref=sr_1_458?qid=1672923614&amp;s=kitchen&amp;sr=1-458" TargetMode="External"/><Relationship Id="rId1423" Type="http://schemas.openxmlformats.org/officeDocument/2006/relationships/hyperlink" Target="https://www.amazon.in/Monitor-Split-AC-Stand-White/dp/B01CS4A5V4/ref=sr_1_459?qid=1672923614&amp;s=kitchen&amp;sr=1-459" TargetMode="External"/><Relationship Id="rId1424" Type="http://schemas.openxmlformats.org/officeDocument/2006/relationships/hyperlink" Target="https://www.amazon.in/Induction-Cooktop-Overheat-Protection-Certified/dp/B0BL11S5QK/ref=sr_1_460?qid=1672923614&amp;s=kitchen&amp;sr=1-460" TargetMode="External"/><Relationship Id="rId1425" Type="http://schemas.openxmlformats.org/officeDocument/2006/relationships/hyperlink" Target="https://www.amazon.in/KENT-POWP-Sediment-Filter-Thread-WCAP/dp/B09BL2KHQW/ref=sr_1_461_mod_primary_new?qid=1672923614&amp;s=kitchen&amp;sbo=RZvfv%2F%2FHxDF%2BO5021pAnSA%3D%3D&amp;sr=1-461" TargetMode="External"/><Relationship Id="rId1426" Type="http://schemas.openxmlformats.org/officeDocument/2006/relationships/hyperlink" Target="https://www.amazon.in/LACOPINE-Mini-Pocket-Roller-White/dp/B081RLM75M/ref=sr_1_462?qid=1672923614&amp;s=kitchen&amp;sr=1-462" TargetMode="External"/><Relationship Id="rId1427" Type="http://schemas.openxmlformats.org/officeDocument/2006/relationships/hyperlink" Target="https://www.amazon.in/SEK170L-Premium-Stainless-Electric-Cut-Off/dp/B07SYYVP69/ref=sr_1_460?qid=1672923615&amp;s=kitchen&amp;sr=1-460" TargetMode="External"/><Relationship Id="rId1428" Type="http://schemas.openxmlformats.org/officeDocument/2006/relationships/hyperlink" Target="https://www.amazon.in/Activa-Nutri-Mixer-Grinder-Lasting/dp/B0BDZWMGZ1/ref=sr_1_461?qid=1672923615&amp;s=kitchen&amp;sr=1-461" TargetMode="External"/><Relationship Id="rId1429" Type="http://schemas.openxmlformats.org/officeDocument/2006/relationships/hyperlink" Target="https://www.amazon.in/Sujata-Dynamix-900W-900-Watt-Mixer-Grinder/dp/B078JT7LTD/ref=sr_1_462?qid=1672923615&amp;s=kitchen&amp;sr=1-462" TargetMode="External"/><Relationship Id="rId839" Type="http://schemas.openxmlformats.org/officeDocument/2006/relationships/hyperlink" Target="https://www.amazon.in/Zebronics-Zeb-Buds-30-Multifunction-Lightweight/dp/B09SGGRKV8/ref=sr_1_278?qid=1672903008&amp;s=computers&amp;sr=1-278" TargetMode="External"/><Relationship Id="rId838" Type="http://schemas.openxmlformats.org/officeDocument/2006/relationships/hyperlink" Target="https://www.amazon.in/Envie-1000-4PL-Ni-CD-Rechargeable/dp/B00BN5SNF0/ref=sr_1_276?qid=1672903008&amp;s=computers&amp;sr=1-276" TargetMode="External"/><Relationship Id="rId833" Type="http://schemas.openxmlformats.org/officeDocument/2006/relationships/hyperlink" Target="https://www.amazon.in/Technotech-Ethernet-Network-Patch-Cable/dp/B01DGVKBC6/ref=sr_1_270?qid=1672903008&amp;s=computers&amp;sr=1-270" TargetMode="External"/><Relationship Id="rId832" Type="http://schemas.openxmlformats.org/officeDocument/2006/relationships/hyperlink" Target="https://www.amazon.in/DIGITEK-Portable-Flexible-Compact-Operating/dp/B08B6XWQ1C/ref=sr_1_269?qid=1672903008&amp;s=computers&amp;sr=1-269" TargetMode="External"/><Relationship Id="rId831" Type="http://schemas.openxmlformats.org/officeDocument/2006/relationships/hyperlink" Target="https://www.amazon.in/Logitech-Wireless-mk270r-Keyboard-Mouse/dp/B00CEQEGPI/ref=sr_1_268?qid=1672903008&amp;s=computers&amp;sr=1-268" TargetMode="External"/><Relationship Id="rId830" Type="http://schemas.openxmlformats.org/officeDocument/2006/relationships/hyperlink" Target="https://www.amazon.in/Gizga-Essentials-Laptop-Adapter-Certified/dp/B01IOZUHRS/ref=sr_1_267?qid=1672903008&amp;s=computers&amp;sr=1-267" TargetMode="External"/><Relationship Id="rId837" Type="http://schemas.openxmlformats.org/officeDocument/2006/relationships/hyperlink" Target="https://www.amazon.in/pTron-3-5Amps-Charging-480Mbps-Smartphones/dp/B0B4HJNPV4/ref=sr_1_275?qid=1672903008&amp;s=computers&amp;sr=1-275" TargetMode="External"/><Relationship Id="rId836" Type="http://schemas.openxmlformats.org/officeDocument/2006/relationships/hyperlink" Target="https://www.amazon.in/Duracell-Ultra-5000688-Rechargeable-Batteries/dp/B00E3DVQFS/ref=sr_1_274?qid=1672903008&amp;s=computers&amp;sr=1-274" TargetMode="External"/><Relationship Id="rId835" Type="http://schemas.openxmlformats.org/officeDocument/2006/relationships/hyperlink" Target="https://www.amazon.in/Kingston-DataTraveler-Exodia-DTX-Flash/dp/B08JD36C6H/ref=sr_1_272?qid=1672903008&amp;s=computers&amp;sr=1-272" TargetMode="External"/><Relationship Id="rId834" Type="http://schemas.openxmlformats.org/officeDocument/2006/relationships/hyperlink" Target="https://www.amazon.in/Samsung-Original-Type-Cable-Meter/dp/B008FWZGSG/ref=sr_1_271?qid=1672903008&amp;s=computers&amp;sr=1-271" TargetMode="External"/><Relationship Id="rId1420" Type="http://schemas.openxmlformats.org/officeDocument/2006/relationships/hyperlink" Target="https://www.amazon.in/Glen-Electric-Multi-Cooker-Boiler/dp/B09FPP3R1D/ref=sr_1_456?qid=1672923614&amp;s=kitchen&amp;sr=1-456" TargetMode="External"/><Relationship Id="rId1421" Type="http://schemas.openxmlformats.org/officeDocument/2006/relationships/hyperlink" Target="https://www.amazon.in/Dynore-Stainless-Measuring-8-Pieces-DS_45/dp/B01F7B2JCI/ref=sr_1_457?qid=1672923614&amp;s=kitchen&amp;sr=1-457" TargetMode="External"/><Relationship Id="rId1059" Type="http://schemas.openxmlformats.org/officeDocument/2006/relationships/hyperlink" Target="https://www.amazon.in/AGARO-Rechargeable-Sweaters-Blankets-Curtains/dp/B0BK1K598K/ref=sr_1_49_mod_primary_new?qid=1672923592&amp;s=kitchen&amp;sbo=RZvfv%2F%2FHxDF%2BO5021pAnSA%3D%3D&amp;sr=1-49" TargetMode="External"/><Relationship Id="rId228" Type="http://schemas.openxmlformats.org/officeDocument/2006/relationships/hyperlink" Target="https://www.amazon.in/RTSTM-Support-10-Meters-Devices/dp/B0718ZN31Q/ref=sr_1_249?qid=1672909136&amp;s=electronics&amp;sr=1-249" TargetMode="External"/><Relationship Id="rId227" Type="http://schemas.openxmlformats.org/officeDocument/2006/relationships/hyperlink" Target="https://www.amazon.in/SoniVision-SA-D100-Theater-Compatible-RM-ANU156/dp/B08DCVRW98/ref=sr_1_247?qid=1672909136&amp;s=electronics&amp;sr=1-247" TargetMode="External"/><Relationship Id="rId469" Type="http://schemas.openxmlformats.org/officeDocument/2006/relationships/hyperlink" Target="https://www.amazon.in/Spigen-Tempered-Screen-Protector-iPhone/dp/B0B244R4KB/ref=sr_1_139?qid=1672895784&amp;s=electronics&amp;sr=1-139" TargetMode="External"/><Relationship Id="rId226" Type="http://schemas.openxmlformats.org/officeDocument/2006/relationships/hyperlink" Target="https://www.amazon.in/Remote-Compatible-Samsung-Control-Works/dp/B09H39KTTB/ref=sr_1_246?qid=1672909136&amp;s=electronics&amp;sr=1-246" TargetMode="External"/><Relationship Id="rId468" Type="http://schemas.openxmlformats.org/officeDocument/2006/relationships/hyperlink" Target="https://www.amazon.in/DURACELL-Lightning-Certified-braided-Devices/dp/B09C6HXFC1/ref=sr_1_138?qid=1672895784&amp;s=electronics&amp;sr=1-138" TargetMode="External"/><Relationship Id="rId225" Type="http://schemas.openxmlformats.org/officeDocument/2006/relationships/hyperlink" Target="https://www.amazon.in/TATASKY-Connection-Month-Basic-Installation/dp/B07YZG8PPY/ref=sr_1_245?qid=1672909136&amp;s=electronics&amp;sr=1-245" TargetMode="External"/><Relationship Id="rId467" Type="http://schemas.openxmlformats.org/officeDocument/2006/relationships/hyperlink" Target="https://www.amazon.in/Samsung-Original-EHS64AVFWECINU-Stereo-Headset/dp/B01F25X6RQ/ref=sr_1_137?qid=1672895784&amp;s=electronics&amp;sr=1-137" TargetMode="External"/><Relationship Id="rId1290" Type="http://schemas.openxmlformats.org/officeDocument/2006/relationships/hyperlink" Target="https://www.amazon.in/Aquadpure-Copper-ADJUSTER-Purifier-Technology/dp/B0BJ966M5K/ref=sr_1_308?qid=1672923607&amp;s=kitchen&amp;sr=1-308" TargetMode="External"/><Relationship Id="rId1291" Type="http://schemas.openxmlformats.org/officeDocument/2006/relationships/hyperlink" Target="https://www.amazon.in/AmazonBasics-Drip-Coffee-Maker-Black/dp/B086GVRP63/ref=sr_1_309?qid=1672923607&amp;s=kitchen&amp;sr=1-309" TargetMode="External"/><Relationship Id="rId229" Type="http://schemas.openxmlformats.org/officeDocument/2006/relationships/hyperlink" Target="https://www.amazon.in/LTG-500-2Mtr-Cable-Metallic-Silver/dp/B0162LYSFS/ref=sr_1_250?qid=1672909136&amp;s=electronics&amp;sr=1-250" TargetMode="External"/><Relationship Id="rId1050" Type="http://schemas.openxmlformats.org/officeDocument/2006/relationships/hyperlink" Target="https://www.amazon.in/Lifelong-LLQH922-Certified-Overheating-Protection/dp/B09LQH3SD9/ref=sr_1_36?qid=1672923592&amp;s=kitchen&amp;sr=1-36" TargetMode="External"/><Relationship Id="rId1292" Type="http://schemas.openxmlformats.org/officeDocument/2006/relationships/hyperlink" Target="https://www.amazon.in/Crompton-Delight-Circulator-Heater-Settings/dp/B08MVXPTDG/ref=sr_1_311?qid=1672923607&amp;s=kitchen&amp;sr=1-311" TargetMode="External"/><Relationship Id="rId220" Type="http://schemas.openxmlformats.org/officeDocument/2006/relationships/hyperlink" Target="https://www.amazon.in/boAt-LTG-550v3-Lightning-Resistance/dp/B09JSW16QD/ref=sr_1_240?qid=1672909135&amp;s=electronics&amp;sr=1-240" TargetMode="External"/><Relationship Id="rId462" Type="http://schemas.openxmlformats.org/officeDocument/2006/relationships/hyperlink" Target="https://www.amazon.in/Portronics-CarPower-Charger-Output-Black/dp/B0971DWFDT/ref=sr_1_132?qid=1672895784&amp;s=electronics&amp;sr=1-132" TargetMode="External"/><Relationship Id="rId1051" Type="http://schemas.openxmlformats.org/officeDocument/2006/relationships/hyperlink" Target="https://www.amazon.in/Remover-Sweaters-Blankets-Jackets-Carpets/dp/B09KNMLH4Y/ref=sr_1_37_mod_primary_new?qid=1672923592&amp;s=kitchen&amp;sbo=RZvfv%2F%2FHxDF%2BO5021pAnSA%3D%3D&amp;sr=1-37" TargetMode="External"/><Relationship Id="rId1293" Type="http://schemas.openxmlformats.org/officeDocument/2006/relationships/hyperlink" Target="https://www.amazon.in/HANEUL-2000-Watt-Heater-HN-2500-Thermoset/dp/B0BMZ6SY89/ref=sr_1_312?qid=1672923607&amp;s=kitchen&amp;sr=1-312" TargetMode="External"/><Relationship Id="rId461" Type="http://schemas.openxmlformats.org/officeDocument/2006/relationships/hyperlink" Target="https://www.amazon.in/Upgraded-Precision-Sensitivity-Rejection-Adsorption/dp/B09KGV7WSV/ref=sr_1_131?qid=1672895784&amp;s=electronics&amp;sr=1-131" TargetMode="External"/><Relationship Id="rId1052" Type="http://schemas.openxmlformats.org/officeDocument/2006/relationships/hyperlink" Target="https://www.amazon.in/Bajaj-1500-Watt-Immersion-Heater-Plug/dp/B00ABMASXG/ref=sr_1_38?qid=1672923592&amp;s=kitchen&amp;sr=1-38" TargetMode="External"/><Relationship Id="rId1294" Type="http://schemas.openxmlformats.org/officeDocument/2006/relationships/hyperlink" Target="https://www.amazon.in/Melbon-Blower-Heater-2000-Watt-White/dp/B09P1MFKG1/ref=sr_1_313?qid=1672923607&amp;s=kitchen&amp;sr=1-313" TargetMode="External"/><Relationship Id="rId460" Type="http://schemas.openxmlformats.org/officeDocument/2006/relationships/hyperlink" Target="https://www.amazon.in/Spigen-Tempered-Screen-Protector-iPhone/dp/B0B23LW7NV/ref=sr_1_130?qid=1672895784&amp;s=electronics&amp;sr=1-130" TargetMode="External"/><Relationship Id="rId1053" Type="http://schemas.openxmlformats.org/officeDocument/2006/relationships/hyperlink" Target="https://www.amazon.in/Inalsa-Electric-Kettle-Absa-1500W-Capacity/dp/B07QDSN9V6/ref=sr_1_39?qid=1672923592&amp;s=kitchen&amp;sr=1-39" TargetMode="External"/><Relationship Id="rId1295" Type="http://schemas.openxmlformats.org/officeDocument/2006/relationships/hyperlink" Target="https://www.amazon.in/Plastic-Laundry-Basket-Light-Grey/dp/B01LY9W8AF/ref=sr_1_314?qid=1672923607&amp;s=kitchen&amp;sr=1-314" TargetMode="External"/><Relationship Id="rId1054" Type="http://schemas.openxmlformats.org/officeDocument/2006/relationships/hyperlink" Target="https://www.amazon.in/Prestige-PIC-20-Induction-Cooktop/dp/B00YMJ0OI8/ref=sr_1_43?qid=1672923592&amp;s=kitchen&amp;sr=1-43" TargetMode="External"/><Relationship Id="rId1296" Type="http://schemas.openxmlformats.org/officeDocument/2006/relationships/hyperlink" Target="https://www.amazon.in/ACTIVA-APSRA-Approved-Ceiling-Warranty/dp/B07ZJND9B9/ref=sr_1_315?qid=1672923607&amp;s=kitchen&amp;sr=1-315" TargetMode="External"/><Relationship Id="rId224" Type="http://schemas.openxmlformats.org/officeDocument/2006/relationships/hyperlink" Target="https://www.amazon.in/Portronics-Konnect-Charging-Resistant-Braided/dp/B09Q8WQ5QJ/ref=sr_1_244?qid=1672909136&amp;s=electronics&amp;sr=1-244" TargetMode="External"/><Relationship Id="rId466" Type="http://schemas.openxmlformats.org/officeDocument/2006/relationships/hyperlink" Target="https://www.amazon.in/iQOO-Storage-Snapdragon-695-6nm-Processor/dp/B07WJWRNVK/ref=sr_1_136?qid=1672895784&amp;s=electronics&amp;sr=1-136" TargetMode="External"/><Relationship Id="rId1055" Type="http://schemas.openxmlformats.org/officeDocument/2006/relationships/hyperlink" Target="https://www.amazon.in/Pigeon-Healthifry-Circulation-Technology-Non-Stick/dp/B0B8XNPQPN/ref=sr_1_44?qid=1672923592&amp;s=kitchen&amp;sr=1-44" TargetMode="External"/><Relationship Id="rId1297" Type="http://schemas.openxmlformats.org/officeDocument/2006/relationships/hyperlink" Target="https://www.amazon.in/Shakti-Technology-S5-Pressure-Machine/dp/B0B2CWRDB1/ref=sr_1_316?qid=1672923607&amp;s=kitchen&amp;sr=1-316" TargetMode="External"/><Relationship Id="rId223" Type="http://schemas.openxmlformats.org/officeDocument/2006/relationships/hyperlink" Target="https://www.amazon.in/Caprigo-Universal-Monitor-Rotatable-Black-M416/dp/B083GQGT3Z/ref=sr_1_243?qid=1672909136&amp;s=electronics&amp;sr=1-243" TargetMode="External"/><Relationship Id="rId465" Type="http://schemas.openxmlformats.org/officeDocument/2006/relationships/hyperlink" Target="https://www.amazon.in/Mi-Braided-USB-Type-C-Cable/dp/B083342NKJ/ref=sr_1_135?qid=1672895784&amp;s=electronics&amp;sr=1-135" TargetMode="External"/><Relationship Id="rId1056" Type="http://schemas.openxmlformats.org/officeDocument/2006/relationships/hyperlink" Target="https://www.amazon.in/PrettyKrafts-Laundry-Basket-Clothes-Handles/dp/B0814P4L98/ref=sr_1_45?qid=1672923592&amp;s=kitchen&amp;sr=1-45" TargetMode="External"/><Relationship Id="rId1298" Type="http://schemas.openxmlformats.org/officeDocument/2006/relationships/hyperlink" Target="https://www.amazon.in/American-Micronic-AMI-VCD21-1600WDx-Wet-1600Watts-21-litres-Stainless/dp/B072NCN9M4/ref=sr_1_317?qid=1672923607&amp;s=kitchen&amp;sr=1-317" TargetMode="External"/><Relationship Id="rId222" Type="http://schemas.openxmlformats.org/officeDocument/2006/relationships/hyperlink" Target="https://www.amazon.in/Astigo-Compatible-Remote-Airtel-Set/dp/B09127FZCK/ref=sr_1_242?qid=1672909136&amp;s=electronics&amp;sr=1-242" TargetMode="External"/><Relationship Id="rId464" Type="http://schemas.openxmlformats.org/officeDocument/2006/relationships/hyperlink" Target="https://www.amazon.in/PTron-Force-Bluetooth-Smartwatch-Waterproof/dp/B0B53QFZPY/ref=sr_1_134?qid=1672895784&amp;s=electronics&amp;sr=1-134" TargetMode="External"/><Relationship Id="rId1057" Type="http://schemas.openxmlformats.org/officeDocument/2006/relationships/hyperlink" Target="https://www.amazon.in/Philips-GC1905-1440-Watt-Steam-Spray/dp/B008QTK47Q/ref=sr_1_47?qid=1672923592&amp;s=kitchen&amp;sr=1-47" TargetMode="External"/><Relationship Id="rId1299" Type="http://schemas.openxmlformats.org/officeDocument/2006/relationships/hyperlink" Target="https://www.amazon.in/Demokrazy-Remover-Woolens-Sweaters-Blankets/dp/B08SKZ2RMG/ref=sr_1_318?qid=1672923607&amp;s=kitchen&amp;sr=1-318" TargetMode="External"/><Relationship Id="rId221" Type="http://schemas.openxmlformats.org/officeDocument/2006/relationships/hyperlink" Target="https://www.amazon.in/Wayona-Braided-WN3LB2-Syncing-Charging/dp/B07JH1CBGW/ref=sr_1_241?qid=1672909136&amp;s=electronics&amp;sr=1-241" TargetMode="External"/><Relationship Id="rId463" Type="http://schemas.openxmlformats.org/officeDocument/2006/relationships/hyperlink" Target="https://www.amazon.in/boAt-Launched-Ultra-Seamless-Personalization-Charcoal/dp/B0BNV7JM5Y/ref=sr_1_133?qid=1672895784&amp;s=electronics&amp;sr=1-133" TargetMode="External"/><Relationship Id="rId1058" Type="http://schemas.openxmlformats.org/officeDocument/2006/relationships/hyperlink" Target="https://www.amazon.in/Havells-Immersion-HB15-1500-White/dp/B088ZTJT2R/ref=sr_1_48_mod_primary_new?qid=1672923592&amp;s=kitchen&amp;sbo=RZvfv%2F%2FHxDF%2BO5021pAnSA%3D%3D&amp;sr=1-48" TargetMode="External"/><Relationship Id="rId1048" Type="http://schemas.openxmlformats.org/officeDocument/2006/relationships/hyperlink" Target="https://www.amazon.in/Bajaj-Rex-500-Watt-Mixer-Grinder/dp/B00HVXS7WC/ref=sr_1_34?qid=1672923592&amp;s=kitchen&amp;sr=1-34" TargetMode="External"/><Relationship Id="rId1049" Type="http://schemas.openxmlformats.org/officeDocument/2006/relationships/hyperlink" Target="https://www.amazon.in/Lifelong-LLEK15-Electric-Stainless-Warranty/dp/B096YCN3SD/ref=sr_1_35?qid=1672923592&amp;s=kitchen&amp;sr=1-35" TargetMode="External"/><Relationship Id="rId217" Type="http://schemas.openxmlformats.org/officeDocument/2006/relationships/hyperlink" Target="https://www.amazon.in/OnePlus-138-7-inches-Android-55U1S/dp/B095JQVC7N/ref=sr_1_237?qid=1672909135&amp;s=electronics&amp;sr=1-237" TargetMode="External"/><Relationship Id="rId459" Type="http://schemas.openxmlformats.org/officeDocument/2006/relationships/hyperlink" Target="https://www.amazon.in/boAt-Wave-Call-Dedicated-Multi-Sport/dp/B0B5CGTBKV/ref=sr_1_128?qid=1672895784&amp;s=electronics&amp;sr=1-128" TargetMode="External"/><Relationship Id="rId216" Type="http://schemas.openxmlformats.org/officeDocument/2006/relationships/hyperlink" Target="https://www.amazon.in/Karbonn-Millennium-KJW32NSHDF-Phantom-Bezel-Less/dp/B0B467CCB9/ref=sr_1_236?qid=1672909135&amp;s=electronics&amp;sr=1-236" TargetMode="External"/><Relationship Id="rId458" Type="http://schemas.openxmlformats.org/officeDocument/2006/relationships/hyperlink" Target="https://www.amazon.in/boAt-Wave-Lite-Smartwatch-Multiple/dp/B09V17S2BG/ref=sr_1_127?qid=1672895784&amp;s=electronics&amp;sr=1-127" TargetMode="External"/><Relationship Id="rId215" Type="http://schemas.openxmlformats.org/officeDocument/2006/relationships/hyperlink" Target="https://www.amazon.in/CrypoTM-Universal-Remote-Compatible-Sky/dp/B0841KQR1Z/ref=sr_1_235?qid=1672909135&amp;s=electronics&amp;sr=1-235" TargetMode="External"/><Relationship Id="rId457" Type="http://schemas.openxmlformats.org/officeDocument/2006/relationships/hyperlink" Target="https://www.amazon.in/Portronics-Konnect-POR-1401-Charging-Function/dp/B09KLVMZ3B/ref=sr_1_126?qid=1672895784&amp;s=electronics&amp;sr=1-126" TargetMode="External"/><Relationship Id="rId699" Type="http://schemas.openxmlformats.org/officeDocument/2006/relationships/hyperlink" Target="https://www.amazon.in/Digitek-DTR-550-LW-Tripod/dp/B074CWD7MS/ref=sr_1_124?qid=1672903001&amp;s=computers&amp;sr=1-124" TargetMode="External"/><Relationship Id="rId214" Type="http://schemas.openxmlformats.org/officeDocument/2006/relationships/hyperlink" Target="https://www.amazon.in/Amazon-Basics-Lightning-Certified-Charging/dp/B0B8SSZ76F/ref=sr_1_234?qid=1672909135&amp;s=electronics&amp;sr=1-234" TargetMode="External"/><Relationship Id="rId456" Type="http://schemas.openxmlformats.org/officeDocument/2006/relationships/hyperlink" Target="https://www.amazon.in/Motorola-keypad-Mobile-Expandable-Battery/dp/B09JS562TP/ref=sr_1_125?qid=1672895784&amp;s=electronics&amp;sr=1-125" TargetMode="External"/><Relationship Id="rId698" Type="http://schemas.openxmlformats.org/officeDocument/2006/relationships/hyperlink" Target="https://www.amazon.in/Logitech-H111-Stero-Headset-Black/dp/B00Y4ORQ46/ref=sr_1_123?qid=1672903001&amp;s=computers&amp;sr=1-123" TargetMode="External"/><Relationship Id="rId219" Type="http://schemas.openxmlformats.org/officeDocument/2006/relationships/hyperlink" Target="https://www.amazon.in/AmazonBasics-AZHDAD01-HDMI-Coupler-Black/dp/B06XR9PR5X/ref=sr_1_239?qid=1672909135&amp;s=electronics&amp;sr=1-239" TargetMode="External"/><Relationship Id="rId1280" Type="http://schemas.openxmlformats.org/officeDocument/2006/relationships/hyperlink" Target="https://www.amazon.in/Eureka-Forbes-Vacuum-Cleaner-Washable/dp/B08L12N5H1/ref=sr_1_295?qid=1672923607&amp;s=kitchen&amp;sr=1-295" TargetMode="External"/><Relationship Id="rId218" Type="http://schemas.openxmlformats.org/officeDocument/2006/relationships/hyperlink" Target="https://www.amazon.in/Meter-Speed-Plated-Female-Extension/dp/B08PPHFXG3/ref=sr_1_238?qid=1672909135&amp;s=electronics&amp;sr=1-238" TargetMode="External"/><Relationship Id="rId1281" Type="http://schemas.openxmlformats.org/officeDocument/2006/relationships/hyperlink" Target="https://www.amazon.in/Kent-16025-700-Watt-Sandwich-Grill/dp/B07GWTWFS2/ref=sr_1_296?qid=1672923607&amp;s=kitchen&amp;sr=1-296" TargetMode="External"/><Relationship Id="rId451" Type="http://schemas.openxmlformats.org/officeDocument/2006/relationships/hyperlink" Target="https://www.amazon.in/iQOO-Storage-Snapdragon-FlashCharge-Brightness/dp/B07WDK3ZS2/ref=sr_1_126?qid=1672895777&amp;s=electronics&amp;sr=1-126" TargetMode="External"/><Relationship Id="rId693" Type="http://schemas.openxmlformats.org/officeDocument/2006/relationships/hyperlink" Target="https://www.amazon.in/Portronics-Konnect-POR-1401-Charging-Function/dp/B09KLVMZ3B/ref=sr_1_118?qid=1672903000&amp;s=computers&amp;sr=1-118" TargetMode="External"/><Relationship Id="rId1040" Type="http://schemas.openxmlformats.org/officeDocument/2006/relationships/hyperlink" Target="https://www.amazon.in/Havells-Instanio-3-Litre-Instant-Geyser/dp/B078JDNZJ8/ref=sr_1_28?qid=1672923591&amp;s=kitchen&amp;sr=1-28" TargetMode="External"/><Relationship Id="rId1282" Type="http://schemas.openxmlformats.org/officeDocument/2006/relationships/hyperlink" Target="https://www.amazon.in/Candes-Gloster-Silent-Blower-Heater/dp/B09KRHXTLN/ref=sr_1_297?qid=1672923607&amp;s=kitchen&amp;sr=1-297" TargetMode="External"/><Relationship Id="rId450" Type="http://schemas.openxmlformats.org/officeDocument/2006/relationships/hyperlink" Target="https://www.amazon.in/Nokia-105-Single-Wireless-Charcoal/dp/B09YDFKJF8/ref=sr_1_125?qid=1672895777&amp;s=electronics&amp;sr=1-125" TargetMode="External"/><Relationship Id="rId692" Type="http://schemas.openxmlformats.org/officeDocument/2006/relationships/hyperlink" Target="https://www.amazon.in/TP-Link-Bluetooth-Receiver-UB500-Controllers/dp/B098K3H92Z/ref=sr_1_117?qid=1672903000&amp;s=computers&amp;sr=1-117" TargetMode="External"/><Relationship Id="rId1041" Type="http://schemas.openxmlformats.org/officeDocument/2006/relationships/hyperlink" Target="https://www.amazon.in/Morphy-Richards-OFR-09-2000-Watt/dp/B01M5F614J/ref=sr_1_29?qid=1672923591&amp;s=kitchen&amp;sr=1-29" TargetMode="External"/><Relationship Id="rId1283" Type="http://schemas.openxmlformats.org/officeDocument/2006/relationships/hyperlink" Target="https://www.amazon.in/Inalsa-Electric-Heater-Hotty-Certification/dp/B09H34V36W/ref=sr_1_298_mod_primary_new?qid=1672923607&amp;s=kitchen&amp;sbo=RZvfv%2F%2FHxDF%2BO5021pAnSA%3D%3D&amp;sr=1-298" TargetMode="External"/><Relationship Id="rId691" Type="http://schemas.openxmlformats.org/officeDocument/2006/relationships/hyperlink" Target="https://www.amazon.in/Airdopes-181-Playtime-Bluetooth-Wireless/dp/B09PL79D2X/ref=sr_1_116?qid=1672903000&amp;s=computers&amp;sr=1-116" TargetMode="External"/><Relationship Id="rId1042" Type="http://schemas.openxmlformats.org/officeDocument/2006/relationships/hyperlink" Target="https://www.amazon.in/HAVELLS-Kettle-Coffee-Boiler-Stainless/dp/B083GKDRKR/ref=sr_1_30?qid=1672923591&amp;s=kitchen&amp;sr=1-30" TargetMode="External"/><Relationship Id="rId1284" Type="http://schemas.openxmlformats.org/officeDocument/2006/relationships/hyperlink" Target="https://www.amazon.in/Havells-Zella-Immersion-Watts-White/dp/B09J2QCKKM/ref=sr_1_299?qid=1672923607&amp;s=kitchen&amp;sr=1-299" TargetMode="External"/><Relationship Id="rId690" Type="http://schemas.openxmlformats.org/officeDocument/2006/relationships/hyperlink" Target="https://www.amazon.in/Portronics-Konnect-Delivery-Support-Braided/dp/B085DTN6R2/ref=sr_1_115?qid=1672903000&amp;s=computers&amp;sr=1-115" TargetMode="External"/><Relationship Id="rId1043" Type="http://schemas.openxmlformats.org/officeDocument/2006/relationships/hyperlink" Target="https://www.amazon.in/Bajaj-Splendora-Instant-Water-Heater/dp/B097R2V1W8/ref=sr_1_28?qid=1672923592&amp;s=kitchen&amp;sr=1-28" TargetMode="External"/><Relationship Id="rId1285" Type="http://schemas.openxmlformats.org/officeDocument/2006/relationships/hyperlink" Target="https://www.amazon.in/SM1301-Sandwich-Detachable-Plates-Waffle/dp/B09XRBJ94N/ref=sr_1_300?qid=1672923607&amp;s=kitchen&amp;sr=1-300" TargetMode="External"/><Relationship Id="rId213" Type="http://schemas.openxmlformats.org/officeDocument/2006/relationships/hyperlink" Target="https://www.amazon.in/AmazonBasics-Extension-Cable-2-Pack-Female/dp/B00NH13Q8W/ref=sr_1_233?qid=1672909135&amp;s=electronics&amp;sr=1-233" TargetMode="External"/><Relationship Id="rId455" Type="http://schemas.openxmlformats.org/officeDocument/2006/relationships/hyperlink" Target="https://www.amazon.in/Portronics-Konnect-Delivery-Support-Braided/dp/B085DTN6R2/ref=sr_1_124?qid=1672895784&amp;s=electronics&amp;sr=1-124" TargetMode="External"/><Relationship Id="rId697" Type="http://schemas.openxmlformats.org/officeDocument/2006/relationships/hyperlink" Target="https://www.amazon.in/682-Black-Original-Ink-Cartridge/dp/B08CYNJ5KY/ref=sr_1_122?qid=1672903001&amp;s=computers&amp;sr=1-122" TargetMode="External"/><Relationship Id="rId1044" Type="http://schemas.openxmlformats.org/officeDocument/2006/relationships/hyperlink" Target="https://www.amazon.in/KENT-Elegant-Electric-Kettle-Silver/dp/B07YR26BJ3/ref=sr_1_29?qid=1672923592&amp;s=kitchen&amp;sr=1-29" TargetMode="External"/><Relationship Id="rId1286" Type="http://schemas.openxmlformats.org/officeDocument/2006/relationships/hyperlink" Target="https://www.amazon.in/Inalsa-Micro-WD10-1000W-Multifunction-Resistant/dp/B07SLNG3LW/ref=sr_1_301?qid=1672923607&amp;s=kitchen&amp;sr=1-301" TargetMode="External"/><Relationship Id="rId212" Type="http://schemas.openxmlformats.org/officeDocument/2006/relationships/hyperlink" Target="https://www.amazon.in/Tata-Remote-Control-Compatible-tatasky/dp/B08RHPDNVV/ref=sr_1_232?qid=1672909135&amp;s=electronics&amp;sr=1-232" TargetMode="External"/><Relationship Id="rId454" Type="http://schemas.openxmlformats.org/officeDocument/2006/relationships/hyperlink" Target="https://www.amazon.in/iQOO-Chromatic-Storage-Snapdragon-Processor/dp/B07WHQBZLS/ref=sr_1_123?qid=1672895784&amp;s=electronics&amp;sr=1-123" TargetMode="External"/><Relationship Id="rId696" Type="http://schemas.openxmlformats.org/officeDocument/2006/relationships/hyperlink" Target="https://www.amazon.in/rts-Adapter-Charging-Converter-compatible/dp/B097C564GC/ref=sr_1_121?qid=1672903001&amp;s=computers&amp;sr=1-121" TargetMode="External"/><Relationship Id="rId1045" Type="http://schemas.openxmlformats.org/officeDocument/2006/relationships/hyperlink" Target="https://www.amazon.in/Bajaj-Shakti-Heater-Multiple-Safety/dp/B097R45BH8/ref=sr_1_30?qid=1672923592&amp;s=kitchen&amp;sr=1-30" TargetMode="External"/><Relationship Id="rId1287" Type="http://schemas.openxmlformats.org/officeDocument/2006/relationships/hyperlink" Target="https://www.amazon.in/MR-BRAND-Portable-Electric-Rechargeable/dp/B0BNDGL26T/ref=sr_1_302?qid=1672923607&amp;s=kitchen&amp;sr=1-302" TargetMode="External"/><Relationship Id="rId211" Type="http://schemas.openxmlformats.org/officeDocument/2006/relationships/hyperlink" Target="https://www.amazon.in/WZATCO-Pixel-Portable-Projector-Compatible/dp/B0BLV1GNLN/ref=sr_1_231?qid=1672909135&amp;s=electronics&amp;sr=1-231" TargetMode="External"/><Relationship Id="rId453" Type="http://schemas.openxmlformats.org/officeDocument/2006/relationships/hyperlink" Target="https://www.amazon.in/Oppo-Mystery-Storage-Additional-Exchange/dp/B08444S68L/ref=sr_1_122?qid=1672895784&amp;s=electronics&amp;sr=1-122" TargetMode="External"/><Relationship Id="rId695" Type="http://schemas.openxmlformats.org/officeDocument/2006/relationships/hyperlink" Target="https://www.amazon.in/Noise-ColorFit-Smartwatch-Monitoring-Waterproof/dp/B097R25DP7/ref=sr_1_120?qid=1672903000&amp;s=computers&amp;sr=1-120" TargetMode="External"/><Relationship Id="rId1046" Type="http://schemas.openxmlformats.org/officeDocument/2006/relationships/hyperlink" Target="https://www.amazon.in/Lifelong-LLMG23-500-Watt-Liquidizing-Stainless/dp/B09X5C9VLK/ref=sr_1_31?qid=1672923592&amp;s=kitchen&amp;sr=1-31" TargetMode="External"/><Relationship Id="rId1288" Type="http://schemas.openxmlformats.org/officeDocument/2006/relationships/hyperlink" Target="https://www.amazon.in/Crompton-1200mm-Designer-Ceiling-Smoked/dp/B095PWLLY6/ref=sr_1_303?qid=1672923607&amp;s=kitchen&amp;sr=1-303" TargetMode="External"/><Relationship Id="rId210" Type="http://schemas.openxmlformats.org/officeDocument/2006/relationships/hyperlink" Target="https://www.amazon.in/Tata-Sky-Universal-Remote-Compatible/dp/B08CKW1KH9/ref=sr_1_230?qid=1672909135&amp;s=electronics&amp;sr=1-230" TargetMode="External"/><Relationship Id="rId452" Type="http://schemas.openxmlformats.org/officeDocument/2006/relationships/hyperlink" Target="https://www.amazon.in/33W-SonicCharge-2-0-Charger-Combo/dp/B08RZ5K9YH/ref=sr_1_121?qid=1672895784&amp;s=electronics&amp;sr=1-121" TargetMode="External"/><Relationship Id="rId694" Type="http://schemas.openxmlformats.org/officeDocument/2006/relationships/hyperlink" Target="https://www.amazon.in/SanDisk-Ultra-Drive-Flash-128GB/dp/B084PJSSQ1/ref=sr_1_119?qid=1672903000&amp;s=computers&amp;sr=1-119" TargetMode="External"/><Relationship Id="rId1047" Type="http://schemas.openxmlformats.org/officeDocument/2006/relationships/hyperlink" Target="https://www.amazon.in/Bajaj-Majesty-1000-Watt-Iron-White/dp/B01C8P29T4/ref=sr_1_33?qid=1672923592&amp;s=kitchen&amp;sr=1-33" TargetMode="External"/><Relationship Id="rId1289" Type="http://schemas.openxmlformats.org/officeDocument/2006/relationships/hyperlink" Target="https://www.amazon.in/Plastic-Powermatic-Jar-Juicer-Grinder-Chutney/dp/B07Y9PY6Y1/ref=sr_1_307?qid=1672923607&amp;s=kitchen&amp;sr=1-307" TargetMode="External"/><Relationship Id="rId491" Type="http://schemas.openxmlformats.org/officeDocument/2006/relationships/hyperlink" Target="https://www.amazon.in/Redmi-Meadow-Design-Dimensity-5000mAh/dp/B0BBFJ9M3X/ref=sr_1_179?qid=1672895799&amp;s=electronics&amp;sr=1-179" TargetMode="External"/><Relationship Id="rId490" Type="http://schemas.openxmlformats.org/officeDocument/2006/relationships/hyperlink" Target="https://www.amazon.in/iQOO-Raven-Black-128GB-Storage/dp/B07WGPKMP5/ref=sr_1_175?qid=1672895799&amp;s=electronics&amp;sr=1-175" TargetMode="External"/><Relationship Id="rId249" Type="http://schemas.openxmlformats.org/officeDocument/2006/relationships/hyperlink" Target="https://www.amazon.in/Croma-transfer-Durability-warranty-CRCMA0106sTC10/dp/B09BW2GP18/ref=sr_1_289?qid=1672909138&amp;s=electronics&amp;sr=1-289" TargetMode="External"/><Relationship Id="rId248" Type="http://schemas.openxmlformats.org/officeDocument/2006/relationships/hyperlink" Target="https://www.amazon.in/AmazonBasics-USB-Type-C-2-0-Cable/dp/B01GGKZ4NU/ref=sr_1_288?qid=1672909138&amp;s=electronics&amp;sr=1-288" TargetMode="External"/><Relationship Id="rId247" Type="http://schemas.openxmlformats.org/officeDocument/2006/relationships/hyperlink" Target="https://www.amazon.in/pTron-Charging-480Mbps-Durable-1-Meter/dp/B0B4T6MR8N/ref=sr_1_287?qid=1672909138&amp;s=electronics&amp;sr=1-287" TargetMode="External"/><Relationship Id="rId489" Type="http://schemas.openxmlformats.org/officeDocument/2006/relationships/hyperlink" Target="https://www.amazon.in/Mobile-Phone-Holder-Phones-Tablets/dp/B0926V9CTV/ref=sr_1_174?qid=1672895799&amp;s=electronics&amp;sr=1-174" TargetMode="External"/><Relationship Id="rId1070" Type="http://schemas.openxmlformats.org/officeDocument/2006/relationships/hyperlink" Target="https://www.amazon.in/SOFLIN-Electric-Automatic-Poacher-Steaming/dp/B07GMFY9QM/ref=sr_1_60?qid=1672923593&amp;s=kitchen&amp;sr=1-60" TargetMode="External"/><Relationship Id="rId1071" Type="http://schemas.openxmlformats.org/officeDocument/2006/relationships/hyperlink" Target="https://www.amazon.in/Lifelong-LLQH925-settings-operation-Indicator/dp/B0BGPN4GGH/ref=sr_1_62?qid=1672923593&amp;s=kitchen&amp;sr=1-62" TargetMode="External"/><Relationship Id="rId1072" Type="http://schemas.openxmlformats.org/officeDocument/2006/relationships/hyperlink" Target="https://www.amazon.in/Amazon-Basics-Electric-Kettle-Stainless/dp/B0B2DZ5S6R/ref=sr_1_63?qid=1672923593&amp;s=kitchen&amp;sr=1-63" TargetMode="External"/><Relationship Id="rId242" Type="http://schemas.openxmlformats.org/officeDocument/2006/relationships/hyperlink" Target="https://www.amazon.in/Wayona-Braided-Charger-Charging-Samsung/dp/B081FJWN52/ref=sr_1_273?qid=1672909138&amp;s=electronics&amp;sr=1-273" TargetMode="External"/><Relationship Id="rId484" Type="http://schemas.openxmlformats.org/officeDocument/2006/relationships/hyperlink" Target="https://www.amazon.in/10W-Charger-Cable-Meter-Black/dp/B085CZ3SR1/ref=sr_1_164?qid=1672895791&amp;s=electronics&amp;sr=1-164" TargetMode="External"/><Relationship Id="rId1073" Type="http://schemas.openxmlformats.org/officeDocument/2006/relationships/hyperlink" Target="https://www.amazon.in/Prestige-Sandwich-Maker-PGMFD-01/dp/B07S851WX5/ref=sr_1_67?qid=1672923593&amp;s=kitchen&amp;sr=1-67" TargetMode="External"/><Relationship Id="rId241" Type="http://schemas.openxmlformats.org/officeDocument/2006/relationships/hyperlink" Target="https://www.amazon.in/Ambrane-Charging-Neckband-Wireless-ACT/dp/B09YLX91QR/ref=sr_1_272?qid=1672909138&amp;s=electronics&amp;sr=1-272" TargetMode="External"/><Relationship Id="rId483" Type="http://schemas.openxmlformats.org/officeDocument/2006/relationships/hyperlink" Target="https://www.amazon.in/Tukzer-Capacitive-Lightweight-Magnetism-Smartphones/dp/B08K4RDQ71/ref=sr_1_163?qid=1672895791&amp;s=electronics&amp;sr=1-163" TargetMode="External"/><Relationship Id="rId1074" Type="http://schemas.openxmlformats.org/officeDocument/2006/relationships/hyperlink" Target="https://www.amazon.in/Orient-Electric-Fabrijoy-DIFJ10BP-1000-Watt/dp/B01MY839VW/ref=sr_1_69?qid=1672923593&amp;s=kitchen&amp;sr=1-69" TargetMode="External"/><Relationship Id="rId240" Type="http://schemas.openxmlformats.org/officeDocument/2006/relationships/hyperlink" Target="https://www.amazon.in/AmazonBasics-16-Gauge-Speaker-Wire-Feet/dp/B006LW0WDQ/ref=sr_1_263?qid=1672909136&amp;s=electronics&amp;sr=1-263" TargetMode="External"/><Relationship Id="rId482" Type="http://schemas.openxmlformats.org/officeDocument/2006/relationships/hyperlink" Target="https://www.amazon.in/Samsung-Midnight-Storage-5000mAh-Battery/dp/B0B4F1YC3J/ref=sr_1_162?qid=1672895791&amp;s=electronics&amp;sr=1-162" TargetMode="External"/><Relationship Id="rId1075" Type="http://schemas.openxmlformats.org/officeDocument/2006/relationships/hyperlink" Target="https://www.amazon.in/Lifelong-LLFH921-Overheating-Protection-Certified/dp/B09LV1CMGH/ref=sr_1_70?qid=1672923593&amp;s=kitchen&amp;sr=1-70" TargetMode="External"/><Relationship Id="rId481" Type="http://schemas.openxmlformats.org/officeDocument/2006/relationships/hyperlink" Target="https://www.amazon.in/Tukzer-Capacitive-Lightweight-Magnetism-Smartphones/dp/B08K4PSZ3V/ref=sr_1_161?qid=1672895791&amp;s=electronics&amp;sr=1-161" TargetMode="External"/><Relationship Id="rId1076" Type="http://schemas.openxmlformats.org/officeDocument/2006/relationships/hyperlink" Target="https://www.amazon.in/Philips-GC181-Heavy-Weight-1000-Watt/dp/B01EY310UM/ref=sr_1_71?qid=1672923593&amp;s=kitchen&amp;sr=1-71" TargetMode="External"/><Relationship Id="rId246" Type="http://schemas.openxmlformats.org/officeDocument/2006/relationships/hyperlink" Target="https://www.amazon.in/Boat-Type-Cable-1-5m-Black/dp/B08NCKT9FG/ref=sr_1_284?qid=1672909138&amp;s=electronics&amp;sr=1-284" TargetMode="External"/><Relationship Id="rId488" Type="http://schemas.openxmlformats.org/officeDocument/2006/relationships/hyperlink" Target="https://www.amazon.in/Noise-ColorFit-Bluetooth-instacharge-Functional/dp/B0BGSV43WY/ref=sr_1_172?qid=1672895799&amp;s=electronics&amp;sr=1-172" TargetMode="External"/><Relationship Id="rId1077" Type="http://schemas.openxmlformats.org/officeDocument/2006/relationships/hyperlink" Target="https://www.amazon.in/Bulfyss-Rechargeable-Effectively-Cashmere-Warranty/dp/B09NL7LBWT/ref=sr_1_74?qid=1672923593&amp;s=kitchen&amp;sr=1-74" TargetMode="External"/><Relationship Id="rId245" Type="http://schemas.openxmlformats.org/officeDocument/2006/relationships/hyperlink" Target="https://www.amazon.in/Electvision-Remote-Control-Compatible-Without/dp/B098TV3L96/ref=sr_1_279?qid=1672909138&amp;s=electronics&amp;sr=1-279" TargetMode="External"/><Relationship Id="rId487" Type="http://schemas.openxmlformats.org/officeDocument/2006/relationships/hyperlink" Target="https://www.amazon.in/Beetel-Smartphone-Charging-480Mbps-Xcd-C12/dp/B09NL4DJ2Z/ref=sr_1_170?qid=1672895799&amp;s=electronics&amp;sr=1-170" TargetMode="External"/><Relationship Id="rId1078" Type="http://schemas.openxmlformats.org/officeDocument/2006/relationships/hyperlink" Target="https://www.amazon.in/Bajaj-DX-1000-Watt-Dry-Iron/dp/B008YW8M0G/ref=sr_1_75?qid=1672923593&amp;s=kitchen&amp;sr=1-75" TargetMode="External"/><Relationship Id="rId244" Type="http://schemas.openxmlformats.org/officeDocument/2006/relationships/hyperlink" Target="https://www.amazon.in/Smashtronics%C2%AE-Silicone-Firestick-Control-Shockproof/dp/B09L835C3V/ref=sr_1_276?qid=1672909138&amp;s=electronics&amp;sr=1-276" TargetMode="External"/><Relationship Id="rId486" Type="http://schemas.openxmlformats.org/officeDocument/2006/relationships/hyperlink" Target="https://www.amazon.in/STRIFF-Flexible-Silicone-Protector-Computers/dp/B09Z6WH2N1/ref=sr_1_169?qid=1672895799&amp;s=electronics&amp;sr=1-169" TargetMode="External"/><Relationship Id="rId1079" Type="http://schemas.openxmlformats.org/officeDocument/2006/relationships/hyperlink" Target="https://www.amazon.in/Bajaj-Shakti-Heater-Multiple-Safety/dp/B097R3XH9R/ref=sr_1_76?qid=1672923593&amp;s=kitchen&amp;sr=1-76" TargetMode="External"/><Relationship Id="rId243" Type="http://schemas.openxmlformats.org/officeDocument/2006/relationships/hyperlink" Target="https://www.amazon.in/Maxicom-B-28-Universal-Bracket-inches/dp/B0758F7KK7/ref=sr_1_274?qid=1672909138&amp;s=electronics&amp;sr=1-274" TargetMode="External"/><Relationship Id="rId485" Type="http://schemas.openxmlformats.org/officeDocument/2006/relationships/hyperlink" Target="https://www.amazon.in/Fire-Boltt-Smartwatch-Bluetooth-Calling-Assistance/dp/B09YV3K34W/ref=sr_1_168?qid=1672895791&amp;s=electronics&amp;sr=1-168" TargetMode="External"/><Relationship Id="rId480" Type="http://schemas.openxmlformats.org/officeDocument/2006/relationships/hyperlink" Target="https://www.amazon.in/JBL-C100SI-Ear-Headphones-Mic/dp/B01DF26V7A/ref=sr_1_159?qid=1672895791&amp;s=electronics&amp;sr=1-159" TargetMode="External"/><Relationship Id="rId239" Type="http://schemas.openxmlformats.org/officeDocument/2006/relationships/hyperlink" Target="https://www.amazon.in/Charging-Certified-Lightning-Transfer-Iphone12/dp/B09G5TSGXV/ref=sr_1_260?qid=1672909136&amp;s=electronics&amp;sr=1-260" TargetMode="External"/><Relationship Id="rId238" Type="http://schemas.openxmlformats.org/officeDocument/2006/relationships/hyperlink" Target="https://www.amazon.in/Wayona-Braided-Charging-Lightening-Compatible/dp/B0B5F3YZY4/ref=sr_1_259?qid=1672909136&amp;s=electronics&amp;sr=1-259" TargetMode="External"/><Relationship Id="rId237" Type="http://schemas.openxmlformats.org/officeDocument/2006/relationships/hyperlink" Target="https://www.amazon.in/RC802V-Compatible-43S6500FS-49S6800FS-Non-Bluetooth/dp/B097ZQTDVZ/ref=sr_1_258?qid=1672909136&amp;s=electronics&amp;sr=1-258" TargetMode="External"/><Relationship Id="rId479" Type="http://schemas.openxmlformats.org/officeDocument/2006/relationships/hyperlink" Target="https://www.amazon.in/Flix-Micro-Cable-Smartphone-Black/dp/B09NHVCHS9/ref=sr_1_158?qid=1672895791&amp;s=electronics&amp;sr=1-158" TargetMode="External"/><Relationship Id="rId236" Type="http://schemas.openxmlformats.org/officeDocument/2006/relationships/hyperlink" Target="https://www.amazon.in/Belkin-USB-C-Charging-USB-IF-Certified/dp/B084MZYBTV/ref=sr_1_257?qid=1672909136&amp;s=electronics&amp;sr=1-257" TargetMode="External"/><Relationship Id="rId478" Type="http://schemas.openxmlformats.org/officeDocument/2006/relationships/hyperlink" Target="https://www.amazon.in/Tecno-Spark-Storage-Expandable-Processor/dp/B0B56YRBNT/ref=sr_1_153?qid=1672895791&amp;s=electronics&amp;sr=1-153" TargetMode="External"/><Relationship Id="rId1060" Type="http://schemas.openxmlformats.org/officeDocument/2006/relationships/hyperlink" Target="https://www.amazon.in/Pigeon-Stainless-boiling-Instant-Noodles/dp/B09Y5FZK9N/ref=sr_1_50?qid=1672923592&amp;s=kitchen&amp;sr=1-50" TargetMode="External"/><Relationship Id="rId1061" Type="http://schemas.openxmlformats.org/officeDocument/2006/relationships/hyperlink" Target="https://www.amazon.in/NutriPro-Bullet-Juicer-Grinder-Blades/dp/B09J2SCVQT/ref=sr_1_52?qid=1672923592&amp;s=kitchen&amp;sr=1-52" TargetMode="External"/><Relationship Id="rId231" Type="http://schemas.openxmlformats.org/officeDocument/2006/relationships/hyperlink" Target="https://www.amazon.in/AmazonBasics-Feet-DisplayPort-Cable/dp/B01J8S6X2I/ref=sr_1_252?qid=1672909136&amp;s=electronics&amp;sr=1-252" TargetMode="External"/><Relationship Id="rId473" Type="http://schemas.openxmlformats.org/officeDocument/2006/relationships/hyperlink" Target="https://www.amazon.in/boAt-A325-Tangle-Free-Charging-Transmission/dp/B08WRBG3XW/ref=sr_1_143?qid=1672895784&amp;s=electronics&amp;sr=1-143" TargetMode="External"/><Relationship Id="rId1062" Type="http://schemas.openxmlformats.org/officeDocument/2006/relationships/hyperlink" Target="https://www.amazon.in/Philips-GC026-30-Fabric-Shaver/dp/B00TDD0YM4/ref=sr_1_54?qid=1672923592&amp;s=kitchen&amp;sr=1-54" TargetMode="External"/><Relationship Id="rId230" Type="http://schemas.openxmlformats.org/officeDocument/2006/relationships/hyperlink" Target="https://www.amazon.in/AGARO-Type-C-Charging-Braided-1-2Meters/dp/B07PFJ5VQD/ref=sr_1_251?qid=1672909136&amp;s=electronics&amp;sr=1-251" TargetMode="External"/><Relationship Id="rId472" Type="http://schemas.openxmlformats.org/officeDocument/2006/relationships/hyperlink" Target="https://www.amazon.in/SWAPKART-Flexible-Desktop-Foldable-Smartphones/dp/B092JHPL72/ref=sr_1_142?qid=1672895784&amp;s=electronics&amp;sr=1-142" TargetMode="External"/><Relationship Id="rId1063" Type="http://schemas.openxmlformats.org/officeDocument/2006/relationships/hyperlink" Target="https://www.amazon.in/Havells-Cista-room-Heater/dp/B078KRFWQB/ref=sr_1_52?qid=1672923593&amp;s=kitchen&amp;sr=1-52" TargetMode="External"/><Relationship Id="rId471" Type="http://schemas.openxmlformats.org/officeDocument/2006/relationships/hyperlink" Target="https://www.amazon.in/Ambrane-Unbreakable-Charging-Braided-Cable/dp/B082LSVT4B/ref=sr_1_141?qid=1672895784&amp;s=electronics&amp;sr=1-141" TargetMode="External"/><Relationship Id="rId1064" Type="http://schemas.openxmlformats.org/officeDocument/2006/relationships/hyperlink" Target="https://www.amazon.in/AGARO-800-Watt-Handheld-Cleaner-Durable/dp/B07SRM58TP/ref=sr_1_53?qid=1672923593&amp;s=kitchen&amp;sr=1-53" TargetMode="External"/><Relationship Id="rId470" Type="http://schemas.openxmlformats.org/officeDocument/2006/relationships/hyperlink" Target="https://www.amazon.in/Samsung-Galaxy-Storage-MediaTek-Battery/dp/B0BMGG6NKT/ref=sr_1_140?qid=1672895784&amp;s=electronics&amp;sr=1-140" TargetMode="External"/><Relationship Id="rId1065" Type="http://schemas.openxmlformats.org/officeDocument/2006/relationships/hyperlink" Target="https://www.amazon.in/Philips-Collection-HD4928-01-2100-Watt/dp/B00EDJJ7FS/ref=sr_1_54?qid=1672923593&amp;s=kitchen&amp;sr=1-54" TargetMode="External"/><Relationship Id="rId235" Type="http://schemas.openxmlformats.org/officeDocument/2006/relationships/hyperlink" Target="https://www.amazon.in/Zebronics-charging-capacity-durability-Black/dp/B0B65P827P/ref=sr_1_256?qid=1672909136&amp;s=electronics&amp;sr=1-256" TargetMode="External"/><Relationship Id="rId477" Type="http://schemas.openxmlformats.org/officeDocument/2006/relationships/hyperlink" Target="https://www.amazon.in/Aluminum-Adjustable-Mobile-Foldable-Smartphones/dp/B07Q4QV1DL/ref=sr_1_149?qid=1672895791&amp;s=electronics&amp;sr=1-149" TargetMode="External"/><Relationship Id="rId1066" Type="http://schemas.openxmlformats.org/officeDocument/2006/relationships/hyperlink" Target="https://www.amazon.in/Pigeon-Stovekraft-Acer-Plus-Induction/dp/B0832W3B7Q/ref=sr_1_55?qid=1672923593&amp;s=kitchen&amp;sr=1-55" TargetMode="External"/><Relationship Id="rId234" Type="http://schemas.openxmlformats.org/officeDocument/2006/relationships/hyperlink" Target="https://www.amazon.in/LOHAYA-Remote-Compatible-Smart-Control/dp/B07V5YF4ND/ref=sr_1_255?qid=1672909136&amp;s=electronics&amp;sr=1-255" TargetMode="External"/><Relationship Id="rId476" Type="http://schemas.openxmlformats.org/officeDocument/2006/relationships/hyperlink" Target="https://www.amazon.in/Amozo-Cover-iPhone-Polycarbonate-Transparent/dp/B09J2MM5C6/ref=sr_1_148?qid=1672895791&amp;s=electronics&amp;sr=1-148" TargetMode="External"/><Relationship Id="rId1067" Type="http://schemas.openxmlformats.org/officeDocument/2006/relationships/hyperlink" Target="https://www.amazon.in/Agaro-Esteem-Multi-Kettle-1-2/dp/B07WNK1FFN/ref=sr_1_56?qid=1672923593&amp;s=kitchen&amp;sr=1-56" TargetMode="External"/><Relationship Id="rId233" Type="http://schemas.openxmlformats.org/officeDocument/2006/relationships/hyperlink" Target="https://www.amazon.in/Sansui-Certified-Android-JSW55ASUHD-Mystique/dp/B09NNGHG22/ref=sr_1_254?qid=1672909136&amp;s=electronics&amp;sr=1-254" TargetMode="External"/><Relationship Id="rId475" Type="http://schemas.openxmlformats.org/officeDocument/2006/relationships/hyperlink" Target="https://www.amazon.in/Fire-Boltt-Bluetooth-Assistance-Calculator-Monitoring/dp/B0B3MWYCHQ/ref=sr_1_145?qid=1672895791&amp;s=electronics&amp;sr=1-145" TargetMode="External"/><Relationship Id="rId1068" Type="http://schemas.openxmlformats.org/officeDocument/2006/relationships/hyperlink" Target="https://www.amazon.in/Bajaj-Minor-1000-Watt-Room-Heater/dp/B009P2LK08/ref=sr_1_57?qid=1672923593&amp;s=kitchen&amp;sr=1-57" TargetMode="External"/><Relationship Id="rId232" Type="http://schemas.openxmlformats.org/officeDocument/2006/relationships/hyperlink" Target="https://www.amazon.in/Inches-Ultra-Smart-Android-L43M6-ES/dp/B09MJ77786/ref=sr_1_253?qid=1672909136&amp;s=electronics&amp;sr=1-253" TargetMode="External"/><Relationship Id="rId474" Type="http://schemas.openxmlformats.org/officeDocument/2006/relationships/hyperlink" Target="https://www.amazon.in/Redmi-9A-Sport-Octa-core-Processor/dp/B09GFM8CGS/ref=sr_1_144?qid=1672895784&amp;s=electronics&amp;sr=1-144" TargetMode="External"/><Relationship Id="rId1069" Type="http://schemas.openxmlformats.org/officeDocument/2006/relationships/hyperlink" Target="https://www.amazon.in/Butterfly-Jet-Elite-750-Watt-Grinder/dp/B07DGD4Z4C/ref=sr_1_59?qid=1672923593&amp;s=kitchen&amp;sr=1-59" TargetMode="External"/><Relationship Id="rId1015" Type="http://schemas.openxmlformats.org/officeDocument/2006/relationships/hyperlink" Target="https://www.amazon.in/Lenovo-IdeaPad-Warranty-Platinum-81X800LGIN/dp/B0B2RBP83P/ref=sr_1_492?qid=1672903019&amp;s=computers&amp;sr=1-492" TargetMode="External"/><Relationship Id="rId1257" Type="http://schemas.openxmlformats.org/officeDocument/2006/relationships/hyperlink" Target="https://www.amazon.in/Rico-1500-W-immersion-water-heater/dp/B0123P3PWE/ref=sr_1_272?qid=1672923606&amp;s=kitchen&amp;sr=1-272" TargetMode="External"/><Relationship Id="rId1016" Type="http://schemas.openxmlformats.org/officeDocument/2006/relationships/hyperlink" Target="https://www.amazon.in/Heads-900-Wired-Headphones-White/dp/B078W65FJ7/ref=sr_1_493?qid=1672903019&amp;s=computers&amp;sr=1-493" TargetMode="External"/><Relationship Id="rId1258" Type="http://schemas.openxmlformats.org/officeDocument/2006/relationships/hyperlink" Target="https://www.amazon.in/Eureka-Forbes-Active-Cleaner-washable/dp/B08HDCWDXD/ref=sr_1_273?qid=1672923606&amp;s=kitchen&amp;sr=1-273" TargetMode="External"/><Relationship Id="rId1017" Type="http://schemas.openxmlformats.org/officeDocument/2006/relationships/hyperlink" Target="https://www.amazon.in/ZEBRONICS-Zeb-Astra-Wireless-Portable-Function/dp/B08S74GTBT/ref=sr_1_495?qid=1672903019&amp;s=computers&amp;sr=1-495" TargetMode="External"/><Relationship Id="rId1259" Type="http://schemas.openxmlformats.org/officeDocument/2006/relationships/hyperlink" Target="https://www.amazon.in/CSI-INTERNATIONAL%C2%AE-Instant-portable-Plastic/dp/B0836JGZ74/ref=sr_1_274?qid=1672923606&amp;s=kitchen&amp;sr=1-274" TargetMode="External"/><Relationship Id="rId1018" Type="http://schemas.openxmlformats.org/officeDocument/2006/relationships/hyperlink" Target="https://www.amazon.in/Wireless-Generation-Sensitive-Rejection-Compatible/dp/B0B9BD2YL4/ref=sr_1_496?qid=1672903019&amp;s=computers&amp;sr=1-496" TargetMode="External"/><Relationship Id="rId1019" Type="http://schemas.openxmlformats.org/officeDocument/2006/relationships/hyperlink" Target="https://www.amazon.in/Lapster-compatible-OnePlus-charging-Compatible/dp/B0BMXMLSMM/ref=sr_1_497?qid=1672903019&amp;s=computers&amp;sr=1-497" TargetMode="External"/><Relationship Id="rId426" Type="http://schemas.openxmlformats.org/officeDocument/2006/relationships/hyperlink" Target="https://www.amazon.in/Samsung-Midnight-Storage-5000mAh-Battery/dp/B0B4F5L738/ref=sr_1_94?qid=1672895770&amp;s=electronics&amp;sr=1-94" TargetMode="External"/><Relationship Id="rId668" Type="http://schemas.openxmlformats.org/officeDocument/2006/relationships/hyperlink" Target="https://www.amazon.in/Zebronics-Km2100-Multimedia-USB-Keyboard/dp/B077T3BG5L/ref=sr_1_89?qid=1672902998&amp;s=computers&amp;sr=1-89" TargetMode="External"/><Relationship Id="rId425" Type="http://schemas.openxmlformats.org/officeDocument/2006/relationships/hyperlink" Target="https://www.amazon.in/Xiaomi-22-5W-Fast-Charger-Cable/dp/B09XBJ1CTN/ref=sr_1_93?qid=1672895770&amp;s=electronics&amp;sr=1-93" TargetMode="External"/><Relationship Id="rId667" Type="http://schemas.openxmlformats.org/officeDocument/2006/relationships/hyperlink" Target="https://www.amazon.in/ZODO-Writer-Electronic-Writing-Paperless/dp/B07PLHTTB4/ref=sr_1_88_mod_primary_new?qid=1672902998&amp;s=computers&amp;sbo=RZvfv%2F%2FHxDF%2BO5021pAnSA%3D%3D&amp;sr=1-88" TargetMode="External"/><Relationship Id="rId424" Type="http://schemas.openxmlformats.org/officeDocument/2006/relationships/hyperlink" Target="https://www.amazon.in/Ambrane-Unbreakable-Charging-Braided-Android/dp/B082LZGK39/ref=sr_1_92?qid=1672895770&amp;s=electronics&amp;sr=1-92" TargetMode="External"/><Relationship Id="rId666" Type="http://schemas.openxmlformats.org/officeDocument/2006/relationships/hyperlink" Target="https://www.amazon.in/Mi-Earphones-Basic-Mic-Black/dp/B07CD2BN46/ref=sr_1_87?qid=1672902998&amp;s=computers&amp;sr=1-87" TargetMode="External"/><Relationship Id="rId423" Type="http://schemas.openxmlformats.org/officeDocument/2006/relationships/hyperlink" Target="https://www.amazon.in/MI-MTCY001IN-USB-Type-C-Cable/dp/B08DDRGWTJ/ref=sr_1_91?qid=1672895770&amp;s=electronics&amp;sr=1-91" TargetMode="External"/><Relationship Id="rId665" Type="http://schemas.openxmlformats.org/officeDocument/2006/relationships/hyperlink" Target="https://www.amazon.in/Boat-Rockerz-550-Headphone-Aesthetics/dp/B0856HY85J/ref=sr_1_85?qid=1672902998&amp;s=computers&amp;sr=1-85" TargetMode="External"/><Relationship Id="rId429" Type="http://schemas.openxmlformats.org/officeDocument/2006/relationships/hyperlink" Target="https://www.amazon.in/Portronics-POR-1081-Charging-1-2Meter-Function/dp/B08CF3D7QR/ref=sr_1_100?qid=1672895777&amp;s=electronics&amp;sr=1-100" TargetMode="External"/><Relationship Id="rId428" Type="http://schemas.openxmlformats.org/officeDocument/2006/relationships/hyperlink" Target="https://www.amazon.in/Redmi-Storage-Qualcomm%C2%AE-SnapdragonTM-Included/dp/B09QS8V5N8/ref=sr_1_96?qid=1672895770&amp;s=electronics&amp;sr=1-96" TargetMode="External"/><Relationship Id="rId427" Type="http://schemas.openxmlformats.org/officeDocument/2006/relationships/hyperlink" Target="https://www.amazon.in/GIZGA-Protector-Charging-Protective-G55/dp/B08MTCKDYN/ref=sr_1_95?qid=1672895770&amp;s=electronics&amp;sr=1-95" TargetMode="External"/><Relationship Id="rId669" Type="http://schemas.openxmlformats.org/officeDocument/2006/relationships/hyperlink" Target="https://www.amazon.in/MI-MTCY001IN-USB-Type-C-Cable/dp/B08DDRGWTJ/ref=sr_1_90?qid=1672902998&amp;s=computers&amp;sr=1-90" TargetMode="External"/><Relationship Id="rId660" Type="http://schemas.openxmlformats.org/officeDocument/2006/relationships/hyperlink" Target="https://www.amazon.in/Casio-Non-Programmable-Scientific-Calculator-Functions/dp/B00AXHBBXU/ref=sr_1_79?qid=1672902998&amp;s=computers&amp;sr=1-79" TargetMode="External"/><Relationship Id="rId1250" Type="http://schemas.openxmlformats.org/officeDocument/2006/relationships/hyperlink" Target="https://www.amazon.in/Ace-1600-Watt-21-Litre-Stainless-Function/dp/B07RCGTZ4M/ref=sr_1_268?qid=1672923605&amp;s=kitchen&amp;sr=1-268" TargetMode="External"/><Relationship Id="rId1251" Type="http://schemas.openxmlformats.org/officeDocument/2006/relationships/hyperlink" Target="https://www.amazon.in/Inalsa-Robot-1000-800-Watt-Blender/dp/B0747VDH9L/ref=sr_1_269?qid=1672923605&amp;s=kitchen&amp;sr=1-269" TargetMode="External"/><Relationship Id="rId1010" Type="http://schemas.openxmlformats.org/officeDocument/2006/relationships/hyperlink" Target="https://www.amazon.in/Crucial-500GB-PCIe-NAND-3500MB/dp/B0B25LQQPC/ref=sr_1_486?qid=1672903019&amp;s=computers&amp;sr=1-486" TargetMode="External"/><Relationship Id="rId1252" Type="http://schemas.openxmlformats.org/officeDocument/2006/relationships/hyperlink" Target="https://www.amazon.in/Akiara-Electric-Handheld-Cordless-Tailoring/dp/B08XLR6DSB/ref=sr_1_270?qid=1672923605&amp;s=kitchen&amp;sr=1-270" TargetMode="External"/><Relationship Id="rId422" Type="http://schemas.openxmlformats.org/officeDocument/2006/relationships/hyperlink" Target="https://www.amazon.in/boAt-Wave-Call-Dedicated-Multi-Sport/dp/B0B5D39BCD/ref=sr_1_90?qid=1672895770&amp;s=electronics&amp;sr=1-90" TargetMode="External"/><Relationship Id="rId664" Type="http://schemas.openxmlformats.org/officeDocument/2006/relationships/hyperlink" Target="https://www.amazon.in/TP-Link-Archer-C6-Wireless-MU-MIMO/dp/B07GVR9TG7/ref=sr_1_84?qid=1672902998&amp;s=computers&amp;sr=1-84" TargetMode="External"/><Relationship Id="rId1011" Type="http://schemas.openxmlformats.org/officeDocument/2006/relationships/hyperlink" Target="https://www.amazon.in/Wayona-Cable-Braided-Charger-Smartphones/dp/B07GVGTSLN/ref=sr_1_487?qid=1672903019&amp;s=computers&amp;sr=1-487" TargetMode="External"/><Relationship Id="rId1253" Type="http://schemas.openxmlformats.org/officeDocument/2006/relationships/hyperlink" Target="https://www.amazon.in/EasySpeed-GC2145-Resistant-Soleplate-Drip-Stop/dp/B08H6CZSHT/ref=sr_1_268?qid=1672923606&amp;s=kitchen&amp;sr=1-268" TargetMode="External"/><Relationship Id="rId421" Type="http://schemas.openxmlformats.org/officeDocument/2006/relationships/hyperlink" Target="https://www.amazon.in/boAt-Smartwatch-Multiple-Monitoring-Resistance/dp/B096VF5YYF/ref=sr_1_89?qid=1672895770&amp;s=electronics&amp;sr=1-89" TargetMode="External"/><Relationship Id="rId663" Type="http://schemas.openxmlformats.org/officeDocument/2006/relationships/hyperlink" Target="https://www.amazon.in/Mini-UPS-Router-WiFi-12V/dp/B08HLZ28QC/ref=sr_1_83?qid=1672902998&amp;s=computers&amp;sr=1-83" TargetMode="External"/><Relationship Id="rId1012" Type="http://schemas.openxmlformats.org/officeDocument/2006/relationships/hyperlink" Target="https://www.amazon.in/HP-v222w-Flash-Drive-64GB/dp/B01LYLJ99X/ref=sr_1_488?qid=1672903019&amp;s=computers&amp;sr=1-488" TargetMode="External"/><Relationship Id="rId1254" Type="http://schemas.openxmlformats.org/officeDocument/2006/relationships/hyperlink" Target="https://www.amazon.in/Inalsa-Bullet-400-Watt-Technology-Chopper/dp/B07CVR2L5K/ref=sr_1_269?qid=1672923606&amp;s=kitchen&amp;sr=1-269" TargetMode="External"/><Relationship Id="rId420" Type="http://schemas.openxmlformats.org/officeDocument/2006/relationships/hyperlink" Target="https://www.amazon.in/Samsung-Midnight-Storage-6000mAh-Battery/dp/B0B4F52B5X/ref=sr_1_88?qid=1672895770&amp;s=electronics&amp;sr=1-88" TargetMode="External"/><Relationship Id="rId662" Type="http://schemas.openxmlformats.org/officeDocument/2006/relationships/hyperlink" Target="https://www.amazon.in/HP-Wireless-Mouse-X200-6VY95AA/dp/B083RCTXLL/ref=sr_1_82?qid=1672902998&amp;s=computers&amp;sr=1-82" TargetMode="External"/><Relationship Id="rId1013" Type="http://schemas.openxmlformats.org/officeDocument/2006/relationships/hyperlink" Target="https://www.amazon.in/Duracell-Alkaline-Battery-Duralock-Technology/dp/B014SZPBM4/ref=sr_1_490?qid=1672903019&amp;s=computers&amp;sr=1-490" TargetMode="External"/><Relationship Id="rId1255" Type="http://schemas.openxmlformats.org/officeDocument/2006/relationships/hyperlink" Target="https://www.amazon.in/Borosil-Electric-Vegetables-Transparent-Stainless/dp/B09J4YQYX3/ref=sr_1_270?qid=1672923606&amp;s=kitchen&amp;sr=1-270" TargetMode="External"/><Relationship Id="rId661" Type="http://schemas.openxmlformats.org/officeDocument/2006/relationships/hyperlink" Target="https://www.amazon.in/Tygot-YouTube-Shooting-Foldable-Lightweight/dp/B08MCD9JFY/ref=sr_1_80?qid=1672902998&amp;s=computers&amp;sr=1-80" TargetMode="External"/><Relationship Id="rId1014" Type="http://schemas.openxmlformats.org/officeDocument/2006/relationships/hyperlink" Target="https://www.amazon.in/Bestor-Portable-Paperless-Digital-Writing/dp/B08CZHGHKH/ref=sr_1_491?qid=1672903019&amp;s=computers&amp;sr=1-491" TargetMode="External"/><Relationship Id="rId1256" Type="http://schemas.openxmlformats.org/officeDocument/2006/relationships/hyperlink" Target="https://www.amazon.in/Wipro-Sandwich-function-SW-warranty-Standard/dp/B0B2DD8BQ8/ref=sr_1_271?qid=1672923606&amp;s=kitchen&amp;sr=1-271" TargetMode="External"/><Relationship Id="rId1004" Type="http://schemas.openxmlformats.org/officeDocument/2006/relationships/hyperlink" Target="https://www.amazon.in/HP-GK320-Gaming-Keyboard-4QN01AA/dp/B08498H13H/ref=sr_1_469?qid=1672903018&amp;s=computers&amp;sr=1-469" TargetMode="External"/><Relationship Id="rId1246" Type="http://schemas.openxmlformats.org/officeDocument/2006/relationships/hyperlink" Target="https://www.amazon.in/Aquaguard-purification-municipal-Eureka-Forbes/dp/B09YLWT89W/ref=sr_1_263?qid=1672923605&amp;s=kitchen&amp;sr=1-263" TargetMode="External"/><Relationship Id="rId1005" Type="http://schemas.openxmlformats.org/officeDocument/2006/relationships/hyperlink" Target="https://www.amazon.in/Parker-Moments-Vector-Timecheck-Roller/dp/B07LFQLKFZ/ref=sr_1_470?qid=1672903018&amp;s=computers&amp;sr=1-470" TargetMode="External"/><Relationship Id="rId1247" Type="http://schemas.openxmlformats.org/officeDocument/2006/relationships/hyperlink" Target="https://www.amazon.in/PrettyKrafts-Laundry-Basket-Clothes-Handles/dp/B0814LP6S9/ref=sr_1_264?qid=1672923605&amp;s=kitchen&amp;sr=1-264" TargetMode="External"/><Relationship Id="rId1006" Type="http://schemas.openxmlformats.org/officeDocument/2006/relationships/hyperlink" Target="https://www.amazon.in/Camlin-Elegante-Fountain-Pen-Black/dp/B00LY17RHI/ref=sr_1_476?qid=1672903018&amp;s=computers&amp;sr=1-476" TargetMode="External"/><Relationship Id="rId1248" Type="http://schemas.openxmlformats.org/officeDocument/2006/relationships/hyperlink" Target="https://www.amazon.in/Dr-Trust-Electronic-Kitchen-Weighing/dp/B07BKSSDR2/ref=sr_1_265?qid=1672923605&amp;s=kitchen&amp;sr=1-265" TargetMode="External"/><Relationship Id="rId1007" Type="http://schemas.openxmlformats.org/officeDocument/2006/relationships/hyperlink" Target="https://www.amazon.in/Optical-Drive-Caddy-Universal-9-5mm/dp/B07W14CHV8/ref=sr_1_483?qid=1672903019&amp;s=computers&amp;sr=1-483" TargetMode="External"/><Relationship Id="rId1249" Type="http://schemas.openxmlformats.org/officeDocument/2006/relationships/hyperlink" Target="https://www.amazon.in/Tesora-Electric-Stainless-Protection-White/dp/B09VGS66FV/ref=sr_1_266?qid=1672923605&amp;s=kitchen&amp;sr=1-266" TargetMode="External"/><Relationship Id="rId1008" Type="http://schemas.openxmlformats.org/officeDocument/2006/relationships/hyperlink" Target="https://www.amazon.in/WeCool-Reinforced-Function-Bluetooth-Compatible/dp/B0B9BXKBC7/ref=sr_1_484?qid=1672903019&amp;s=computers&amp;sr=1-484" TargetMode="External"/><Relationship Id="rId1009" Type="http://schemas.openxmlformats.org/officeDocument/2006/relationships/hyperlink" Target="https://www.amazon.in/Canon-E4570-Efficient-Printing-Compatible/dp/B09F5Z694W/ref=sr_1_485?qid=1672903019&amp;s=computers&amp;sr=1-485" TargetMode="External"/><Relationship Id="rId415" Type="http://schemas.openxmlformats.org/officeDocument/2006/relationships/hyperlink" Target="https://www.amazon.in/Nokia-105-Single-Keypad-Wireless/dp/B09V2PZDX8/ref=sr_1_83?qid=1672895770&amp;s=electronics&amp;sr=1-83" TargetMode="External"/><Relationship Id="rId657" Type="http://schemas.openxmlformats.org/officeDocument/2006/relationships/hyperlink" Target="https://www.amazon.in/Boult-Audio-Curve-Sweatproof-Headphones/dp/B07LG59NPV/ref=sr_1_76?qid=1672902998&amp;s=computers&amp;sr=1-76" TargetMode="External"/><Relationship Id="rId899" Type="http://schemas.openxmlformats.org/officeDocument/2006/relationships/hyperlink" Target="https://www.amazon.in/AmazonBasics-Nylon-Braided-Lightning-Cable/dp/B082T6V3DT/ref=sr_1_351?qid=1672903012&amp;s=computers&amp;sr=1-351" TargetMode="External"/><Relationship Id="rId414" Type="http://schemas.openxmlformats.org/officeDocument/2006/relationships/hyperlink" Target="https://www.amazon.in/Ambrane-Multi-Layer-Protection-Li-Polymer-Stylo-10k/dp/B0993BB11X/ref=sr_1_82?qid=1672895770&amp;s=electronics&amp;sr=1-82" TargetMode="External"/><Relationship Id="rId656" Type="http://schemas.openxmlformats.org/officeDocument/2006/relationships/hyperlink" Target="https://www.amazon.in/Boult-Audio-Environmental-Cancellation-Bluetooth/dp/B0B1F6GQPS/ref=sr_1_75?qid=1672902998&amp;s=computers&amp;sr=1-75" TargetMode="External"/><Relationship Id="rId898" Type="http://schemas.openxmlformats.org/officeDocument/2006/relationships/hyperlink" Target="https://www.amazon.in/Logitech-G102-Customizable-Lighting-Programmable/dp/B08LT9BMPP/ref=sr_1_347?qid=1672903012&amp;s=computers&amp;sr=1-347" TargetMode="External"/><Relationship Id="rId413" Type="http://schemas.openxmlformats.org/officeDocument/2006/relationships/hyperlink" Target="https://www.amazon.in/Ambrane-Adjustment-Compatibility-Multipurpose-Anti-Skid/dp/B09ZPL5VYM/ref=sr_1_81?qid=1672895770&amp;s=electronics&amp;sr=1-81" TargetMode="External"/><Relationship Id="rId655" Type="http://schemas.openxmlformats.org/officeDocument/2006/relationships/hyperlink" Target="https://www.amazon.in/GIZGA-inch-Hard-Drive-Black/dp/B0765B3TH7/ref=sr_1_74?qid=1672902998&amp;s=computers&amp;sr=1-74" TargetMode="External"/><Relationship Id="rId897" Type="http://schemas.openxmlformats.org/officeDocument/2006/relationships/hyperlink" Target="https://www.amazon.in/Tukzer-Rejection-Compatible-2018-2020-Precise/dp/B08KRMK9LZ/ref=sr_1_346?qid=1672903012&amp;s=computers&amp;sr=1-346" TargetMode="External"/><Relationship Id="rId412" Type="http://schemas.openxmlformats.org/officeDocument/2006/relationships/hyperlink" Target="https://www.amazon.in/Samsung-Emerald-Storage-Purchased-Separately/dp/B0B14MR9L1/ref=sr_1_80?qid=1672895770&amp;s=electronics&amp;sr=1-80" TargetMode="External"/><Relationship Id="rId654" Type="http://schemas.openxmlformats.org/officeDocument/2006/relationships/hyperlink" Target="https://www.amazon.in/STRIFF-230X190X3mm-Waterproof-Premium-Textured-Compatible/dp/B0B9LDCX89/ref=sr_1_73?qid=1672902998&amp;s=computers&amp;sr=1-73" TargetMode="External"/><Relationship Id="rId896" Type="http://schemas.openxmlformats.org/officeDocument/2006/relationships/hyperlink" Target="https://www.amazon.in/Classmate-ITC-Octane-Colourburst-Pen/dp/B07JB2Y4SR/ref=sr_1_343?qid=1672903012&amp;s=computers&amp;sr=1-343" TargetMode="External"/><Relationship Id="rId419" Type="http://schemas.openxmlformats.org/officeDocument/2006/relationships/hyperlink" Target="https://www.amazon.in/boAt-Micro-USB-Tangle-Free-Transmission/dp/B08WRWPM22/ref=sr_1_87?qid=1672895770&amp;s=electronics&amp;sr=1-87" TargetMode="External"/><Relationship Id="rId418" Type="http://schemas.openxmlformats.org/officeDocument/2006/relationships/hyperlink" Target="https://www.amazon.in/Ambrane-20000mAh-Lithium-Polymer-Stylo-20K/dp/B07RD611Z8/ref=sr_1_86?qid=1672895770&amp;s=electronics&amp;sr=1-86" TargetMode="External"/><Relationship Id="rId417" Type="http://schemas.openxmlformats.org/officeDocument/2006/relationships/hyperlink" Target="https://www.amazon.in/Samsung-microSDXC-Memory-Adapter-MB-MC64KA/dp/B09MT6XSFW/ref=sr_1_85?qid=1672895770&amp;s=electronics&amp;sr=1-85" TargetMode="External"/><Relationship Id="rId659" Type="http://schemas.openxmlformats.org/officeDocument/2006/relationships/hyperlink" Target="https://www.amazon.in/boAt-Micro-USB-Tangle-Free-Transmission/dp/B08WRWPM22/ref=sr_1_78?qid=1672902998&amp;s=computers&amp;sr=1-78" TargetMode="External"/><Relationship Id="rId416" Type="http://schemas.openxmlformats.org/officeDocument/2006/relationships/hyperlink" Target="https://www.amazon.in/Tangent-Lite-Magnetic-Bluetooth-Headphones/dp/B085W8CFLH/ref=sr_1_84?qid=1672895770&amp;s=electronics&amp;sr=1-84" TargetMode="External"/><Relationship Id="rId658" Type="http://schemas.openxmlformats.org/officeDocument/2006/relationships/hyperlink" Target="https://www.amazon.in/Ambrane-20000mAh-Lithium-Polymer-Stylo-20K/dp/B07RD611Z8/ref=sr_1_77?qid=1672902998&amp;s=computers&amp;sr=1-77" TargetMode="External"/><Relationship Id="rId891" Type="http://schemas.openxmlformats.org/officeDocument/2006/relationships/hyperlink" Target="https://www.amazon.in/SupCares-Adjustable-Aluminium-Ventilated-Foldable/dp/B0BCVJ3PVP/ref=sr_1_337?qid=1672903012&amp;s=computers&amp;sr=1-337" TargetMode="External"/><Relationship Id="rId890" Type="http://schemas.openxmlformats.org/officeDocument/2006/relationships/hyperlink" Target="https://www.amazon.in/Portronics-Multimedia-Wireless-Keyboard-Technology/dp/B0BHYJ8CVF/ref=sr_1_336?qid=1672903011&amp;s=computers&amp;sr=1-336" TargetMode="External"/><Relationship Id="rId1240" Type="http://schemas.openxmlformats.org/officeDocument/2006/relationships/hyperlink" Target="https://www.amazon.in/Brayden-Plastic-Express-Bi-Level-Stainless/dp/B07KKJPTWB/ref=sr_1_254?qid=1672923605&amp;s=kitchen&amp;sr=1-254" TargetMode="External"/><Relationship Id="rId1241" Type="http://schemas.openxmlformats.org/officeDocument/2006/relationships/hyperlink" Target="https://www.amazon.in/Wonderchef-Nutri-Blend-63152293-400-Watt-Grinder/dp/B071R3LHFM/ref=sr_1_255?qid=1672923605&amp;s=kitchen&amp;sr=1-255" TargetMode="External"/><Relationship Id="rId411" Type="http://schemas.openxmlformats.org/officeDocument/2006/relationships/hyperlink" Target="https://www.amazon.in/OnePlus-Forest-Green-Storage-SuperVOOC/dp/B09WRMNJ9G/ref=sr_1_79?qid=1672895770&amp;s=electronics&amp;sr=1-79" TargetMode="External"/><Relationship Id="rId653" Type="http://schemas.openxmlformats.org/officeDocument/2006/relationships/hyperlink" Target="https://www.amazon.in/Fevicryl-Acrylic-colors-Sunflower-Shades/dp/B00LXTFMRS/ref=sr_1_72?qid=1672902997&amp;s=computers&amp;sr=1-72" TargetMode="External"/><Relationship Id="rId895" Type="http://schemas.openxmlformats.org/officeDocument/2006/relationships/hyperlink" Target="https://www.amazon.in/TP-Link-Wireless-Adapter-Archer-T2U/dp/B07P681N66/ref=sr_1_341?qid=1672903012&amp;s=computers&amp;sr=1-341" TargetMode="External"/><Relationship Id="rId1000" Type="http://schemas.openxmlformats.org/officeDocument/2006/relationships/hyperlink" Target="https://www.amazon.in/boAt-Stone-250-Playback-Hours/dp/B08SMJT55F/ref=sr_1_464?qid=1672903018&amp;s=computers&amp;sr=1-464" TargetMode="External"/><Relationship Id="rId1242" Type="http://schemas.openxmlformats.org/officeDocument/2006/relationships/hyperlink" Target="https://www.amazon.in/Usha-Janome-Dream-Stitch-Automatic/dp/B086X18Q71/ref=sr_1_259?qid=1672923605&amp;s=kitchen&amp;sr=1-259" TargetMode="External"/><Relationship Id="rId410" Type="http://schemas.openxmlformats.org/officeDocument/2006/relationships/hyperlink" Target="https://www.amazon.in/Samsung-Galaxy-Storage-6000mAh-Battery/dp/B0B4F2TTTS/ref=sr_1_78?qid=1672895770&amp;s=electronics&amp;sr=1-78" TargetMode="External"/><Relationship Id="rId652" Type="http://schemas.openxmlformats.org/officeDocument/2006/relationships/hyperlink" Target="https://www.amazon.in/Zebronics-Zeb-Transformer-M-Optical-Gaming-Effect/dp/B0819HZPXL/ref=sr_1_71?qid=1672902997&amp;s=computers&amp;sr=1-71" TargetMode="External"/><Relationship Id="rId894" Type="http://schemas.openxmlformats.org/officeDocument/2006/relationships/hyperlink" Target="https://www.amazon.in/Classmate-Octane-Pen-Neon-Refills/dp/B07VV37FT4/ref=sr_1_340?qid=1672903012&amp;s=computers&amp;sr=1-340" TargetMode="External"/><Relationship Id="rId1001" Type="http://schemas.openxmlformats.org/officeDocument/2006/relationships/hyperlink" Target="https://www.amazon.in/SWAPKART-Charging-Compatible-iPhone-Devices/dp/B0B2DJDCPX/ref=sr_1_465?qid=1672903018&amp;s=computers&amp;sr=1-465" TargetMode="External"/><Relationship Id="rId1243" Type="http://schemas.openxmlformats.org/officeDocument/2006/relationships/hyperlink" Target="https://www.amazon.in/BXGS1501IN-Handheld-Portable-Garment-Steamer/dp/B07WVQG8WZ/ref=sr_1_260?qid=1672923605&amp;s=kitchen&amp;sr=1-260" TargetMode="External"/><Relationship Id="rId651" Type="http://schemas.openxmlformats.org/officeDocument/2006/relationships/hyperlink" Target="https://www.amazon.in/Eveready-1015-Carbon-Zinc-Battery/dp/B07Q7561HD/ref=sr_1_70?qid=1672902997&amp;s=computers&amp;sr=1-70" TargetMode="External"/><Relationship Id="rId893" Type="http://schemas.openxmlformats.org/officeDocument/2006/relationships/hyperlink" Target="https://www.amazon.in/Western-Digital-Green-240GB-Internal/dp/B09TMZ1MF8/ref=sr_1_339?qid=1672903012&amp;s=computers&amp;sr=1-339" TargetMode="External"/><Relationship Id="rId1002" Type="http://schemas.openxmlformats.org/officeDocument/2006/relationships/hyperlink" Target="https://www.amazon.in/Offbeat-Wireless-Bluetooth-Rechargeable-Adjustable/dp/B08Y7MXFMK/ref=sr_1_466?qid=1672903018&amp;s=computers&amp;sr=1-466" TargetMode="External"/><Relationship Id="rId1244" Type="http://schemas.openxmlformats.org/officeDocument/2006/relationships/hyperlink" Target="https://www.amazon.in/Personal-Blender-Portable-Battery-Smoothies/dp/B0BFBNXS94/ref=sr_1_261_mod_primary_new?qid=1672923605&amp;s=kitchen&amp;sbo=RZvfv%2F%2FHxDF%2BO5021pAnSA%3D%3D&amp;sr=1-261" TargetMode="External"/><Relationship Id="rId650" Type="http://schemas.openxmlformats.org/officeDocument/2006/relationships/hyperlink" Target="https://www.amazon.in/Boult-Audio-PowerBuds-Wireless-Waterproof/dp/B08D11DZ2W/ref=sr_1_69?qid=1672902997&amp;s=computers&amp;sr=1-69" TargetMode="External"/><Relationship Id="rId892" Type="http://schemas.openxmlformats.org/officeDocument/2006/relationships/hyperlink" Target="https://www.amazon.in/Zebronics-Zeb-Sound-N1-Bluetooth-Assistant/dp/B0B2931FCV/ref=sr_1_338?qid=1672903012&amp;s=computers&amp;sr=1-338" TargetMode="External"/><Relationship Id="rId1003" Type="http://schemas.openxmlformats.org/officeDocument/2006/relationships/hyperlink" Target="https://www.amazon.in/Classmate-Drawing-Book-Unruled-Pages/dp/B086Q3QMFS/ref=sr_1_468?qid=1672903018&amp;s=computers&amp;sr=1-468" TargetMode="External"/><Relationship Id="rId1245" Type="http://schemas.openxmlformats.org/officeDocument/2006/relationships/hyperlink" Target="https://www.amazon.in/Sujata-Powermatic-Watts-Juicer-Grinder/dp/B071113J7M/ref=sr_1_262?qid=1672923605&amp;s=kitchen&amp;sr=1-262" TargetMode="External"/><Relationship Id="rId1037" Type="http://schemas.openxmlformats.org/officeDocument/2006/relationships/hyperlink" Target="https://www.amazon.in/PRO365-Electric-Coffee-Stirrer-Frother/dp/B07GXPDLYQ/ref=sr_1_25?qid=1672923591&amp;s=kitchen&amp;sr=1-25" TargetMode="External"/><Relationship Id="rId1279" Type="http://schemas.openxmlformats.org/officeDocument/2006/relationships/hyperlink" Target="https://www.amazon.in/Crompton-Greaves-ASWH-2015-15-Litre-Storage/dp/B07JGCGNDG/ref=sr_1_294_mod_primary_new?qid=1672923607&amp;s=kitchen&amp;sbo=RZvfv%2F%2FHxDF%2BO5021pAnSA%3D%3D&amp;sr=1-294" TargetMode="External"/><Relationship Id="rId1038" Type="http://schemas.openxmlformats.org/officeDocument/2006/relationships/hyperlink" Target="https://www.amazon.in/Bajaj-Majesty-1000-Watt-Iron-White/dp/B01C8P29N0/ref=sr_1_26?qid=1672923591&amp;s=kitchen&amp;sr=1-26" TargetMode="External"/><Relationship Id="rId1039" Type="http://schemas.openxmlformats.org/officeDocument/2006/relationships/hyperlink" Target="https://www.amazon.in/Croma-500-Watt-Grinder-CRAK4184-Purple/dp/B08KDBLMQP/ref=sr_1_27?qid=1672923591&amp;s=kitchen&amp;sr=1-27" TargetMode="External"/><Relationship Id="rId206" Type="http://schemas.openxmlformats.org/officeDocument/2006/relationships/hyperlink" Target="https://www.amazon.in/Amkette-Charging-Cable-iPhone-Touch/dp/B00RGLI0ZS/ref=sr_1_226?qid=1672909135&amp;s=electronics&amp;sr=1-226" TargetMode="External"/><Relationship Id="rId448" Type="http://schemas.openxmlformats.org/officeDocument/2006/relationships/hyperlink" Target="https://www.amazon.in/Spigen-Tempered-Screen-Protector-iPhone/dp/B095RTJH1M/ref=sr_1_123?qid=1672895777&amp;s=electronics&amp;sr=1-123" TargetMode="External"/><Relationship Id="rId205" Type="http://schemas.openxmlformats.org/officeDocument/2006/relationships/hyperlink" Target="https://www.amazon.in/BlueRigger-High-Speed-Cable-Ethernet/dp/B00GG59HU2/ref=sr_1_225?qid=1672909135&amp;s=electronics&amp;sr=1-225" TargetMode="External"/><Relationship Id="rId447" Type="http://schemas.openxmlformats.org/officeDocument/2006/relationships/hyperlink" Target="https://www.amazon.in/OPPO-Fluid-Black-128GB-Storage/dp/B08VB2CMR3/ref=sr_1_122?qid=1672895777&amp;s=electronics&amp;sr=1-122" TargetMode="External"/><Relationship Id="rId689" Type="http://schemas.openxmlformats.org/officeDocument/2006/relationships/hyperlink" Target="https://www.amazon.in/Duracell-5000174-Rechargeable-Batteries-Green/dp/B015ZXUDD0/ref=sr_1_114?qid=1672903000&amp;s=computers&amp;sr=1-114" TargetMode="External"/><Relationship Id="rId204" Type="http://schemas.openxmlformats.org/officeDocument/2006/relationships/hyperlink" Target="https://www.amazon.in/Cotbolt-Compatible-BN59-01312A-Shockproof-Protective/dp/B09C635BMM/ref=sr_1_224?qid=1672909135&amp;s=electronics&amp;sr=1-224" TargetMode="External"/><Relationship Id="rId446" Type="http://schemas.openxmlformats.org/officeDocument/2006/relationships/hyperlink" Target="https://www.amazon.in/Samsung-Stardust-Storage-6000mAh-Battery/dp/B0B4F2ZWL3/ref=sr_1_121?qid=1672895777&amp;s=electronics&amp;sr=1-121" TargetMode="External"/><Relationship Id="rId688" Type="http://schemas.openxmlformats.org/officeDocument/2006/relationships/hyperlink" Target="https://www.amazon.in/HP-150-Ambidextrous-Wireless-Mouse/dp/B09GB5B4BK/ref=sr_1_113?qid=1672903000&amp;s=computers&amp;sr=1-113" TargetMode="External"/><Relationship Id="rId203" Type="http://schemas.openxmlformats.org/officeDocument/2006/relationships/hyperlink" Target="https://www.amazon.in/Universal-Remote-Control-Sony-Bravia/dp/B07ZR4S1G4/ref=sr_1_223_mod_primary_new?qid=1672909135&amp;s=electronics&amp;sbo=RZvfv%2F%2FHxDF%2BO5021pAnSA%3D%3D&amp;sr=1-223" TargetMode="External"/><Relationship Id="rId445" Type="http://schemas.openxmlformats.org/officeDocument/2006/relationships/hyperlink" Target="https://www.amazon.in/Ambrane-Multi-Layer-Protection-Li-Polymer-Stylo-10k/dp/B09MZCQYHZ/ref=sr_1_120?qid=1672895777&amp;s=electronics&amp;sr=1-120" TargetMode="External"/><Relationship Id="rId687" Type="http://schemas.openxmlformats.org/officeDocument/2006/relationships/hyperlink" Target="https://www.amazon.in/HP-MicroSD-U1-TF-Card-32GB/dp/B07DJLFMPS/ref=sr_1_110?qid=1672903000&amp;s=computers&amp;sr=1-110" TargetMode="External"/><Relationship Id="rId209" Type="http://schemas.openxmlformats.org/officeDocument/2006/relationships/hyperlink" Target="https://www.amazon.in/MYVN-Fast-Charging-Compatible-iPhone-Devices/dp/B095244Q22/ref=sr_1_229?qid=1672909135&amp;s=electronics&amp;sr=1-229" TargetMode="External"/><Relationship Id="rId208" Type="http://schemas.openxmlformats.org/officeDocument/2006/relationships/hyperlink" Target="https://www.amazon.in/POPIO-Charging-Cable-OnePlus-Devices/dp/B07HZ2QCGR/ref=sr_1_228?qid=1672909135&amp;s=electronics&amp;sr=1-228" TargetMode="External"/><Relationship Id="rId207" Type="http://schemas.openxmlformats.org/officeDocument/2006/relationships/hyperlink" Target="https://www.amazon.in/TCL-inches-Certified-Android-32S615/dp/B09ZPJT8B2/ref=sr_1_227?qid=1672909135&amp;s=electronics&amp;sr=1-227" TargetMode="External"/><Relationship Id="rId449" Type="http://schemas.openxmlformats.org/officeDocument/2006/relationships/hyperlink" Target="https://www.amazon.in/Noise-ColorFit-Smartwatch-Monitoring-Waterproof/dp/B097R25DP7/ref=sr_1_124?qid=1672895777&amp;s=electronics&amp;sr=1-124" TargetMode="External"/><Relationship Id="rId1270" Type="http://schemas.openxmlformats.org/officeDocument/2006/relationships/hyperlink" Target="https://www.amazon.in/PrettyKrafts-Folding-Laundry-Clothes-Organiser/dp/B08W9BK4MD/ref=sr_1_288?qid=1672923606&amp;s=kitchen&amp;sr=1-288" TargetMode="External"/><Relationship Id="rId440" Type="http://schemas.openxmlformats.org/officeDocument/2006/relationships/hyperlink" Target="https://www.amazon.in/realme-narzo-Mint-Green-Storage/dp/B09FKDH6FS/ref=sr_1_115?qid=1672895777&amp;s=electronics&amp;sr=1-115" TargetMode="External"/><Relationship Id="rId682" Type="http://schemas.openxmlformats.org/officeDocument/2006/relationships/hyperlink" Target="https://www.amazon.in/Quantum-QHM-7406-Spill-Resistant-Wired-Keyboard/dp/B08CF4SCNP/ref=sr_1_104?qid=1672903000&amp;s=computers&amp;sr=1-104" TargetMode="External"/><Relationship Id="rId1271" Type="http://schemas.openxmlformats.org/officeDocument/2006/relationships/hyperlink" Target="https://www.amazon.in/Ikea-PRODUKT-Milk-frother-Frother-Handheld/dp/B09X5HD5T1/ref=sr_1_289_mod_primary_new?qid=1672923606&amp;s=kitchen&amp;sbo=RZvfv%2F%2FHxDF%2BO5021pAnSA%3D%3D&amp;sr=1-289" TargetMode="External"/><Relationship Id="rId681" Type="http://schemas.openxmlformats.org/officeDocument/2006/relationships/hyperlink" Target="https://www.amazon.in/Zebronics-Zeb-Thunder-Bluetooth-Headphone-Input/dp/B07L8KNP5F/ref=sr_1_103?qid=1672903000&amp;s=computers&amp;sr=1-103" TargetMode="External"/><Relationship Id="rId1030" Type="http://schemas.openxmlformats.org/officeDocument/2006/relationships/hyperlink" Target="https://www.amazon.in/Prestige-1-5-Kettle-1500-watts-Red/dp/B07VNFP3C2/ref=sr_1_16?qid=1672923591&amp;s=kitchen&amp;sr=1-16" TargetMode="External"/><Relationship Id="rId1272" Type="http://schemas.openxmlformats.org/officeDocument/2006/relationships/hyperlink" Target="https://www.amazon.in/EasySpeed-GC2147-30-Resistant-Soleplate/dp/B08H6B3G96/ref=sr_1_290?qid=1672923606&amp;s=kitchen&amp;sr=1-290" TargetMode="External"/><Relationship Id="rId680" Type="http://schemas.openxmlformats.org/officeDocument/2006/relationships/hyperlink" Target="https://www.amazon.in/Epson-003-Black-Ink-Bottle/dp/B07L5L4GTB/ref=sr_1_102?qid=1672903000&amp;s=computers&amp;sr=1-102" TargetMode="External"/><Relationship Id="rId1031" Type="http://schemas.openxmlformats.org/officeDocument/2006/relationships/hyperlink" Target="https://www.amazon.in/Bajaj-RHX-2-800-Watt-Room-Heater/dp/B00LUGTJGO/ref=sr_1_17?qid=1672923591&amp;s=kitchen&amp;sr=1-17" TargetMode="External"/><Relationship Id="rId1273" Type="http://schemas.openxmlformats.org/officeDocument/2006/relationships/hyperlink" Target="https://www.amazon.in/Bajaj-New-Shakti-Neo-Storage/dp/B09N3BFP4M/ref=sr_1_291?qid=1672923606&amp;s=kitchen&amp;sr=1-291" TargetMode="External"/><Relationship Id="rId1032" Type="http://schemas.openxmlformats.org/officeDocument/2006/relationships/hyperlink" Target="https://www.amazon.in/Prestige-Electric-Kettle-PKOSS-1500watts/dp/B01MQZ7J8K/ref=sr_1_18?qid=1672923591&amp;s=kitchen&amp;sr=1-18" TargetMode="External"/><Relationship Id="rId1274" Type="http://schemas.openxmlformats.org/officeDocument/2006/relationships/hyperlink" Target="https://www.amazon.in/House-Quirk-Reusable-Easy-Tear-Multicolour/dp/B09DSQXCM8/ref=sr_1_292?qid=1672923606&amp;s=kitchen&amp;sr=1-292" TargetMode="External"/><Relationship Id="rId202" Type="http://schemas.openxmlformats.org/officeDocument/2006/relationships/hyperlink" Target="https://www.amazon.in/Storite%C2%AE-USB-2-0-Mini-0-88feet/dp/B00GGGOYEK/ref=sr_1_222?qid=1672909135&amp;s=electronics&amp;sr=1-222" TargetMode="External"/><Relationship Id="rId444" Type="http://schemas.openxmlformats.org/officeDocument/2006/relationships/hyperlink" Target="https://www.amazon.in/Rugged-Extra-Tough-Unbreakable-Braided/dp/B0789LZTCJ/ref=sr_1_119?qid=1672895777&amp;s=electronics&amp;sr=1-119" TargetMode="External"/><Relationship Id="rId686" Type="http://schemas.openxmlformats.org/officeDocument/2006/relationships/hyperlink" Target="https://www.amazon.in/Classmate-Premium-Subject-Notebook-Single/dp/B00LZLQ624/ref=sr_1_108?qid=1672903000&amp;s=computers&amp;sr=1-108" TargetMode="External"/><Relationship Id="rId1033" Type="http://schemas.openxmlformats.org/officeDocument/2006/relationships/hyperlink" Target="https://www.amazon.in/Pigeon-Stovekraft-Cruise-1800-Watt-Induction/dp/B01GFTEV5Y/ref=sr_1_20?qid=1672923591&amp;s=kitchen&amp;sr=1-20" TargetMode="External"/><Relationship Id="rId1275" Type="http://schemas.openxmlformats.org/officeDocument/2006/relationships/hyperlink" Target="https://www.amazon.in/Allin-Exporters-Ultrasonic-Humidifier-Purifier/dp/B01M69WCZ6/ref=sr_1_293?qid=1672923606&amp;s=kitchen&amp;sr=1-293" TargetMode="External"/><Relationship Id="rId201" Type="http://schemas.openxmlformats.org/officeDocument/2006/relationships/hyperlink" Target="https://www.amazon.in/Caldipree-Silicone-Compatible-BN68-13897A-2022-BLACK/dp/B0BCKWZ884/ref=sr_1_221?qid=1672909135&amp;s=electronics&amp;sr=1-221" TargetMode="External"/><Relationship Id="rId443" Type="http://schemas.openxmlformats.org/officeDocument/2006/relationships/hyperlink" Target="https://www.amazon.in/iQOO-Raven-Black-128GB-Storage/dp/B07WGPKTS4/ref=sr_1_118?qid=1672895777&amp;s=electronics&amp;sr=1-118" TargetMode="External"/><Relationship Id="rId685" Type="http://schemas.openxmlformats.org/officeDocument/2006/relationships/hyperlink" Target="https://www.amazon.in/AmazonBasics-Flexible-HDMI-Cable-3-Foot/dp/B07KSMBL2H/ref=sr_1_107?qid=1672903000&amp;s=computers&amp;sr=1-107" TargetMode="External"/><Relationship Id="rId1034" Type="http://schemas.openxmlformats.org/officeDocument/2006/relationships/hyperlink" Target="https://www.amazon.in/Prestige-PKGSS-Electric-Kettle-Stainless/dp/B00NW4UWN6/ref=sr_1_22?qid=1672923591&amp;s=kitchen&amp;sr=1-22" TargetMode="External"/><Relationship Id="rId1276" Type="http://schemas.openxmlformats.org/officeDocument/2006/relationships/hyperlink" Target="https://www.amazon.in/Multifunctional-Electric-Automatic-Non-Stick-Pan-Tiger/dp/B0BM9H2NY9/ref=sr_1_294?qid=1672923606&amp;s=kitchen&amp;sr=1-294" TargetMode="External"/><Relationship Id="rId200" Type="http://schemas.openxmlformats.org/officeDocument/2006/relationships/hyperlink" Target="https://www.amazon.in/Time-Office-Replacement-Startek-FM220U/dp/B08XMG618K/ref=sr_1_220?qid=1672909135&amp;s=electronics&amp;sr=1-220" TargetMode="External"/><Relationship Id="rId442" Type="http://schemas.openxmlformats.org/officeDocument/2006/relationships/hyperlink" Target="https://www.amazon.in/Nokia-105-Single-Keypad-Wireless/dp/B09YDFDVNS/ref=sr_1_117?qid=1672895777&amp;s=electronics&amp;sr=1-117" TargetMode="External"/><Relationship Id="rId684" Type="http://schemas.openxmlformats.org/officeDocument/2006/relationships/hyperlink" Target="https://www.amazon.in/Logitech-Silent-Wireless-Mouse-Charcoal/dp/B01M72LILF/ref=sr_1_106?qid=1672903000&amp;s=computers&amp;sr=1-106" TargetMode="External"/><Relationship Id="rId1035" Type="http://schemas.openxmlformats.org/officeDocument/2006/relationships/hyperlink" Target="https://www.amazon.in/SHOP-Plastic-Sweaters-Blankets-Multicolour/dp/B01NCVJMKX/ref=sr_1_23?qid=1672923591&amp;s=kitchen&amp;sr=1-23" TargetMode="External"/><Relationship Id="rId1277" Type="http://schemas.openxmlformats.org/officeDocument/2006/relationships/hyperlink" Target="https://www.amazon.in/Maharaja-Whiteline-Carbon-Standard-5200100986/dp/B099FDW2ZF/ref=sr_1_292?qid=1672923607&amp;s=kitchen&amp;sr=1-292" TargetMode="External"/><Relationship Id="rId441" Type="http://schemas.openxmlformats.org/officeDocument/2006/relationships/hyperlink" Target="https://www.amazon.in/Power-10000mAh-Metallic-Output-Charging/dp/B08HVJCW95/ref=sr_1_116?qid=1672895777&amp;s=electronics&amp;sr=1-116" TargetMode="External"/><Relationship Id="rId683" Type="http://schemas.openxmlformats.org/officeDocument/2006/relationships/hyperlink" Target="https://www.amazon.in/STRIFF-Adjustable-Ventilated-Ergonomic-Compatibility/dp/B09XX51X2G/ref=sr_1_105?qid=1672903000&amp;s=computers&amp;sr=1-105" TargetMode="External"/><Relationship Id="rId1036" Type="http://schemas.openxmlformats.org/officeDocument/2006/relationships/hyperlink" Target="https://www.amazon.in/Orpat-OEH-1260-2000-Watt-Heater-Grey/dp/B00O24PUO6/ref=sr_1_24?qid=1672923591&amp;s=kitchen&amp;sr=1-24" TargetMode="External"/><Relationship Id="rId1278" Type="http://schemas.openxmlformats.org/officeDocument/2006/relationships/hyperlink" Target="https://www.amazon.in/KENT-Chopper-B-Stainless-Transparent-Anti-Skid/dp/B0B935YNR7/ref=sr_1_293?qid=1672923607&amp;s=kitchen&amp;sr=1-293" TargetMode="External"/><Relationship Id="rId1026" Type="http://schemas.openxmlformats.org/officeDocument/2006/relationships/hyperlink" Target="https://www.amazon.in/StyleHouse-Remover-Woolen-Clothes-Electric/dp/B07NCKMXVZ/ref=sr_1_8?qid=1672923591&amp;s=kitchen&amp;sr=1-8" TargetMode="External"/><Relationship Id="rId1268" Type="http://schemas.openxmlformats.org/officeDocument/2006/relationships/hyperlink" Target="https://www.amazon.in/Gadgetronics-Weighing-Warranty-Batteries-Included/dp/B0B694PXQJ/ref=sr_1_286?qid=1672923606&amp;s=kitchen&amp;sr=1-286" TargetMode="External"/><Relationship Id="rId1027" Type="http://schemas.openxmlformats.org/officeDocument/2006/relationships/hyperlink" Target="https://www.amazon.in/beatXP-Multipurpose-Portable-Electronic-Weighing/dp/B0B61DSF17/ref=sr_1_10?qid=1672923591&amp;s=kitchen&amp;sr=1-10" TargetMode="External"/><Relationship Id="rId1269" Type="http://schemas.openxmlformats.org/officeDocument/2006/relationships/hyperlink" Target="https://www.amazon.in/HUL-Pureit-Germkill-Advanced-Purifier/dp/B00B3VFJY2/ref=sr_1_287?qid=1672923606&amp;s=kitchen&amp;sr=1-287" TargetMode="External"/><Relationship Id="rId1028" Type="http://schemas.openxmlformats.org/officeDocument/2006/relationships/hyperlink" Target="https://www.amazon.in/Multipurpose-Portable-Electronic-Digital-Weighing/dp/B07VQGVL68/ref=sr_1_11?qid=1672923591&amp;s=kitchen&amp;sr=1-11" TargetMode="External"/><Relationship Id="rId1029" Type="http://schemas.openxmlformats.org/officeDocument/2006/relationships/hyperlink" Target="https://www.amazon.in/Pigeon-Stovekraft-Plastic-Chopper-Blades/dp/B01LWYDEQ7/ref=sr_1_12?qid=1672923591&amp;s=kitchen&amp;sr=1-12" TargetMode="External"/><Relationship Id="rId437" Type="http://schemas.openxmlformats.org/officeDocument/2006/relationships/hyperlink" Target="https://www.amazon.in/Redmi-Stealth-Additional-Exchange-Included/dp/B09T2S8X9C/ref=sr_1_109?qid=1672895777&amp;s=electronics&amp;sr=1-109" TargetMode="External"/><Relationship Id="rId679" Type="http://schemas.openxmlformats.org/officeDocument/2006/relationships/hyperlink" Target="https://www.amazon.in/Notebook-MacBook-Computer-Anti-Skid-Mousepad/dp/B08QJJCY2Q/ref=sr_1_101?qid=1672903000&amp;s=computers&amp;sr=1-101" TargetMode="External"/><Relationship Id="rId436" Type="http://schemas.openxmlformats.org/officeDocument/2006/relationships/hyperlink" Target="https://www.amazon.in/iQOO-Storage-Snapdragon-Purchased-Separately/dp/B07WDK3ZS6/ref=sr_1_108?qid=1672895777&amp;s=electronics&amp;sr=1-108" TargetMode="External"/><Relationship Id="rId678" Type="http://schemas.openxmlformats.org/officeDocument/2006/relationships/hyperlink" Target="https://www.amazon.in/boAt-Smartwatch-Multiple-Monitoring-Resistance/dp/B096VF5YYF/ref=sr_1_100?qid=1672903000&amp;s=computers&amp;sr=1-100" TargetMode="External"/><Relationship Id="rId435" Type="http://schemas.openxmlformats.org/officeDocument/2006/relationships/hyperlink" Target="https://www.amazon.in/iQOO-Lumina-Blue-128GB-Storage/dp/B07WHQWXL7/ref=sr_1_107?qid=1672895777&amp;s=electronics&amp;sr=1-107" TargetMode="External"/><Relationship Id="rId677" Type="http://schemas.openxmlformats.org/officeDocument/2006/relationships/hyperlink" Target="https://www.amazon.in/SanDisk-Ultra-Drive-Pendrive-Mobile/dp/B0819ZZK5K/ref=sr_1_99?qid=1672903000&amp;s=computers&amp;sr=1-99" TargetMode="External"/><Relationship Id="rId434" Type="http://schemas.openxmlformats.org/officeDocument/2006/relationships/hyperlink" Target="https://www.amazon.in/HP-MicroSD-U1-TF-Card-32GB/dp/B07DJLFMPS/ref=sr_1_106?qid=1672895777&amp;s=electronics&amp;sr=1-106" TargetMode="External"/><Relationship Id="rId676" Type="http://schemas.openxmlformats.org/officeDocument/2006/relationships/hyperlink" Target="https://www.amazon.in/Multi-Purpose-Foldable-Portable-Ergonomic-Non-Slip/dp/B07TR5HSR9/ref=sr_1_98?qid=1672903000&amp;s=computers&amp;sr=1-98" TargetMode="External"/><Relationship Id="rId439" Type="http://schemas.openxmlformats.org/officeDocument/2006/relationships/hyperlink" Target="https://www.amazon.in/Portronics-POR-122-MODESK-Universal-Mobile/dp/B07N8RQ6W7/ref=sr_1_111?qid=1672895777&amp;s=electronics&amp;sr=1-111" TargetMode="External"/><Relationship Id="rId438" Type="http://schemas.openxmlformats.org/officeDocument/2006/relationships/hyperlink" Target="https://www.amazon.in/Boat-Bassheads-242-Earphones-Resistance/dp/B07S9S86BF/ref=sr_1_110?qid=1672895777&amp;s=electronics&amp;sr=1-110" TargetMode="External"/><Relationship Id="rId671" Type="http://schemas.openxmlformats.org/officeDocument/2006/relationships/hyperlink" Target="https://www.amazon.in/Rockerz-370-Headphone-Bluetooth-Lightweight/dp/B0856HNMR7/ref=sr_1_92?qid=1672902998&amp;s=computers&amp;sr=1-92" TargetMode="External"/><Relationship Id="rId1260" Type="http://schemas.openxmlformats.org/officeDocument/2006/relationships/hyperlink" Target="https://www.amazon.in/Hindware-Atlantic-Instant-Heating-Stainless/dp/B0BCKJJN8R/ref=sr_1_275?qid=1672923606&amp;s=kitchen&amp;sr=1-275" TargetMode="External"/><Relationship Id="rId670" Type="http://schemas.openxmlformats.org/officeDocument/2006/relationships/hyperlink" Target="https://www.amazon.in/Zebronics-Wired-Optical-Mouse-Black/dp/B079Y6JZC8/ref=sr_1_91?qid=1672902998&amp;s=computers&amp;sr=1-91" TargetMode="External"/><Relationship Id="rId1261" Type="http://schemas.openxmlformats.org/officeDocument/2006/relationships/hyperlink" Target="https://www.amazon.in/Morphy-Richards-Europa-Espresso-Cappuccino/dp/B008P7IF02/ref=sr_1_276?qid=1672923606&amp;s=kitchen&amp;sr=1-276" TargetMode="External"/><Relationship Id="rId1020" Type="http://schemas.openxmlformats.org/officeDocument/2006/relationships/hyperlink" Target="https://www.amazon.in/Receiver-300Mbps-802-11b-Wireless-Network/dp/B0141EZMAI/ref=sr_1_498?qid=1672903019&amp;s=computers&amp;sr=1-498" TargetMode="External"/><Relationship Id="rId1262" Type="http://schemas.openxmlformats.org/officeDocument/2006/relationships/hyperlink" Target="https://www.amazon.in/Lifelong-PowerPro-Mixer-Grinder-Super/dp/B08CNLYKW5/ref=sr_1_277?qid=1672923606&amp;s=kitchen&amp;sr=1-277" TargetMode="External"/><Relationship Id="rId1021" Type="http://schemas.openxmlformats.org/officeDocument/2006/relationships/hyperlink" Target="https://www.amazon.in/SWAPKART-Portable-Reading-Working-Bedroom/dp/B07QMRHWJD/ref=sr_1_499?qid=1672903019&amp;s=computers&amp;sr=1-499" TargetMode="External"/><Relationship Id="rId1263" Type="http://schemas.openxmlformats.org/officeDocument/2006/relationships/hyperlink" Target="https://www.amazon.in/CTEK15L-Premium-Stainless-Electric-Cut-Off/dp/B08C7TYHPB/ref=sr_1_278?qid=1672923606&amp;s=kitchen&amp;sr=1-278" TargetMode="External"/><Relationship Id="rId433" Type="http://schemas.openxmlformats.org/officeDocument/2006/relationships/hyperlink" Target="https://www.amazon.in/WeCool-C1-Technology-Windshield-Extendable/dp/B09P858DK8/ref=sr_1_104?qid=1672895777&amp;s=electronics&amp;sr=1-104" TargetMode="External"/><Relationship Id="rId675" Type="http://schemas.openxmlformats.org/officeDocument/2006/relationships/hyperlink" Target="https://www.amazon.in/Panasonic-Lithium-CR2032-5BE-Battery/dp/B00LVMTA2A/ref=sr_1_97?qid=1672903000&amp;s=computers&amp;sr=1-97" TargetMode="External"/><Relationship Id="rId1022" Type="http://schemas.openxmlformats.org/officeDocument/2006/relationships/hyperlink" Target="https://www.amazon.in/Infinity-Fuze-100-Waterproof-Portable/dp/B07W7Z6DVL/ref=sr_1_500?qid=1672903019&amp;s=computers&amp;sr=1-500" TargetMode="External"/><Relationship Id="rId1264" Type="http://schemas.openxmlformats.org/officeDocument/2006/relationships/hyperlink" Target="https://www.amazon.in/OPERATION-CHARGING-MULTI-CLIP-FUNCTION-PERSONAL/dp/B08VJFYH6N/ref=sr_1_279?qid=1672923606&amp;s=kitchen&amp;sr=1-279" TargetMode="External"/><Relationship Id="rId432" Type="http://schemas.openxmlformats.org/officeDocument/2006/relationships/hyperlink" Target="https://www.amazon.in/Goldmedal-202042-Plastic-Universal-Adaptor/dp/B0116MIKKC/ref=sr_1_103?qid=1672895777&amp;s=electronics&amp;sr=1-103" TargetMode="External"/><Relationship Id="rId674" Type="http://schemas.openxmlformats.org/officeDocument/2006/relationships/hyperlink" Target="https://www.amazon.in/Portronics-POR-1081-Charging-1-2Meter-Function/dp/B08CF3D7QR/ref=sr_1_95?qid=1672902998&amp;s=computers&amp;sr=1-95" TargetMode="External"/><Relationship Id="rId1023" Type="http://schemas.openxmlformats.org/officeDocument/2006/relationships/hyperlink" Target="https://www.amazon.in/Pigeon-Amaze-Plus-1-5-Ltr/dp/B07WMS7TWB/ref=sr_1_5?qid=1672923591&amp;s=kitchen&amp;sr=1-5" TargetMode="External"/><Relationship Id="rId1265" Type="http://schemas.openxmlformats.org/officeDocument/2006/relationships/hyperlink" Target="https://www.amazon.in/Crompton-InstaGlide-Certified-Dry-Iron/dp/B08235JZFB/ref=sr_1_283?qid=1672923606&amp;s=kitchen&amp;sr=1-283" TargetMode="External"/><Relationship Id="rId431" Type="http://schemas.openxmlformats.org/officeDocument/2006/relationships/hyperlink" Target="https://www.amazon.in/oraimo-firefly-2s-charger-micro-usb-multi-protection/dp/B089WB69Y1/ref=sr_1_102?qid=1672895777&amp;s=electronics&amp;sr=1-102" TargetMode="External"/><Relationship Id="rId673" Type="http://schemas.openxmlformats.org/officeDocument/2006/relationships/hyperlink" Target="https://www.amazon.in/GIZGA-Protector-Charging-Protective-G55/dp/B08MTCKDYN/ref=sr_1_94?qid=1672902998&amp;s=computers&amp;sr=1-94" TargetMode="External"/><Relationship Id="rId1024" Type="http://schemas.openxmlformats.org/officeDocument/2006/relationships/hyperlink" Target="https://www.amazon.in/Usha-Quartz-800-Watt-Overheating-Protection/dp/B00H47GVGY/ref=sr_1_6?qid=1672923591&amp;s=kitchen&amp;sr=1-6" TargetMode="External"/><Relationship Id="rId1266" Type="http://schemas.openxmlformats.org/officeDocument/2006/relationships/hyperlink" Target="https://www.amazon.in/Prestige-PSWP-2-0-Purifier-Cartridge/dp/B078XFKBZL/ref=sr_1_284_mod_primary_new?qid=1672923606&amp;s=kitchen&amp;sbo=RZvfv%2F%2FHxDF%2BO5021pAnSA%3D%3D&amp;sr=1-284" TargetMode="External"/><Relationship Id="rId430" Type="http://schemas.openxmlformats.org/officeDocument/2006/relationships/hyperlink" Target="https://www.amazon.in/Redmi-Phantom-Additional-Exchange-Included/dp/B09T2WRLJJ/ref=sr_1_101?qid=1672895777&amp;s=electronics&amp;sr=1-101" TargetMode="External"/><Relationship Id="rId672" Type="http://schemas.openxmlformats.org/officeDocument/2006/relationships/hyperlink" Target="https://www.amazon.in/ZEBRONICS-Zeb-Astra-20-Wireless-Rechargeable/dp/B0B12K5BPM/ref=sr_1_93?qid=1672902998&amp;s=computers&amp;sr=1-93" TargetMode="External"/><Relationship Id="rId1025" Type="http://schemas.openxmlformats.org/officeDocument/2006/relationships/hyperlink" Target="https://www.amazon.in/Amazon-Brand-Solimo-2000-Watt-certified/dp/B07VX71FZP/ref=sr_1_7?qid=1672923591&amp;s=kitchen&amp;sr=1-7" TargetMode="External"/><Relationship Id="rId1267" Type="http://schemas.openxmlformats.org/officeDocument/2006/relationships/hyperlink" Target="https://www.amazon.in/Morphy-Richards-Aristo-PTC-Heater/dp/B01M265AAK/ref=sr_1_285?qid=1672923606&amp;s=kitchen&amp;sr=1-28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s://m.media-amazon.com/images/W/WEBP_402378-T2/images/I/41CF6GtnpKL._SX300_SY300_QL70_FMwebp_.jpg" TargetMode="External"/><Relationship Id="rId194" Type="http://schemas.openxmlformats.org/officeDocument/2006/relationships/hyperlink" Target="https://m.media-amazon.com/images/W/WEBP_402378-T2/images/I/316rtwd6jOL._SX300_SY300_QL70_FMwebp_.jpg" TargetMode="External"/><Relationship Id="rId193" Type="http://schemas.openxmlformats.org/officeDocument/2006/relationships/hyperlink" Target="https://m.media-amazon.com/images/W/WEBP_402378-T1/images/I/41IAkUhz1NL._SY300_SX300_QL70_FMwebp_.jpg" TargetMode="External"/><Relationship Id="rId192" Type="http://schemas.openxmlformats.org/officeDocument/2006/relationships/hyperlink" Target="https://m.media-amazon.com/images/W/WEBP_402378-T2/images/I/31VSKlEpP-L._SX300_SY300_QL70_FMwebp_.jpg" TargetMode="External"/><Relationship Id="rId191" Type="http://schemas.openxmlformats.org/officeDocument/2006/relationships/hyperlink" Target="https://m.media-amazon.com/images/W/WEBP_402378-T2/images/I/41UPNmnPgeL._SY300_SX300_QL70_FMwebp_.jpg" TargetMode="External"/><Relationship Id="rId187" Type="http://schemas.openxmlformats.org/officeDocument/2006/relationships/hyperlink" Target="https://m.media-amazon.com/images/W/WEBP_402378-T1/images/I/514S7MylddL._SX300_SY300_QL70_FMwebp_.jpg" TargetMode="External"/><Relationship Id="rId186" Type="http://schemas.openxmlformats.org/officeDocument/2006/relationships/hyperlink" Target="https://m.media-amazon.com/images/I/41p9mn0fmIL._SY300_SX300_QL70_FMwebp_.jpg" TargetMode="External"/><Relationship Id="rId185" Type="http://schemas.openxmlformats.org/officeDocument/2006/relationships/hyperlink" Target="https://m.media-amazon.com/images/I/41sNnS4Rl7L._SX300_SY300_QL70_FMwebp_.jpg" TargetMode="External"/><Relationship Id="rId184" Type="http://schemas.openxmlformats.org/officeDocument/2006/relationships/hyperlink" Target="https://m.media-amazon.com/images/I/41JooboBmuL._SX300_SY300_QL70_FMwebp_.jpg" TargetMode="External"/><Relationship Id="rId189" Type="http://schemas.openxmlformats.org/officeDocument/2006/relationships/hyperlink" Target="https://m.media-amazon.com/images/W/WEBP_402378-T1/images/I/41Q5zqyjWPL._SY300_SX300_QL70_FMwebp_.jpg" TargetMode="External"/><Relationship Id="rId188" Type="http://schemas.openxmlformats.org/officeDocument/2006/relationships/hyperlink" Target="https://m.media-amazon.com/images/I/417MtmtMOvL._SY445_SX342_QL70_FMwebp_.jpg" TargetMode="External"/><Relationship Id="rId183" Type="http://schemas.openxmlformats.org/officeDocument/2006/relationships/hyperlink" Target="https://m.media-amazon.com/images/I/41vVXPCqnML._SX300_SY300_QL70_FMwebp_.jpg" TargetMode="External"/><Relationship Id="rId182" Type="http://schemas.openxmlformats.org/officeDocument/2006/relationships/hyperlink" Target="https://m.media-amazon.com/images/W/WEBP_402378-T2/images/I/31RK9+CyhoL._SY300_SX300_.jpg" TargetMode="External"/><Relationship Id="rId181" Type="http://schemas.openxmlformats.org/officeDocument/2006/relationships/hyperlink" Target="https://m.media-amazon.com/images/I/319bv0gNOeL._SX300_SY300_QL70_FMwebp_.jpg" TargetMode="External"/><Relationship Id="rId180" Type="http://schemas.openxmlformats.org/officeDocument/2006/relationships/hyperlink" Target="https://m.media-amazon.com/images/W/WEBP_402378-T2/images/I/21Nw+BXh1kS._SY300_SX300_.jpg" TargetMode="External"/><Relationship Id="rId176" Type="http://schemas.openxmlformats.org/officeDocument/2006/relationships/hyperlink" Target="https://m.media-amazon.com/images/W/WEBP_402378-T2/images/I/31HMoFzGZjL._SY300_SX300_QL70_FMwebp_.jpg" TargetMode="External"/><Relationship Id="rId175" Type="http://schemas.openxmlformats.org/officeDocument/2006/relationships/hyperlink" Target="https://m.media-amazon.com/images/I/317OoQfs1gL._SX300_SY300_QL70_FMwebp_.jpg" TargetMode="External"/><Relationship Id="rId174" Type="http://schemas.openxmlformats.org/officeDocument/2006/relationships/hyperlink" Target="https://m.media-amazon.com/images/I/416qO6VZHgL._SX300_SY300_QL70_FMwebp_.jpg" TargetMode="External"/><Relationship Id="rId173" Type="http://schemas.openxmlformats.org/officeDocument/2006/relationships/hyperlink" Target="https://m.media-amazon.com/images/W/WEBP_402378-T2/images/I/414P4JCZY-L._SX300_SY300_QL70_FMwebp_.jpg" TargetMode="External"/><Relationship Id="rId179" Type="http://schemas.openxmlformats.org/officeDocument/2006/relationships/hyperlink" Target="https://m.media-amazon.com/images/I/31jSLNakA7L._SY445_SX342_QL70_FMwebp_.jpg" TargetMode="External"/><Relationship Id="rId178" Type="http://schemas.openxmlformats.org/officeDocument/2006/relationships/hyperlink" Target="https://m.media-amazon.com/images/I/41EhlNJ-v8L._SX300_SY300_QL70_FMwebp_.jpg" TargetMode="External"/><Relationship Id="rId177" Type="http://schemas.openxmlformats.org/officeDocument/2006/relationships/hyperlink" Target="https://m.media-amazon.com/images/W/WEBP_402378-T1/images/I/31w-BP4ey1L._SY445_SX342_QL70_FMwebp_.jpg" TargetMode="External"/><Relationship Id="rId198" Type="http://schemas.openxmlformats.org/officeDocument/2006/relationships/hyperlink" Target="https://m.media-amazon.com/images/W/WEBP_402378-T1/images/I/41jh12qGXuL._SX300_SY300_QL70_FMwebp_.jpg" TargetMode="External"/><Relationship Id="rId197" Type="http://schemas.openxmlformats.org/officeDocument/2006/relationships/hyperlink" Target="https://m.media-amazon.com/images/I/31s3DOD2d1L._SY445_SX342_QL70_FMwebp_.jpg" TargetMode="External"/><Relationship Id="rId196" Type="http://schemas.openxmlformats.org/officeDocument/2006/relationships/hyperlink" Target="https://m.media-amazon.com/images/I/31PBfa92GVL._SX300_SY300_QL70_FMwebp_.jpg" TargetMode="External"/><Relationship Id="rId195" Type="http://schemas.openxmlformats.org/officeDocument/2006/relationships/hyperlink" Target="https://m.media-amazon.com/images/I/41Fu3K9KAZL._SX300_SY300_QL70_FMwebp_.jpg" TargetMode="External"/><Relationship Id="rId199" Type="http://schemas.openxmlformats.org/officeDocument/2006/relationships/hyperlink" Target="https://m.media-amazon.com/images/I/21rGO6HtUxL._SY445_SX342_QL70_FMwebp_.jpg" TargetMode="External"/><Relationship Id="rId150" Type="http://schemas.openxmlformats.org/officeDocument/2006/relationships/hyperlink" Target="https://m.media-amazon.com/images/W/WEBP_402378-T1/images/I/41qhsp6qcNL._SX300_SY300_QL70_FMwebp_.jpg" TargetMode="External"/><Relationship Id="rId392" Type="http://schemas.openxmlformats.org/officeDocument/2006/relationships/hyperlink" Target="https://m.media-amazon.com/images/I/411q-oMvehL._SX300_SY300_QL70_ML2_.jpg" TargetMode="External"/><Relationship Id="rId391" Type="http://schemas.openxmlformats.org/officeDocument/2006/relationships/hyperlink" Target="https://m.media-amazon.com/images/I/41Coma77U+L._SY300_SX300_.jpg" TargetMode="External"/><Relationship Id="rId390" Type="http://schemas.openxmlformats.org/officeDocument/2006/relationships/hyperlink" Target="https://m.media-amazon.com/images/I/41NuSTFXerL._SX300_SY300_QL70_ML2_.jpg" TargetMode="External"/><Relationship Id="rId1" Type="http://schemas.openxmlformats.org/officeDocument/2006/relationships/hyperlink" Target="https://m.media-amazon.com/images/W/WEBP_402378-T1/images/I/51UsScvHQNL._SX300_SY300_QL70_FMwebp_.jpg" TargetMode="External"/><Relationship Id="rId2" Type="http://schemas.openxmlformats.org/officeDocument/2006/relationships/hyperlink" Target="https://m.media-amazon.com/images/W/WEBP_402378-T2/images/I/31zOsqQOAOL._SY445_SX342_QL70_FMwebp_.jpg" TargetMode="External"/><Relationship Id="rId3" Type="http://schemas.openxmlformats.org/officeDocument/2006/relationships/hyperlink" Target="https://m.media-amazon.com/images/W/WEBP_402378-T1/images/I/31IvNJZnmdL._SY445_SX342_QL70_FMwebp_.jpg" TargetMode="External"/><Relationship Id="rId149" Type="http://schemas.openxmlformats.org/officeDocument/2006/relationships/hyperlink" Target="https://m.media-amazon.com/images/I/41CF6GtnpKL._SX300_SY300_QL70_FMwebp_.jpg" TargetMode="External"/><Relationship Id="rId4" Type="http://schemas.openxmlformats.org/officeDocument/2006/relationships/hyperlink" Target="https://m.media-amazon.com/images/I/41V5FtEWPkL._SX300_SY300_QL70_FMwebp_.jpg" TargetMode="External"/><Relationship Id="rId148" Type="http://schemas.openxmlformats.org/officeDocument/2006/relationships/hyperlink" Target="https://m.media-amazon.com/images/I/31y7uO5DU8L._SX300_SY300_QL70_FMwebp_.jpg" TargetMode="External"/><Relationship Id="rId1090" Type="http://schemas.openxmlformats.org/officeDocument/2006/relationships/hyperlink" Target="https://m.media-amazon.com/images/I/31b0ZuxuesL._SY300_SX300_QL70_FMwebp_.jpg" TargetMode="External"/><Relationship Id="rId1091" Type="http://schemas.openxmlformats.org/officeDocument/2006/relationships/hyperlink" Target="https://m.media-amazon.com/images/I/31vAlVllF5L._SX300_SY300_QL70_FMwebp_.jpg" TargetMode="External"/><Relationship Id="rId1092" Type="http://schemas.openxmlformats.org/officeDocument/2006/relationships/hyperlink" Target="https://m.media-amazon.com/images/I/31IR1G0S9cL._SX300_SY300_QL70_FMwebp_.jpg" TargetMode="External"/><Relationship Id="rId1093" Type="http://schemas.openxmlformats.org/officeDocument/2006/relationships/hyperlink" Target="https://m.media-amazon.com/images/W/WEBP_402378-T1/images/I/51bVSwhFA1L._SY300_SX300_QL70_FMwebp_.jpg" TargetMode="External"/><Relationship Id="rId1094" Type="http://schemas.openxmlformats.org/officeDocument/2006/relationships/hyperlink" Target="https://m.media-amazon.com/images/W/WEBP_402378-T1/images/I/51o1OVswrGS._SY445_SX342_QL70_FMwebp_.jpg" TargetMode="External"/><Relationship Id="rId9" Type="http://schemas.openxmlformats.org/officeDocument/2006/relationships/hyperlink" Target="https://m.media-amazon.com/images/W/WEBP_402378-T2/images/I/31e6ElWRymL._SX300_SY300_QL70_FMwebp_.jpg" TargetMode="External"/><Relationship Id="rId143" Type="http://schemas.openxmlformats.org/officeDocument/2006/relationships/hyperlink" Target="https://m.media-amazon.com/images/I/21yP58lKDoL._SX300_SY300_QL70_FMwebp_.jpg" TargetMode="External"/><Relationship Id="rId385" Type="http://schemas.openxmlformats.org/officeDocument/2006/relationships/hyperlink" Target="https://m.media-amazon.com/images/I/41m7DLY3yGL._SX300_SY300_QL70_ML2_.jpg" TargetMode="External"/><Relationship Id="rId1095" Type="http://schemas.openxmlformats.org/officeDocument/2006/relationships/hyperlink" Target="https://m.media-amazon.com/images/I/51swXR+r2xL._SY300_SX300_.jpg" TargetMode="External"/><Relationship Id="rId142" Type="http://schemas.openxmlformats.org/officeDocument/2006/relationships/hyperlink" Target="https://m.media-amazon.com/images/W/WEBP_402378-T1/images/I/21jLkYGoSEL._SX300_SY300_QL70_FMwebp_.jpg" TargetMode="External"/><Relationship Id="rId384" Type="http://schemas.openxmlformats.org/officeDocument/2006/relationships/hyperlink" Target="https://m.media-amazon.com/images/I/51UzDSGpNWL._SX300_SY300_QL70_ML2_.jpg" TargetMode="External"/><Relationship Id="rId1096" Type="http://schemas.openxmlformats.org/officeDocument/2006/relationships/hyperlink" Target="https://m.media-amazon.com/images/W/WEBP_402378-T1/images/I/21rUca9axYL._SX300_SY300_QL70_FMwebp_.jpg" TargetMode="External"/><Relationship Id="rId141" Type="http://schemas.openxmlformats.org/officeDocument/2006/relationships/hyperlink" Target="https://m.media-amazon.com/images/I/41wI9GGhTHL._SX300_SY300_QL70_FMwebp_.jpg" TargetMode="External"/><Relationship Id="rId383" Type="http://schemas.openxmlformats.org/officeDocument/2006/relationships/hyperlink" Target="https://m.media-amazon.com/images/I/31dYcDtt38L._SX300_SY300_QL70_ML2_.jpg" TargetMode="External"/><Relationship Id="rId1097" Type="http://schemas.openxmlformats.org/officeDocument/2006/relationships/hyperlink" Target="https://m.media-amazon.com/images/W/WEBP_402378-T2/images/I/41ZFwhFMMwL._SX300_SY300_QL70_FMwebp_.jpg" TargetMode="External"/><Relationship Id="rId140" Type="http://schemas.openxmlformats.org/officeDocument/2006/relationships/hyperlink" Target="https://m.media-amazon.com/images/I/41alINWQKXL._SX300_SY300_QL70_FMwebp_.jpg" TargetMode="External"/><Relationship Id="rId382" Type="http://schemas.openxmlformats.org/officeDocument/2006/relationships/hyperlink" Target="https://m.media-amazon.com/images/I/41VcqwZ-O8L._SX300_SY300_QL70_ML2_.jpg" TargetMode="External"/><Relationship Id="rId1098" Type="http://schemas.openxmlformats.org/officeDocument/2006/relationships/hyperlink" Target="https://m.media-amazon.com/images/W/WEBP_402378-T1/images/I/31Di52QEVdL._SX300_SY300_QL70_FMwebp_.jpg" TargetMode="External"/><Relationship Id="rId5" Type="http://schemas.openxmlformats.org/officeDocument/2006/relationships/hyperlink" Target="https://m.media-amazon.com/images/W/WEBP_402378-T2/images/I/31VzNhhqifL._SX300_SY300_QL70_FMwebp_.jpg" TargetMode="External"/><Relationship Id="rId147" Type="http://schemas.openxmlformats.org/officeDocument/2006/relationships/hyperlink" Target="https://m.media-amazon.com/images/W/WEBP_402378-T1/images/I/31OIv762uSL._SX300_SY300_QL70_FMwebp_.jpg" TargetMode="External"/><Relationship Id="rId389" Type="http://schemas.openxmlformats.org/officeDocument/2006/relationships/hyperlink" Target="https://m.media-amazon.com/images/I/21x1gw1geuL._SY300_SX300_QL70_ML2_.jpg" TargetMode="External"/><Relationship Id="rId1099" Type="http://schemas.openxmlformats.org/officeDocument/2006/relationships/hyperlink" Target="https://m.media-amazon.com/images/W/WEBP_402378-T2/images/I/41FyPER4ASL._SX300_SY300_QL70_FMwebp_.jpg" TargetMode="External"/><Relationship Id="rId6" Type="http://schemas.openxmlformats.org/officeDocument/2006/relationships/hyperlink" Target="https://m.media-amazon.com/images/I/31wOPjcSxlL._SX300_SY300_QL70_FMwebp_.jpg" TargetMode="External"/><Relationship Id="rId146" Type="http://schemas.openxmlformats.org/officeDocument/2006/relationships/hyperlink" Target="https://m.media-amazon.com/images/W/WEBP_402378-T2/images/I/41R3n7+taUL._SY300_SX300_.jpg" TargetMode="External"/><Relationship Id="rId388" Type="http://schemas.openxmlformats.org/officeDocument/2006/relationships/hyperlink" Target="https://m.media-amazon.com/images/I/41iEZV6nKbL._SX300_SY300_QL70_ML2_.jpg" TargetMode="External"/><Relationship Id="rId7" Type="http://schemas.openxmlformats.org/officeDocument/2006/relationships/hyperlink" Target="https://m.media-amazon.com/images/W/WEBP_402378-T2/images/I/41jlwEZpa5L._SX300_SY300_QL70_FMwebp_.jpg" TargetMode="External"/><Relationship Id="rId145" Type="http://schemas.openxmlformats.org/officeDocument/2006/relationships/hyperlink" Target="https://m.media-amazon.com/images/I/41ZptRPWCPL._SY300_SX300_QL70_FMwebp_.jpg" TargetMode="External"/><Relationship Id="rId387" Type="http://schemas.openxmlformats.org/officeDocument/2006/relationships/hyperlink" Target="https://m.media-amazon.com/images/I/41BnHjRP0ZS._SX300_SY300_QL70_ML2_.jpg" TargetMode="External"/><Relationship Id="rId8" Type="http://schemas.openxmlformats.org/officeDocument/2006/relationships/hyperlink" Target="https://m.media-amazon.com/images/I/31XO-wfGGGL._SX300_SY300_QL70_FMwebp_.jpg" TargetMode="External"/><Relationship Id="rId144" Type="http://schemas.openxmlformats.org/officeDocument/2006/relationships/hyperlink" Target="https://m.media-amazon.com/images/I/31Wb+A3VVdL._SY300_SX300_.jpg" TargetMode="External"/><Relationship Id="rId386" Type="http://schemas.openxmlformats.org/officeDocument/2006/relationships/hyperlink" Target="https://m.media-amazon.com/images/I/41-CKEKnjyL._SX300_SY300_QL70_ML2_.jpg" TargetMode="External"/><Relationship Id="rId381" Type="http://schemas.openxmlformats.org/officeDocument/2006/relationships/hyperlink" Target="https://m.media-amazon.com/images/I/41Fq27ZjJfL._SX300_SY300_QL70_ML2_.jpg" TargetMode="External"/><Relationship Id="rId380" Type="http://schemas.openxmlformats.org/officeDocument/2006/relationships/hyperlink" Target="https://m.media-amazon.com/images/I/31IvNJZnmdL._SY445_SX342_QL70_ML2_.jpg" TargetMode="External"/><Relationship Id="rId139" Type="http://schemas.openxmlformats.org/officeDocument/2006/relationships/hyperlink" Target="https://m.media-amazon.com/images/W/WEBP_402378-T1/images/I/41hpz9rFbZL._SX300_SY300_QL70_FMwebp_.jpg" TargetMode="External"/><Relationship Id="rId138" Type="http://schemas.openxmlformats.org/officeDocument/2006/relationships/hyperlink" Target="https://m.media-amazon.com/images/W/WEBP_402378-T1/images/I/41+AJMzMo7L._SX342_SY445_.jpg" TargetMode="External"/><Relationship Id="rId137" Type="http://schemas.openxmlformats.org/officeDocument/2006/relationships/hyperlink" Target="https://m.media-amazon.com/images/I/41gUqtvpULL._SX300_SY300_QL70_FMwebp_.jpg" TargetMode="External"/><Relationship Id="rId379" Type="http://schemas.openxmlformats.org/officeDocument/2006/relationships/hyperlink" Target="https://m.media-amazon.com/images/I/4105IiC5tDL._SX300_SY300_QL70_ML2_.jpg" TargetMode="External"/><Relationship Id="rId1080" Type="http://schemas.openxmlformats.org/officeDocument/2006/relationships/hyperlink" Target="https://m.media-amazon.com/images/W/WEBP_402378-T2/images/I/31LsgYDJNkL._SX300_SY300_QL70_FMwebp_.jpg" TargetMode="External"/><Relationship Id="rId1081" Type="http://schemas.openxmlformats.org/officeDocument/2006/relationships/hyperlink" Target="https://m.media-amazon.com/images/W/WEBP_402378-T1/images/I/51ey0zzictL._SX300_SY300_QL70_FMwebp_.jpg" TargetMode="External"/><Relationship Id="rId1082" Type="http://schemas.openxmlformats.org/officeDocument/2006/relationships/hyperlink" Target="https://m.media-amazon.com/images/I/41gZhEcCCQL._SX300_SY300_QL70_FMwebp_.jpg" TargetMode="External"/><Relationship Id="rId1083" Type="http://schemas.openxmlformats.org/officeDocument/2006/relationships/hyperlink" Target="https://m.media-amazon.com/images/W/WEBP_402378-T2/images/I/31WXnM9XIYL._SX300_SY300_QL70_FMwebp_.jpg" TargetMode="External"/><Relationship Id="rId132" Type="http://schemas.openxmlformats.org/officeDocument/2006/relationships/hyperlink" Target="https://m.media-amazon.com/images/I/41Rd-jDNOmL._SY445_SX342_QL70_FMwebp_.jpg" TargetMode="External"/><Relationship Id="rId374" Type="http://schemas.openxmlformats.org/officeDocument/2006/relationships/hyperlink" Target="https://m.media-amazon.com/images/I/41wNAXmtvIL._SX300_SY300_QL70_ML2_.jpg" TargetMode="External"/><Relationship Id="rId1084" Type="http://schemas.openxmlformats.org/officeDocument/2006/relationships/hyperlink" Target="https://m.media-amazon.com/images/I/41cxgOxlbYL._SX300_SY300_QL70_FMwebp_.jpg" TargetMode="External"/><Relationship Id="rId131" Type="http://schemas.openxmlformats.org/officeDocument/2006/relationships/hyperlink" Target="https://m.media-amazon.com/images/W/WEBP_402378-T1/images/I/417QOjrqyBL._SY300_SX300_QL70_FMwebp_.jpg" TargetMode="External"/><Relationship Id="rId373" Type="http://schemas.openxmlformats.org/officeDocument/2006/relationships/hyperlink" Target="https://m.media-amazon.com/images/I/410VGCE+q2L._SY300_SX300_.jpg" TargetMode="External"/><Relationship Id="rId1085" Type="http://schemas.openxmlformats.org/officeDocument/2006/relationships/hyperlink" Target="https://m.media-amazon.com/images/W/WEBP_402378-T1/images/I/31Tz8DcmevL._SX300_SY300_QL70_FMwebp_.jpg" TargetMode="External"/><Relationship Id="rId130" Type="http://schemas.openxmlformats.org/officeDocument/2006/relationships/hyperlink" Target="https://m.media-amazon.com/images/I/513rqzxlDpL._SX300_SY300_QL70_FMwebp_.jpg" TargetMode="External"/><Relationship Id="rId372" Type="http://schemas.openxmlformats.org/officeDocument/2006/relationships/hyperlink" Target="https://m.media-amazon.com/images/I/41i7LM0pGwL._SX300_SY300_QL70_ML2_.jpg" TargetMode="External"/><Relationship Id="rId1086" Type="http://schemas.openxmlformats.org/officeDocument/2006/relationships/hyperlink" Target="https://m.media-amazon.com/images/W/WEBP_402378-T2/images/I/31HSz-a5H3L._SX300_SY300_QL70_FMwebp_.jpg" TargetMode="External"/><Relationship Id="rId371" Type="http://schemas.openxmlformats.org/officeDocument/2006/relationships/hyperlink" Target="https://m.media-amazon.com/images/I/416SpYgTVYL._SX300_SY300_QL70_ML2_.jpg" TargetMode="External"/><Relationship Id="rId1087" Type="http://schemas.openxmlformats.org/officeDocument/2006/relationships/hyperlink" Target="https://m.media-amazon.com/images/W/WEBP_402378-T2/images/I/31lKVhGarbL._SX300_SY300_QL70_FMwebp_.jpg" TargetMode="External"/><Relationship Id="rId136" Type="http://schemas.openxmlformats.org/officeDocument/2006/relationships/hyperlink" Target="https://m.media-amazon.com/images/W/WEBP_402378-T1/images/I/51dOjIreG4L._SX300_SY300_QL70_FMwebp_.jpg" TargetMode="External"/><Relationship Id="rId378" Type="http://schemas.openxmlformats.org/officeDocument/2006/relationships/hyperlink" Target="https://m.media-amazon.com/images/I/31zOsqQOAOL._SY445_SX342_QL70_ML2_.jpg" TargetMode="External"/><Relationship Id="rId1088" Type="http://schemas.openxmlformats.org/officeDocument/2006/relationships/hyperlink" Target="https://m.media-amazon.com/images/W/WEBP_402378-T2/images/I/41QNSlZeKiL._SX300_SY300_QL70_FMwebp_.jpg" TargetMode="External"/><Relationship Id="rId135" Type="http://schemas.openxmlformats.org/officeDocument/2006/relationships/hyperlink" Target="https://m.media-amazon.com/images/I/31R8-XSK40L._SX342_SY445_QL70_FMwebp_.jpg" TargetMode="External"/><Relationship Id="rId377" Type="http://schemas.openxmlformats.org/officeDocument/2006/relationships/hyperlink" Target="https://m.media-amazon.com/images/I/413x7j3Z30L._SX300_SY300_QL70_ML2_.jpg" TargetMode="External"/><Relationship Id="rId1089" Type="http://schemas.openxmlformats.org/officeDocument/2006/relationships/hyperlink" Target="https://m.media-amazon.com/images/W/WEBP_402378-T2/images/I/31-RWRwJZOL._SX300_SY300_QL70_FMwebp_.jpg" TargetMode="External"/><Relationship Id="rId134" Type="http://schemas.openxmlformats.org/officeDocument/2006/relationships/hyperlink" Target="https://m.media-amazon.com/images/I/21fnxCjCF1L._SX300_SY300_QL70_FMwebp_.jpg" TargetMode="External"/><Relationship Id="rId376" Type="http://schemas.openxmlformats.org/officeDocument/2006/relationships/hyperlink" Target="https://m.media-amazon.com/images/I/41r1d8a2WGL._SX300_SY300_QL70_ML2_.jpg" TargetMode="External"/><Relationship Id="rId133" Type="http://schemas.openxmlformats.org/officeDocument/2006/relationships/hyperlink" Target="https://m.media-amazon.com/images/W/WEBP_402378-T2/images/I/41-AORr2udL._SX300_SY300_QL70_FMwebp_.jpg" TargetMode="External"/><Relationship Id="rId375" Type="http://schemas.openxmlformats.org/officeDocument/2006/relationships/hyperlink" Target="https://m.media-amazon.com/images/I/212redZnCCL._SX300_SY300_QL70_ML2_.jpg" TargetMode="External"/><Relationship Id="rId172" Type="http://schemas.openxmlformats.org/officeDocument/2006/relationships/hyperlink" Target="https://m.media-amazon.com/images/W/WEBP_402378-T2/images/I/41ECCMs7tjL._SY300_SX300_QL70_FMwebp_.jpg" TargetMode="External"/><Relationship Id="rId171" Type="http://schemas.openxmlformats.org/officeDocument/2006/relationships/hyperlink" Target="https://m.media-amazon.com/images/W/WEBP_402378-T1/images/I/31IdziegWVL._SX300_SY300_QL70_FMwebp_.jpg" TargetMode="External"/><Relationship Id="rId170" Type="http://schemas.openxmlformats.org/officeDocument/2006/relationships/hyperlink" Target="https://m.media-amazon.com/images/I/31Kt+OO7C6L._SY300_SX300_.jpg" TargetMode="External"/><Relationship Id="rId165" Type="http://schemas.openxmlformats.org/officeDocument/2006/relationships/hyperlink" Target="https://m.media-amazon.com/images/I/21DUuehBaRL._SX300_SY300_QL70_FMwebp_.jpg" TargetMode="External"/><Relationship Id="rId164" Type="http://schemas.openxmlformats.org/officeDocument/2006/relationships/hyperlink" Target="https://m.media-amazon.com/images/W/WEBP_402378-T2/images/I/313Ja+mXy6L._SY300_SX300_.jpg" TargetMode="External"/><Relationship Id="rId163" Type="http://schemas.openxmlformats.org/officeDocument/2006/relationships/hyperlink" Target="https://m.media-amazon.com/images/I/41agXfR4tqL._SX300_SY300_QL70_FMwebp_.jpg" TargetMode="External"/><Relationship Id="rId162" Type="http://schemas.openxmlformats.org/officeDocument/2006/relationships/hyperlink" Target="https://m.media-amazon.com/images/I/41-NYo+m0JL._SY300_SX300_.jpg" TargetMode="External"/><Relationship Id="rId169" Type="http://schemas.openxmlformats.org/officeDocument/2006/relationships/hyperlink" Target="https://m.media-amazon.com/images/I/51sUInS8MiL._SY300_SX300_QL70_FMwebp_.jpg" TargetMode="External"/><Relationship Id="rId168" Type="http://schemas.openxmlformats.org/officeDocument/2006/relationships/hyperlink" Target="https://m.media-amazon.com/images/W/WEBP_402378-T2/images/I/311wFoZMekL._SX300_SY300_QL70_FMwebp_.jpg" TargetMode="External"/><Relationship Id="rId167" Type="http://schemas.openxmlformats.org/officeDocument/2006/relationships/hyperlink" Target="https://m.media-amazon.com/images/I/41bkm5HhWsL._SY445_SX342_QL70_FMwebp_.jpg" TargetMode="External"/><Relationship Id="rId166" Type="http://schemas.openxmlformats.org/officeDocument/2006/relationships/hyperlink" Target="https://m.media-amazon.com/images/I/31vPhcWqqWL._SX300_SY300_QL70_FMwebp_.jpg" TargetMode="External"/><Relationship Id="rId161" Type="http://schemas.openxmlformats.org/officeDocument/2006/relationships/hyperlink" Target="https://m.media-amazon.com/images/W/WEBP_402378-T1/images/I/41OrFRgZhYL._SX300_SY300_QL70_FMwebp_.jpg" TargetMode="External"/><Relationship Id="rId160" Type="http://schemas.openxmlformats.org/officeDocument/2006/relationships/hyperlink" Target="https://m.media-amazon.com/images/I/31yHKPd+rsL._SY300_SX300_.jpg" TargetMode="External"/><Relationship Id="rId159" Type="http://schemas.openxmlformats.org/officeDocument/2006/relationships/hyperlink" Target="https://m.media-amazon.com/images/W/WEBP_402378-T2/images/I/31fpyR3mU4L._SX300_SY300_QL70_FMwebp_.jpg" TargetMode="External"/><Relationship Id="rId154" Type="http://schemas.openxmlformats.org/officeDocument/2006/relationships/hyperlink" Target="https://m.media-amazon.com/images/W/WEBP_402378-T1/images/I/21WhHd9leXL._SX300_SY300_QL70_FMwebp_.jpg" TargetMode="External"/><Relationship Id="rId396" Type="http://schemas.openxmlformats.org/officeDocument/2006/relationships/hyperlink" Target="https://m.media-amazon.com/images/I/41lQan54SPL._SX300_SY300_QL70_ML2_.jpg" TargetMode="External"/><Relationship Id="rId153" Type="http://schemas.openxmlformats.org/officeDocument/2006/relationships/hyperlink" Target="https://m.media-amazon.com/images/W/WEBP_402378-T1/images/I/41+b6inZEkL._SX300_SY300_.jpg" TargetMode="External"/><Relationship Id="rId395" Type="http://schemas.openxmlformats.org/officeDocument/2006/relationships/hyperlink" Target="https://m.media-amazon.com/images/I/51DLLa8HNWL._SX300_SY300_QL70_ML2_.jpg" TargetMode="External"/><Relationship Id="rId152" Type="http://schemas.openxmlformats.org/officeDocument/2006/relationships/hyperlink" Target="https://m.media-amazon.com/images/W/WEBP_402378-T1/images/I/419QKVTxaSL._SX300_SY300_QL70_FMwebp_.jpg" TargetMode="External"/><Relationship Id="rId394" Type="http://schemas.openxmlformats.org/officeDocument/2006/relationships/hyperlink" Target="https://m.media-amazon.com/images/I/31VzNhhqifL._SX300_SY300_QL70_ML2_.jpg" TargetMode="External"/><Relationship Id="rId151" Type="http://schemas.openxmlformats.org/officeDocument/2006/relationships/hyperlink" Target="https://m.media-amazon.com/images/I/41HhmJpfjNL._SX300_SY300_QL70_FMwebp_.jpg" TargetMode="External"/><Relationship Id="rId393" Type="http://schemas.openxmlformats.org/officeDocument/2006/relationships/hyperlink" Target="https://m.media-amazon.com/images/I/41V5FtEWPkL._SX300_SY300_QL70_ML2_.jpg" TargetMode="External"/><Relationship Id="rId158" Type="http://schemas.openxmlformats.org/officeDocument/2006/relationships/hyperlink" Target="https://m.media-amazon.com/images/W/WEBP_402378-T1/images/I/51DhRNtyo0L._SX300_SY300_QL70_FMwebp_.jpg" TargetMode="External"/><Relationship Id="rId157" Type="http://schemas.openxmlformats.org/officeDocument/2006/relationships/hyperlink" Target="https://m.media-amazon.com/images/W/WEBP_402378-T2/images/I/21fnuilweNL._SY445_SX342_QL70_FMwebp_.jpg" TargetMode="External"/><Relationship Id="rId399" Type="http://schemas.openxmlformats.org/officeDocument/2006/relationships/hyperlink" Target="https://m.media-amazon.com/images/I/31wqydqbA9L._SX300_SY300_QL70_ML2_.jpg" TargetMode="External"/><Relationship Id="rId156" Type="http://schemas.openxmlformats.org/officeDocument/2006/relationships/hyperlink" Target="https://m.media-amazon.com/images/W/WEBP_402378-T2/images/I/31IS376AeYL._SX300_SY300_QL70_FMwebp_.jpg" TargetMode="External"/><Relationship Id="rId398" Type="http://schemas.openxmlformats.org/officeDocument/2006/relationships/hyperlink" Target="https://m.media-amazon.com/images/I/31R6RP26dzL._SY300_SX300_QL70_ML2_.jpg" TargetMode="External"/><Relationship Id="rId155" Type="http://schemas.openxmlformats.org/officeDocument/2006/relationships/hyperlink" Target="https://m.media-amazon.com/images/I/41c5wGlZyPS._SX300_SY300_QL70_FMwebp_.jpg" TargetMode="External"/><Relationship Id="rId397" Type="http://schemas.openxmlformats.org/officeDocument/2006/relationships/hyperlink" Target="https://m.media-amazon.com/images/I/41MmsYTi06L._SX300_SY300_QL70_ML2_.jpg" TargetMode="External"/><Relationship Id="rId808" Type="http://schemas.openxmlformats.org/officeDocument/2006/relationships/hyperlink" Target="https://m.media-amazon.com/images/I/31NR4qCjJyL._SX300_SY300_QL70_FMwebp_.jpg" TargetMode="External"/><Relationship Id="rId807" Type="http://schemas.openxmlformats.org/officeDocument/2006/relationships/hyperlink" Target="https://m.media-amazon.com/images/W/WEBP_402378-T2/images/I/41aZf9i-QzL._SX300_SY300_QL70_FMwebp_.jpg" TargetMode="External"/><Relationship Id="rId806" Type="http://schemas.openxmlformats.org/officeDocument/2006/relationships/hyperlink" Target="https://m.media-amazon.com/images/I/31w-19-3fSL._SY300_SX300_QL70_FMwebp_.jpg" TargetMode="External"/><Relationship Id="rId805" Type="http://schemas.openxmlformats.org/officeDocument/2006/relationships/hyperlink" Target="https://m.media-amazon.com/images/I/41rfSd9spqL._SX300_SY300_QL70_FMwebp_.jpg" TargetMode="External"/><Relationship Id="rId809" Type="http://schemas.openxmlformats.org/officeDocument/2006/relationships/hyperlink" Target="https://m.media-amazon.com/images/I/41WggyozHQL._SX300_SY300_QL70_FMwebp_.jpg" TargetMode="External"/><Relationship Id="rId800" Type="http://schemas.openxmlformats.org/officeDocument/2006/relationships/hyperlink" Target="https://m.media-amazon.com/images/W/WEBP_402378-T1/images/I/31R5FtHMDiL._SY300_SX300_QL70_FMwebp_.jpg" TargetMode="External"/><Relationship Id="rId804" Type="http://schemas.openxmlformats.org/officeDocument/2006/relationships/hyperlink" Target="https://m.media-amazon.com/images/W/WEBP_402378-T1/images/I/41wL36XZGXL._SX300_SY300_QL70_FMwebp_.jpg" TargetMode="External"/><Relationship Id="rId803" Type="http://schemas.openxmlformats.org/officeDocument/2006/relationships/hyperlink" Target="https://m.media-amazon.com/images/W/WEBP_402378-T1/images/I/41Fqm0bR7PL._SX300_SY300_QL70_FMwebp_.jpg" TargetMode="External"/><Relationship Id="rId802" Type="http://schemas.openxmlformats.org/officeDocument/2006/relationships/hyperlink" Target="https://m.media-amazon.com/images/W/WEBP_402378-T2/images/I/411ZrOollDL._SX300_SY300_QL70_FMwebp_.jpg" TargetMode="External"/><Relationship Id="rId801" Type="http://schemas.openxmlformats.org/officeDocument/2006/relationships/hyperlink" Target="https://m.media-amazon.com/images/W/WEBP_402378-T1/images/I/413viCgpI+L._SY300_SX300_.jpg" TargetMode="External"/><Relationship Id="rId40" Type="http://schemas.openxmlformats.org/officeDocument/2006/relationships/hyperlink" Target="https://m.media-amazon.com/images/W/WEBP_402378-T1/images/I/41v5BQZzfAL._SX300_SY300_QL70_FMwebp_.jpg" TargetMode="External"/><Relationship Id="rId1334" Type="http://schemas.openxmlformats.org/officeDocument/2006/relationships/hyperlink" Target="https://m.media-amazon.com/images/W/WEBP_402378-T1/images/I/31l0oxTSJuL._SX300_SY300_QL70_FMwebp_.jpg" TargetMode="External"/><Relationship Id="rId1335" Type="http://schemas.openxmlformats.org/officeDocument/2006/relationships/hyperlink" Target="https://m.media-amazon.com/images/W/WEBP_402378-T1/images/I/41lGZWRZqOS._SX300_SY300_QL70_FMwebp_.jpg" TargetMode="External"/><Relationship Id="rId42" Type="http://schemas.openxmlformats.org/officeDocument/2006/relationships/hyperlink" Target="https://m.media-amazon.com/images/I/41nsy8kxWUL._SY300_SX300_QL70_FMwebp_.jpg" TargetMode="External"/><Relationship Id="rId1336" Type="http://schemas.openxmlformats.org/officeDocument/2006/relationships/hyperlink" Target="https://m.media-amazon.com/images/W/WEBP_402378-T1/images/I/310umqMFDRL._SX300_SY300_QL70_FMwebp_.jpg" TargetMode="External"/><Relationship Id="rId41" Type="http://schemas.openxmlformats.org/officeDocument/2006/relationships/hyperlink" Target="https://m.media-amazon.com/images/I/4101vlzySzL._SY300_SX300_QL70_FMwebp_.jpg" TargetMode="External"/><Relationship Id="rId1337" Type="http://schemas.openxmlformats.org/officeDocument/2006/relationships/hyperlink" Target="https://m.media-amazon.com/images/W/WEBP_402378-T1/images/I/41e5RU3gPHL._SX300_SY300_QL70_FMwebp_.jpg" TargetMode="External"/><Relationship Id="rId44" Type="http://schemas.openxmlformats.org/officeDocument/2006/relationships/hyperlink" Target="https://m.media-amazon.com/images/W/WEBP_402378-T2/images/I/31EHCPHbSlL._SX300_SY300_QL70_FMwebp_.jpg" TargetMode="External"/><Relationship Id="rId1338" Type="http://schemas.openxmlformats.org/officeDocument/2006/relationships/hyperlink" Target="https://m.media-amazon.com/images/I/319pDZDL+sL._SY300_SX300_.jpg" TargetMode="External"/><Relationship Id="rId43" Type="http://schemas.openxmlformats.org/officeDocument/2006/relationships/hyperlink" Target="https://m.media-amazon.com/images/W/WEBP_402378-T1/images/I/41rB0DnVFmL._SX300_SY300_QL70_FMwebp_.jpg" TargetMode="External"/><Relationship Id="rId1339" Type="http://schemas.openxmlformats.org/officeDocument/2006/relationships/hyperlink" Target="https://m.media-amazon.com/images/I/41bdE73aspL._SX300_SY300_QL70_FMwebp_.jpg" TargetMode="External"/><Relationship Id="rId46" Type="http://schemas.openxmlformats.org/officeDocument/2006/relationships/hyperlink" Target="https://m.media-amazon.com/images/W/WEBP_402378-T2/images/I/41CnR1WhD3L._SX300_SY300_QL70_FMwebp_.jpg" TargetMode="External"/><Relationship Id="rId45" Type="http://schemas.openxmlformats.org/officeDocument/2006/relationships/hyperlink" Target="https://m.media-amazon.com/images/I/31v7NnnAItL._SY445_SX342_QL70_FMwebp_.jpg" TargetMode="External"/><Relationship Id="rId509" Type="http://schemas.openxmlformats.org/officeDocument/2006/relationships/hyperlink" Target="https://m.media-amazon.com/images/I/41vjHoqVHJL._SX300_SY300_QL70_ML2_.jpg" TargetMode="External"/><Relationship Id="rId508" Type="http://schemas.openxmlformats.org/officeDocument/2006/relationships/hyperlink" Target="https://m.media-amazon.com/images/I/41g54hBpHkL._SY300_SX300_QL70_ML2_.jpg" TargetMode="External"/><Relationship Id="rId503" Type="http://schemas.openxmlformats.org/officeDocument/2006/relationships/hyperlink" Target="https://m.media-amazon.com/images/I/41u0PC4NajL._SX300_SY300_QL70_ML2_.jpg" TargetMode="External"/><Relationship Id="rId745" Type="http://schemas.openxmlformats.org/officeDocument/2006/relationships/hyperlink" Target="https://m.media-amazon.com/images/I/31oMWLNvoVS._SY300_SX300_QL70_FMwebp_.jpg" TargetMode="External"/><Relationship Id="rId987" Type="http://schemas.openxmlformats.org/officeDocument/2006/relationships/hyperlink" Target="https://m.media-amazon.com/images/I/31mYeD0VSTL._SX300_SY300_QL70_FMwebp_.jpg" TargetMode="External"/><Relationship Id="rId502" Type="http://schemas.openxmlformats.org/officeDocument/2006/relationships/hyperlink" Target="https://m.media-amazon.com/images/I/4121yWSVFmL._SX300_SY300_QL70_ML2_.jpg" TargetMode="External"/><Relationship Id="rId744" Type="http://schemas.openxmlformats.org/officeDocument/2006/relationships/hyperlink" Target="https://m.media-amazon.com/images/W/WEBP_402378-T1/images/I/31GrCGz9drL._SX300_SY300_QL70_FMwebp_.jpg" TargetMode="External"/><Relationship Id="rId986" Type="http://schemas.openxmlformats.org/officeDocument/2006/relationships/hyperlink" Target="https://m.media-amazon.com/images/I/41jlh3c7UbL._SX300_SY300_QL70_FMwebp_.jpg" TargetMode="External"/><Relationship Id="rId501" Type="http://schemas.openxmlformats.org/officeDocument/2006/relationships/hyperlink" Target="https://m.media-amazon.com/images/I/41XtHlbmOHL._SX300_SY300_QL70_ML2_.jpg" TargetMode="External"/><Relationship Id="rId743" Type="http://schemas.openxmlformats.org/officeDocument/2006/relationships/hyperlink" Target="https://m.media-amazon.com/images/W/WEBP_402378-T2/images/I/51JIngdPfEL._SX300_SY300_QL70_FMwebp_.jpg" TargetMode="External"/><Relationship Id="rId985" Type="http://schemas.openxmlformats.org/officeDocument/2006/relationships/hyperlink" Target="https://m.media-amazon.com/images/W/WEBP_402378-T2/images/I/31filqqY7-L._SX300_SY300_QL70_FMwebp_.jpg" TargetMode="External"/><Relationship Id="rId500" Type="http://schemas.openxmlformats.org/officeDocument/2006/relationships/hyperlink" Target="https://m.media-amazon.com/images/I/41iec5VPMlL._SX300_SY300_QL70_ML2_.jpg" TargetMode="External"/><Relationship Id="rId742" Type="http://schemas.openxmlformats.org/officeDocument/2006/relationships/hyperlink" Target="https://m.media-amazon.com/images/I/315g5ipEPAL._SY300_SX300_QL70_FMwebp_.jpg" TargetMode="External"/><Relationship Id="rId984" Type="http://schemas.openxmlformats.org/officeDocument/2006/relationships/hyperlink" Target="https://m.media-amazon.com/images/I/41gFqSHngyL._SX300_SY300_QL70_FMwebp_.jpg" TargetMode="External"/><Relationship Id="rId507" Type="http://schemas.openxmlformats.org/officeDocument/2006/relationships/hyperlink" Target="https://m.media-amazon.com/images/I/41GXZy6dLIL._SX300_SY300_QL70_ML2_.jpg" TargetMode="External"/><Relationship Id="rId749" Type="http://schemas.openxmlformats.org/officeDocument/2006/relationships/hyperlink" Target="https://m.media-amazon.com/images/I/41U9-x0JGPL._SX300_SY300_QL70_FMwebp_.jpg" TargetMode="External"/><Relationship Id="rId506" Type="http://schemas.openxmlformats.org/officeDocument/2006/relationships/hyperlink" Target="https://m.media-amazon.com/images/I/41kwROGAMEL._SX300_SY300_QL70_ML2_.jpg" TargetMode="External"/><Relationship Id="rId748" Type="http://schemas.openxmlformats.org/officeDocument/2006/relationships/hyperlink" Target="https://m.media-amazon.com/images/I/31luFfya0kL._SX300_SY300_QL70_FMwebp_.jpg" TargetMode="External"/><Relationship Id="rId505" Type="http://schemas.openxmlformats.org/officeDocument/2006/relationships/hyperlink" Target="https://m.media-amazon.com/images/I/4177nw8okbL._SX300_SY300_QL70_ML2_.jpg" TargetMode="External"/><Relationship Id="rId747" Type="http://schemas.openxmlformats.org/officeDocument/2006/relationships/hyperlink" Target="https://m.media-amazon.com/images/W/WEBP_402378-T1/images/I/313nBNJrT6L._SX300_SY300_QL70_FMwebp_.jpg" TargetMode="External"/><Relationship Id="rId989" Type="http://schemas.openxmlformats.org/officeDocument/2006/relationships/hyperlink" Target="https://m.media-amazon.com/images/I/51m3+9D6ZwL._SY300_SX300_.jpg" TargetMode="External"/><Relationship Id="rId504" Type="http://schemas.openxmlformats.org/officeDocument/2006/relationships/hyperlink" Target="https://m.media-amazon.com/images/I/41jk4zYjTsL._SX300_SY300_QL70_ML2_.jpg" TargetMode="External"/><Relationship Id="rId746" Type="http://schemas.openxmlformats.org/officeDocument/2006/relationships/hyperlink" Target="https://m.media-amazon.com/images/W/WEBP_402378-T2/images/I/41UD9vNsIjS._SX300_SY300_QL70_FMwebp_.jpg" TargetMode="External"/><Relationship Id="rId988" Type="http://schemas.openxmlformats.org/officeDocument/2006/relationships/hyperlink" Target="https://m.media-amazon.com/images/I/41p7lk3nj6L._SX300_SY300_QL70_FMwebp_.jpg" TargetMode="External"/><Relationship Id="rId48" Type="http://schemas.openxmlformats.org/officeDocument/2006/relationships/hyperlink" Target="https://m.media-amazon.com/images/I/41bCxnHksnL._SY300_SX300_QL70_FMwebp_.jpg" TargetMode="External"/><Relationship Id="rId47" Type="http://schemas.openxmlformats.org/officeDocument/2006/relationships/hyperlink" Target="https://m.media-amazon.com/images/I/31+NwZ8gb1L._SX300_SY300_.jpg" TargetMode="External"/><Relationship Id="rId49" Type="http://schemas.openxmlformats.org/officeDocument/2006/relationships/hyperlink" Target="https://m.media-amazon.com/images/W/WEBP_402378-T1/images/I/21rBnbHkW9L._SX300_SY300_QL70_FMwebp_.jpg" TargetMode="External"/><Relationship Id="rId741" Type="http://schemas.openxmlformats.org/officeDocument/2006/relationships/hyperlink" Target="https://m.media-amazon.com/images/W/WEBP_402378-T1/images/I/31bKIZtFGWL._SX300_SY300_QL70_FMwebp_.jpg" TargetMode="External"/><Relationship Id="rId983" Type="http://schemas.openxmlformats.org/officeDocument/2006/relationships/hyperlink" Target="https://m.media-amazon.com/images/I/51llGK9TR+L._SY300_SX300_.jpg" TargetMode="External"/><Relationship Id="rId1330" Type="http://schemas.openxmlformats.org/officeDocument/2006/relationships/hyperlink" Target="https://m.media-amazon.com/images/I/41Lfns2oFNL._SX300_SY300_QL70_FMwebp_.jpg" TargetMode="External"/><Relationship Id="rId740" Type="http://schemas.openxmlformats.org/officeDocument/2006/relationships/hyperlink" Target="https://m.media-amazon.com/images/I/41cRLg+wdIL._SY300_SX300_.jpg" TargetMode="External"/><Relationship Id="rId982" Type="http://schemas.openxmlformats.org/officeDocument/2006/relationships/hyperlink" Target="https://m.media-amazon.com/images/I/41Msi1CS2WL._SX300_SY300_QL70_FMwebp_.jpg" TargetMode="External"/><Relationship Id="rId1331" Type="http://schemas.openxmlformats.org/officeDocument/2006/relationships/hyperlink" Target="https://m.media-amazon.com/images/W/WEBP_402378-T1/images/I/21df9THeM-L._SX300_SY300_QL70_FMwebp_.jpg" TargetMode="External"/><Relationship Id="rId981" Type="http://schemas.openxmlformats.org/officeDocument/2006/relationships/hyperlink" Target="https://m.media-amazon.com/images/I/41No9BR7P0L._SX300_SY300_QL70_FMwebp_.jpg" TargetMode="External"/><Relationship Id="rId1332" Type="http://schemas.openxmlformats.org/officeDocument/2006/relationships/hyperlink" Target="https://m.media-amazon.com/images/I/41SWYTwG5-L._SX300_SY300_QL70_FMwebp_.jpg" TargetMode="External"/><Relationship Id="rId980" Type="http://schemas.openxmlformats.org/officeDocument/2006/relationships/hyperlink" Target="https://m.media-amazon.com/images/W/WEBP_402378-T1/images/I/41gztmbiIgL._SX300_SY300_QL70_FMwebp_.jpg" TargetMode="External"/><Relationship Id="rId1333" Type="http://schemas.openxmlformats.org/officeDocument/2006/relationships/hyperlink" Target="https://m.media-amazon.com/images/I/31YvxM2eDDL._SX300_SY300_QL70_FMwebp_.jpg" TargetMode="External"/><Relationship Id="rId1323" Type="http://schemas.openxmlformats.org/officeDocument/2006/relationships/hyperlink" Target="https://m.media-amazon.com/images/I/21954ou6hSL._SX300_SY300_QL70_FMwebp_.jpg" TargetMode="External"/><Relationship Id="rId1324" Type="http://schemas.openxmlformats.org/officeDocument/2006/relationships/hyperlink" Target="https://m.media-amazon.com/images/W/WEBP_402378-T1/images/I/41MrcJcvi3L._SX300_SY300_QL70_FMwebp_.jpg" TargetMode="External"/><Relationship Id="rId31" Type="http://schemas.openxmlformats.org/officeDocument/2006/relationships/hyperlink" Target="https://m.media-amazon.com/images/W/WEBP_402378-T2/images/I/41Fqm0bR7PL._SX300_SY300_QL70_FMwebp_.jpg" TargetMode="External"/><Relationship Id="rId1325" Type="http://schemas.openxmlformats.org/officeDocument/2006/relationships/hyperlink" Target="https://m.media-amazon.com/images/I/51SvK5l5JRL._SX300_SY300_QL70_FMwebp_.jpg" TargetMode="External"/><Relationship Id="rId30" Type="http://schemas.openxmlformats.org/officeDocument/2006/relationships/hyperlink" Target="https://m.media-amazon.com/images/I/41jk4zYjTsL._SX300_SY300_QL70_FMwebp_.jpg" TargetMode="External"/><Relationship Id="rId1326" Type="http://schemas.openxmlformats.org/officeDocument/2006/relationships/hyperlink" Target="https://m.media-amazon.com/images/I/31TnmukIucL._SX300_SY300_QL70_FMwebp_.jpg" TargetMode="External"/><Relationship Id="rId33" Type="http://schemas.openxmlformats.org/officeDocument/2006/relationships/hyperlink" Target="https://m.media-amazon.com/images/I/419QKVTxaSL._SX300_SY300_QL70_FMwebp_.jpg" TargetMode="External"/><Relationship Id="rId1327" Type="http://schemas.openxmlformats.org/officeDocument/2006/relationships/hyperlink" Target="https://m.media-amazon.com/images/W/WEBP_402378-T2/images/I/31991seDfcL._SY300_SX300_QL70_FMwebp_.jpg" TargetMode="External"/><Relationship Id="rId32" Type="http://schemas.openxmlformats.org/officeDocument/2006/relationships/hyperlink" Target="https://m.media-amazon.com/images/W/WEBP_402378-T1/images/I/41cCZ5EPnvL._SX300_SY300_QL70_FMwebp_.jpg" TargetMode="External"/><Relationship Id="rId1328" Type="http://schemas.openxmlformats.org/officeDocument/2006/relationships/hyperlink" Target="https://m.media-amazon.com/images/W/WEBP_402378-T1/images/I/41875hbgKyL._SY300_SX300_QL70_FMwebp_.jpg" TargetMode="External"/><Relationship Id="rId35" Type="http://schemas.openxmlformats.org/officeDocument/2006/relationships/hyperlink" Target="https://m.media-amazon.com/images/I/41wN7jooz0L._SX300_SY300_QL70_FMwebp_.jpg" TargetMode="External"/><Relationship Id="rId1329" Type="http://schemas.openxmlformats.org/officeDocument/2006/relationships/hyperlink" Target="https://m.media-amazon.com/images/W/WEBP_402378-T2/images/I/419H62Is66L._SX300_SY300_QL70_FMwebp_.jpg" TargetMode="External"/><Relationship Id="rId34" Type="http://schemas.openxmlformats.org/officeDocument/2006/relationships/hyperlink" Target="https://m.media-amazon.com/images/W/WEBP_402378-T1/images/I/11ICusapw3L._SY300_SX300_QL70_FMwebp_.jpg" TargetMode="External"/><Relationship Id="rId739" Type="http://schemas.openxmlformats.org/officeDocument/2006/relationships/hyperlink" Target="https://m.media-amazon.com/images/W/WEBP_402378-T1/images/I/41YjSD1XPoS._SY300_SX300_QL70_FMwebp_.jpg" TargetMode="External"/><Relationship Id="rId734" Type="http://schemas.openxmlformats.org/officeDocument/2006/relationships/hyperlink" Target="https://m.media-amazon.com/images/W/WEBP_402378-T1/images/I/41n2MqMIH5L._SX300_SY300_QL70_FMwebp_.jpg" TargetMode="External"/><Relationship Id="rId976" Type="http://schemas.openxmlformats.org/officeDocument/2006/relationships/hyperlink" Target="https://m.media-amazon.com/images/I/31s6OZfTO2L._SX300_SY300_QL70_FMwebp_.jpg" TargetMode="External"/><Relationship Id="rId733" Type="http://schemas.openxmlformats.org/officeDocument/2006/relationships/hyperlink" Target="https://m.media-amazon.com/images/I/41cOH84GhGL._SX300_SY300_QL70_FMwebp_.jpg" TargetMode="External"/><Relationship Id="rId975" Type="http://schemas.openxmlformats.org/officeDocument/2006/relationships/hyperlink" Target="https://m.media-amazon.com/images/W/WEBP_402378-T1/images/I/31-BRsjrvDL._SY300_SX300_QL70_FMwebp_.jpg" TargetMode="External"/><Relationship Id="rId732" Type="http://schemas.openxmlformats.org/officeDocument/2006/relationships/hyperlink" Target="https://m.media-amazon.com/images/I/41da4tk7N+L._SY300_SX300_.jpg" TargetMode="External"/><Relationship Id="rId974" Type="http://schemas.openxmlformats.org/officeDocument/2006/relationships/hyperlink" Target="https://m.media-amazon.com/images/I/31Yg8KP64NL._SX300_SY300_QL70_FMwebp_.jpg" TargetMode="External"/><Relationship Id="rId731" Type="http://schemas.openxmlformats.org/officeDocument/2006/relationships/hyperlink" Target="https://m.media-amazon.com/images/I/51RTfgkScMS._SX300_SY300_QL70_FMwebp_.jpg" TargetMode="External"/><Relationship Id="rId973" Type="http://schemas.openxmlformats.org/officeDocument/2006/relationships/hyperlink" Target="https://m.media-amazon.com/images/I/31Wm6eo+yYL._SY300_SX300_.jpg" TargetMode="External"/><Relationship Id="rId738" Type="http://schemas.openxmlformats.org/officeDocument/2006/relationships/hyperlink" Target="https://m.media-amazon.com/images/I/41tLaG2nSpL._SX300_SY300_QL70_FMwebp_.jpg" TargetMode="External"/><Relationship Id="rId737" Type="http://schemas.openxmlformats.org/officeDocument/2006/relationships/hyperlink" Target="https://m.media-amazon.com/images/W/WEBP_402378-T1/images/I/314QZXF1dHL._SY300_SX300_QL70_FMwebp_.jpg" TargetMode="External"/><Relationship Id="rId979" Type="http://schemas.openxmlformats.org/officeDocument/2006/relationships/hyperlink" Target="https://m.media-amazon.com/images/W/WEBP_402378-T1/images/I/41AKgxsBONL._SY300_SX300_QL70_FMwebp_.jpg" TargetMode="External"/><Relationship Id="rId736" Type="http://schemas.openxmlformats.org/officeDocument/2006/relationships/hyperlink" Target="https://m.media-amazon.com/images/I/31SKRsp7Y1L._SX300_SY300_QL70_FMwebp_.jpg" TargetMode="External"/><Relationship Id="rId978" Type="http://schemas.openxmlformats.org/officeDocument/2006/relationships/hyperlink" Target="https://m.media-amazon.com/images/W/WEBP_402378-T2/images/I/31VnhITYb+L._SY300_SX300_.jpg" TargetMode="External"/><Relationship Id="rId735" Type="http://schemas.openxmlformats.org/officeDocument/2006/relationships/hyperlink" Target="https://m.media-amazon.com/images/I/31CtVvtFt+L._SY300_SX300_.jpg" TargetMode="External"/><Relationship Id="rId977" Type="http://schemas.openxmlformats.org/officeDocument/2006/relationships/hyperlink" Target="https://m.media-amazon.com/images/I/31jUKdJdjHL._SX300_SY300_QL70_FMwebp_.jpg" TargetMode="External"/><Relationship Id="rId37" Type="http://schemas.openxmlformats.org/officeDocument/2006/relationships/hyperlink" Target="https://m.media-amazon.com/images/I/3183iGEWksL._SX300_SY300_QL70_FMwebp_.jpg" TargetMode="External"/><Relationship Id="rId36" Type="http://schemas.openxmlformats.org/officeDocument/2006/relationships/hyperlink" Target="https://m.media-amazon.com/images/W/WEBP_402378-T1/images/I/31ew3okQR2L._SX300_SY300_QL70_FMwebp_.jpg" TargetMode="External"/><Relationship Id="rId39" Type="http://schemas.openxmlformats.org/officeDocument/2006/relationships/hyperlink" Target="https://m.media-amazon.com/images/I/51hQfTroMzL._SX300_SY300_QL70_FMwebp_.jpg" TargetMode="External"/><Relationship Id="rId38" Type="http://schemas.openxmlformats.org/officeDocument/2006/relationships/hyperlink" Target="https://m.media-amazon.com/images/W/WEBP_402378-T1/images/I/41P2EdQI1ZL._SY445_SX342_QL70_FMwebp_.jpg" TargetMode="External"/><Relationship Id="rId730" Type="http://schemas.openxmlformats.org/officeDocument/2006/relationships/hyperlink" Target="https://m.media-amazon.com/images/W/WEBP_402378-T2/images/I/31ylgpMYDwL._SX300_SY300_QL70_FMwebp_.jpg" TargetMode="External"/><Relationship Id="rId972" Type="http://schemas.openxmlformats.org/officeDocument/2006/relationships/hyperlink" Target="https://m.media-amazon.com/images/W/WEBP_402378-T1/images/I/41BDLm8-jLL._SX300_SY300_QL70_FMwebp_.jpg" TargetMode="External"/><Relationship Id="rId971" Type="http://schemas.openxmlformats.org/officeDocument/2006/relationships/hyperlink" Target="https://m.media-amazon.com/images/W/WEBP_402378-T1/images/I/21m+6LxEnOL._SY300_SX300_.jpg" TargetMode="External"/><Relationship Id="rId1320" Type="http://schemas.openxmlformats.org/officeDocument/2006/relationships/hyperlink" Target="https://m.media-amazon.com/images/I/314V87LweLL._SX300_SY300_QL70_FMwebp_.jpg" TargetMode="External"/><Relationship Id="rId970" Type="http://schemas.openxmlformats.org/officeDocument/2006/relationships/hyperlink" Target="https://m.media-amazon.com/images/W/WEBP_402378-T1/images/I/41Gt21tmhTL._SX300_SY300_QL70_FMwebp_.jpg" TargetMode="External"/><Relationship Id="rId1321" Type="http://schemas.openxmlformats.org/officeDocument/2006/relationships/hyperlink" Target="https://m.media-amazon.com/images/W/WEBP_402378-T1/images/I/31RZz5dsEVL._SX300_SY300_QL70_FMwebp_.jpg" TargetMode="External"/><Relationship Id="rId1322" Type="http://schemas.openxmlformats.org/officeDocument/2006/relationships/hyperlink" Target="https://m.media-amazon.com/images/I/316y4IIKD6L._SX300_SY300_QL70_FMwebp_.jpg" TargetMode="External"/><Relationship Id="rId1114" Type="http://schemas.openxmlformats.org/officeDocument/2006/relationships/hyperlink" Target="https://m.media-amazon.com/images/I/41A8H7PSidL._SY300_SX300_QL70_FMwebp_.jpg" TargetMode="External"/><Relationship Id="rId1356" Type="http://schemas.openxmlformats.org/officeDocument/2006/relationships/hyperlink" Target="https://m.media-amazon.com/images/I/41WfA7FDnzL._SX300_SY300_QL70_FMwebp_.jpg" TargetMode="External"/><Relationship Id="rId1115" Type="http://schemas.openxmlformats.org/officeDocument/2006/relationships/hyperlink" Target="https://m.media-amazon.com/images/I/31eyLyEftOL._SX300_SY300_QL70_FMwebp_.jpg" TargetMode="External"/><Relationship Id="rId1357" Type="http://schemas.openxmlformats.org/officeDocument/2006/relationships/hyperlink" Target="https://m.media-amazon.com/images/W/WEBP_402378-T2/images/I/411NB1EXJNL._SY300_SX300_QL70_FMwebp_.jpg" TargetMode="External"/><Relationship Id="rId20" Type="http://schemas.openxmlformats.org/officeDocument/2006/relationships/hyperlink" Target="https://m.media-amazon.com/images/W/WEBP_402378-T2/images/I/51v-2Nzr+ML._SY300_SX300_.jpg" TargetMode="External"/><Relationship Id="rId1116" Type="http://schemas.openxmlformats.org/officeDocument/2006/relationships/hyperlink" Target="https://m.media-amazon.com/images/I/41wqOJ5t9QL._SX300_SY300_QL70_FMwebp_.jpg" TargetMode="External"/><Relationship Id="rId1358" Type="http://schemas.openxmlformats.org/officeDocument/2006/relationships/hyperlink" Target="https://m.media-amazon.com/images/W/WEBP_402378-T2/images/I/51kEztAe73L._SX300_SY300_QL70_FMwebp_.jpg" TargetMode="External"/><Relationship Id="rId1117" Type="http://schemas.openxmlformats.org/officeDocument/2006/relationships/hyperlink" Target="https://m.media-amazon.com/images/W/WEBP_402378-T1/images/I/31D9nttNSPL._SX300_SY300_QL70_FMwebp_.jpg" TargetMode="External"/><Relationship Id="rId1359" Type="http://schemas.openxmlformats.org/officeDocument/2006/relationships/hyperlink" Target="https://m.media-amazon.com/images/W/WEBP_402378-T1/images/I/315uFBgWK3L._SX300_SY300_QL70_FMwebp_.jpg" TargetMode="External"/><Relationship Id="rId22" Type="http://schemas.openxmlformats.org/officeDocument/2006/relationships/hyperlink" Target="https://m.media-amazon.com/images/W/WEBP_402378-T1/images/I/31MIyzg8uzL._SX300_SY300_QL70_FMwebp_.jpg" TargetMode="External"/><Relationship Id="rId1118" Type="http://schemas.openxmlformats.org/officeDocument/2006/relationships/hyperlink" Target="https://m.media-amazon.com/images/W/WEBP_402378-T1/images/I/31iBzpNszEL._SX300_SY300_QL70_FMwebp_.jpg" TargetMode="External"/><Relationship Id="rId21" Type="http://schemas.openxmlformats.org/officeDocument/2006/relationships/hyperlink" Target="https://m.media-amazon.com/images/W/WEBP_402378-T1/images/I/41TZJiPRRwL._SX300_SY300_QL70_FMwebp_.jpg" TargetMode="External"/><Relationship Id="rId1119" Type="http://schemas.openxmlformats.org/officeDocument/2006/relationships/hyperlink" Target="https://m.media-amazon.com/images/I/31uLbVqjaqL._SX300_SY300_QL70_FMwebp_.jpg" TargetMode="External"/><Relationship Id="rId24" Type="http://schemas.openxmlformats.org/officeDocument/2006/relationships/hyperlink" Target="https://m.media-amazon.com/images/I/31qGpf8uzuL._SY445_SX342_QL70_FMwebp_.jpg" TargetMode="External"/><Relationship Id="rId23" Type="http://schemas.openxmlformats.org/officeDocument/2006/relationships/hyperlink" Target="https://m.media-amazon.com/images/W/WEBP_402378-T1/images/I/51q3+E64azL._SX300_SY300_.jpg" TargetMode="External"/><Relationship Id="rId525" Type="http://schemas.openxmlformats.org/officeDocument/2006/relationships/hyperlink" Target="https://m.media-amazon.com/images/I/31xJT-3ZAkL._SX300_SY300_QL70_ML2_.jpg" TargetMode="External"/><Relationship Id="rId767" Type="http://schemas.openxmlformats.org/officeDocument/2006/relationships/hyperlink" Target="https://m.media-amazon.com/images/W/WEBP_402378-T2/images/I/416+IXsM9lL._SY300_SX300_.jpg" TargetMode="External"/><Relationship Id="rId524" Type="http://schemas.openxmlformats.org/officeDocument/2006/relationships/hyperlink" Target="https://m.media-amazon.com/images/I/31+GLbqRPtL._SY300_SX300_.jpg" TargetMode="External"/><Relationship Id="rId766" Type="http://schemas.openxmlformats.org/officeDocument/2006/relationships/hyperlink" Target="https://m.media-amazon.com/images/I/41Ae67XZACL._SX300_SY300_QL70_FMwebp_.jpg" TargetMode="External"/><Relationship Id="rId523" Type="http://schemas.openxmlformats.org/officeDocument/2006/relationships/hyperlink" Target="https://m.media-amazon.com/images/I/412VyMavsJL._SX300_SY300_QL70_ML2_.jpg" TargetMode="External"/><Relationship Id="rId765" Type="http://schemas.openxmlformats.org/officeDocument/2006/relationships/hyperlink" Target="https://m.media-amazon.com/images/I/315HWKLDHlL._SY300_SX300_QL70_FMwebp_.jpg" TargetMode="External"/><Relationship Id="rId522" Type="http://schemas.openxmlformats.org/officeDocument/2006/relationships/hyperlink" Target="https://m.media-amazon.com/images/I/41R0DrIbTNL._SX300_SY300_QL70_ML2_.jpg" TargetMode="External"/><Relationship Id="rId764" Type="http://schemas.openxmlformats.org/officeDocument/2006/relationships/hyperlink" Target="https://m.media-amazon.com/images/W/WEBP_402378-T2/images/I/41KB80oxxfL._SX300_SY300_QL70_FMwebp_.jpg" TargetMode="External"/><Relationship Id="rId529" Type="http://schemas.openxmlformats.org/officeDocument/2006/relationships/hyperlink" Target="https://m.media-amazon.com/images/I/51WJbMPuROL._SX300_SY300_QL70_ML2_.jpg" TargetMode="External"/><Relationship Id="rId528" Type="http://schemas.openxmlformats.org/officeDocument/2006/relationships/hyperlink" Target="https://m.media-amazon.com/images/I/41bFp+Wev+L._SY300_SX300_.jpg" TargetMode="External"/><Relationship Id="rId527" Type="http://schemas.openxmlformats.org/officeDocument/2006/relationships/hyperlink" Target="https://m.media-amazon.com/images/I/31LVAoe3VNL._SX300_SY300_QL70_ML2_.jpg" TargetMode="External"/><Relationship Id="rId769" Type="http://schemas.openxmlformats.org/officeDocument/2006/relationships/hyperlink" Target="https://m.media-amazon.com/images/I/41GeM83DzzL._SX300_SY300_QL70_FMwebp_.jpg" TargetMode="External"/><Relationship Id="rId526" Type="http://schemas.openxmlformats.org/officeDocument/2006/relationships/hyperlink" Target="https://m.media-amazon.com/images/I/41LDspRanIL._SX300_SY300_QL70_ML2_.jpg" TargetMode="External"/><Relationship Id="rId768" Type="http://schemas.openxmlformats.org/officeDocument/2006/relationships/hyperlink" Target="https://m.media-amazon.com/images/W/WEBP_402378-T2/images/I/512Lrv2A-pL._SX300_SY300_QL70_FMwebp_.jpg" TargetMode="External"/><Relationship Id="rId26" Type="http://schemas.openxmlformats.org/officeDocument/2006/relationships/hyperlink" Target="https://m.media-amazon.com/images/I/41da4tk7N+L._SY300_SX300_.jpg" TargetMode="External"/><Relationship Id="rId25" Type="http://schemas.openxmlformats.org/officeDocument/2006/relationships/hyperlink" Target="https://m.media-amazon.com/images/I/41gikeSuhAL._SY300_SX300_QL70_FMwebp_.jpg" TargetMode="External"/><Relationship Id="rId28" Type="http://schemas.openxmlformats.org/officeDocument/2006/relationships/hyperlink" Target="https://m.media-amazon.com/images/W/WEBP_402378-T2/images/I/41GeM83DzzL._SX300_SY300_QL70_FMwebp_.jpg" TargetMode="External"/><Relationship Id="rId1350" Type="http://schemas.openxmlformats.org/officeDocument/2006/relationships/hyperlink" Target="https://m.media-amazon.com/images/W/WEBP_402378-T2/images/I/41RI-hzCnvL._SY300_SX300_QL70_FMwebp_.jpg" TargetMode="External"/><Relationship Id="rId27" Type="http://schemas.openxmlformats.org/officeDocument/2006/relationships/hyperlink" Target="https://m.media-amazon.com/images/W/WEBP_402378-T2/images/I/41WE9ZGEC4L._SX300_SY300_QL70_FMwebp_.jpg" TargetMode="External"/><Relationship Id="rId1351" Type="http://schemas.openxmlformats.org/officeDocument/2006/relationships/hyperlink" Target="https://m.media-amazon.com/images/W/WEBP_402378-T1/images/I/21vWJo4CXKL._SX300_SY300_QL70_FMwebp_.jpg" TargetMode="External"/><Relationship Id="rId521" Type="http://schemas.openxmlformats.org/officeDocument/2006/relationships/hyperlink" Target="https://m.media-amazon.com/images/I/318wXJER9zL._SX300_SY300_QL70_ML2_.jpg" TargetMode="External"/><Relationship Id="rId763" Type="http://schemas.openxmlformats.org/officeDocument/2006/relationships/hyperlink" Target="https://m.media-amazon.com/images/W/WEBP_402378-T2/images/I/41hmoJUQTuL._SX300_SY300_QL70_FMwebp_.jpg" TargetMode="External"/><Relationship Id="rId1110" Type="http://schemas.openxmlformats.org/officeDocument/2006/relationships/hyperlink" Target="https://m.media-amazon.com/images/W/WEBP_402378-T2/images/I/31nZs1BL4tL._SX300_SY300_QL70_FMwebp_.jpg" TargetMode="External"/><Relationship Id="rId1352" Type="http://schemas.openxmlformats.org/officeDocument/2006/relationships/hyperlink" Target="https://m.media-amazon.com/images/I/41Yb7bZL3nL._SX300_SY300_QL70_FMwebp_.jpg" TargetMode="External"/><Relationship Id="rId29" Type="http://schemas.openxmlformats.org/officeDocument/2006/relationships/hyperlink" Target="https://m.media-amazon.com/images/W/WEBP_402378-T2/images/I/4177nw8okbL._SX300_SY300_QL70_FMwebp_.jpg" TargetMode="External"/><Relationship Id="rId520" Type="http://schemas.openxmlformats.org/officeDocument/2006/relationships/hyperlink" Target="https://m.media-amazon.com/images/I/31efS1bi1vL._SX300_SY300_QL70_ML2_.jpg" TargetMode="External"/><Relationship Id="rId762" Type="http://schemas.openxmlformats.org/officeDocument/2006/relationships/hyperlink" Target="https://m.media-amazon.com/images/W/WEBP_402378-T1/images/I/51mCZQzY6SL._SX300_SY300_QL70_FMwebp_.jpg" TargetMode="External"/><Relationship Id="rId1111" Type="http://schemas.openxmlformats.org/officeDocument/2006/relationships/hyperlink" Target="https://m.media-amazon.com/images/W/WEBP_402378-T2/images/I/415mgfOmzUS._SX300_SY300_QL70_FMwebp_.jpg" TargetMode="External"/><Relationship Id="rId1353" Type="http://schemas.openxmlformats.org/officeDocument/2006/relationships/hyperlink" Target="https://m.media-amazon.com/images/W/WEBP_402378-T1/images/I/41buv8eJQtL._SX300_SY300_QL70_FMwebp_.jpg" TargetMode="External"/><Relationship Id="rId761" Type="http://schemas.openxmlformats.org/officeDocument/2006/relationships/hyperlink" Target="https://m.media-amazon.com/images/I/3101FmUqUOL._SX300_SY300_QL70_FMwebp_.jpg" TargetMode="External"/><Relationship Id="rId1112" Type="http://schemas.openxmlformats.org/officeDocument/2006/relationships/hyperlink" Target="https://m.media-amazon.com/images/W/WEBP_402378-T1/images/I/31CLpobJstL._SY300_SX300_QL70_FMwebp_.jpg" TargetMode="External"/><Relationship Id="rId1354" Type="http://schemas.openxmlformats.org/officeDocument/2006/relationships/hyperlink" Target="https://m.media-amazon.com/images/I/31Ex4oSr8RL._SX300_SY300_QL70_FMwebp_.jpg" TargetMode="External"/><Relationship Id="rId760" Type="http://schemas.openxmlformats.org/officeDocument/2006/relationships/hyperlink" Target="https://m.media-amazon.com/images/W/WEBP_402378-T2/images/I/31SAqKSRWyL._SX300_SY300_QL70_FMwebp_.jpg" TargetMode="External"/><Relationship Id="rId1113" Type="http://schemas.openxmlformats.org/officeDocument/2006/relationships/hyperlink" Target="https://m.media-amazon.com/images/I/41v9yj848iL._SX300_SY300_QL70_FMwebp_.jpg" TargetMode="External"/><Relationship Id="rId1355" Type="http://schemas.openxmlformats.org/officeDocument/2006/relationships/hyperlink" Target="https://m.media-amazon.com/images/I/21ywp-zfTjL._SY445_SX342_QL70_FMwebp_.jpg" TargetMode="External"/><Relationship Id="rId1103" Type="http://schemas.openxmlformats.org/officeDocument/2006/relationships/hyperlink" Target="https://m.media-amazon.com/images/I/416ICdLhYGL._SX300_SY300_QL70_FMwebp_.jpg" TargetMode="External"/><Relationship Id="rId1345" Type="http://schemas.openxmlformats.org/officeDocument/2006/relationships/hyperlink" Target="https://m.media-amazon.com/images/W/WEBP_402378-T1/images/I/51y3Y6qZScL._SY300_SX300_QL70_FMwebp_.jpg" TargetMode="External"/><Relationship Id="rId1104" Type="http://schemas.openxmlformats.org/officeDocument/2006/relationships/hyperlink" Target="https://m.media-amazon.com/images/I/31XMh-zc1IL._SX300_SY300_QL70_FMwebp_.jpg" TargetMode="External"/><Relationship Id="rId1346" Type="http://schemas.openxmlformats.org/officeDocument/2006/relationships/hyperlink" Target="https://m.media-amazon.com/images/I/41-iQHWCwHL._SX300_SY300_QL70_FMwebp_.jpg" TargetMode="External"/><Relationship Id="rId1105" Type="http://schemas.openxmlformats.org/officeDocument/2006/relationships/hyperlink" Target="https://m.media-amazon.com/images/W/WEBP_402378-T1/images/I/416t5HILjUL._SX300_SY300_QL70_FMwebp_.jpg" TargetMode="External"/><Relationship Id="rId1347" Type="http://schemas.openxmlformats.org/officeDocument/2006/relationships/hyperlink" Target="https://m.media-amazon.com/images/W/WEBP_402378-T1/images/I/31oK2IDhhLL._SX300_SY300_QL70_FMwebp_.jpg" TargetMode="External"/><Relationship Id="rId1106" Type="http://schemas.openxmlformats.org/officeDocument/2006/relationships/hyperlink" Target="https://m.media-amazon.com/images/W/WEBP_402378-T2/images/I/41WyoT08raL._SX300_SY300_QL70_FMwebp_.jpg" TargetMode="External"/><Relationship Id="rId1348" Type="http://schemas.openxmlformats.org/officeDocument/2006/relationships/hyperlink" Target="https://m.media-amazon.com/images/I/41qqrzjPySL._SX300_SY300_QL70_FMwebp_.jpg" TargetMode="External"/><Relationship Id="rId11" Type="http://schemas.openxmlformats.org/officeDocument/2006/relationships/hyperlink" Target="https://m.media-amazon.com/images/I/31dJ+lXJq3L._SY300_SX300_.jpg" TargetMode="External"/><Relationship Id="rId1107" Type="http://schemas.openxmlformats.org/officeDocument/2006/relationships/hyperlink" Target="https://m.media-amazon.com/images/W/WEBP_402378-T2/images/I/21OWOIM1wML._SX300_SY300_QL70_FMwebp_.jpg" TargetMode="External"/><Relationship Id="rId1349" Type="http://schemas.openxmlformats.org/officeDocument/2006/relationships/hyperlink" Target="https://m.media-amazon.com/images/I/31kbrfC16XL._SX300_SY300_QL70_FMwebp_.jpg" TargetMode="External"/><Relationship Id="rId10" Type="http://schemas.openxmlformats.org/officeDocument/2006/relationships/hyperlink" Target="https://m.media-amazon.com/images/W/WEBP_402378-T2/images/I/31kj3q4SepL._SY445_SX342_QL70_FMwebp_.jpg" TargetMode="External"/><Relationship Id="rId1108" Type="http://schemas.openxmlformats.org/officeDocument/2006/relationships/hyperlink" Target="https://m.media-amazon.com/images/I/41yKM0rHKQL._SX300_SY300_QL70_FMwebp_.jpg" TargetMode="External"/><Relationship Id="rId13" Type="http://schemas.openxmlformats.org/officeDocument/2006/relationships/hyperlink" Target="https://m.media-amazon.com/images/I/41nPYaWA+ML._SY300_SX300_.jpg" TargetMode="External"/><Relationship Id="rId1109" Type="http://schemas.openxmlformats.org/officeDocument/2006/relationships/hyperlink" Target="https://m.media-amazon.com/images/W/WEBP_402378-T1/images/I/410d2Vda6QS._SY300_SX300_QL70_FMwebp_.jpg" TargetMode="External"/><Relationship Id="rId12" Type="http://schemas.openxmlformats.org/officeDocument/2006/relationships/hyperlink" Target="https://m.media-amazon.com/images/I/41SDfuK7L2L._SX300_SY300_QL70_FMwebp_.jpg" TargetMode="External"/><Relationship Id="rId519" Type="http://schemas.openxmlformats.org/officeDocument/2006/relationships/hyperlink" Target="https://m.media-amazon.com/images/I/3183iGEWksL._SX300_SY300_QL70_ML2_.jpg" TargetMode="External"/><Relationship Id="rId514" Type="http://schemas.openxmlformats.org/officeDocument/2006/relationships/hyperlink" Target="https://m.media-amazon.com/images/I/31OgHTags6L._SX300_SY300_QL70_ML2_.jpg" TargetMode="External"/><Relationship Id="rId756" Type="http://schemas.openxmlformats.org/officeDocument/2006/relationships/hyperlink" Target="https://m.media-amazon.com/images/I/31R4HANvX2L._SY300_SX300_QL70_FMwebp_.jpg" TargetMode="External"/><Relationship Id="rId998" Type="http://schemas.openxmlformats.org/officeDocument/2006/relationships/hyperlink" Target="https://m.media-amazon.com/images/W/WEBP_402378-T2/images/I/31vg0FKWoUL._SX300_SY300_QL70_FMwebp_.jpg" TargetMode="External"/><Relationship Id="rId513" Type="http://schemas.openxmlformats.org/officeDocument/2006/relationships/hyperlink" Target="https://m.media-amazon.com/images/I/41OEfM3qYLL._SX300_SY300_QL70_ML2_.jpg" TargetMode="External"/><Relationship Id="rId755" Type="http://schemas.openxmlformats.org/officeDocument/2006/relationships/hyperlink" Target="https://m.media-amazon.com/images/I/41GogihEYeL._SX300_SY300_QL70_FMwebp_.jpg" TargetMode="External"/><Relationship Id="rId997" Type="http://schemas.openxmlformats.org/officeDocument/2006/relationships/hyperlink" Target="https://m.media-amazon.com/images/W/WEBP_402378-T2/images/I/412fxJY-gxL._SX300_SY300_QL70_FMwebp_.jpg" TargetMode="External"/><Relationship Id="rId512" Type="http://schemas.openxmlformats.org/officeDocument/2006/relationships/hyperlink" Target="https://m.media-amazon.com/images/I/417k0DCw0GL._SX300_SY300_QL70_ML2_.jpg" TargetMode="External"/><Relationship Id="rId754" Type="http://schemas.openxmlformats.org/officeDocument/2006/relationships/hyperlink" Target="https://m.media-amazon.com/images/I/41Qf-pUQr9L._SX300_SY300_QL70_FMwebp_.jpg" TargetMode="External"/><Relationship Id="rId996" Type="http://schemas.openxmlformats.org/officeDocument/2006/relationships/hyperlink" Target="https://m.media-amazon.com/images/I/41LWT2NmHXL._SX300_SY300_QL70_FMwebp_.jpg" TargetMode="External"/><Relationship Id="rId511" Type="http://schemas.openxmlformats.org/officeDocument/2006/relationships/hyperlink" Target="https://m.media-amazon.com/images/I/41zs4v3adaL._SX300_SY300_QL70_ML2_.jpg" TargetMode="External"/><Relationship Id="rId753" Type="http://schemas.openxmlformats.org/officeDocument/2006/relationships/hyperlink" Target="https://m.media-amazon.com/images/I/21qdAZyu9xL._SX300_SY300_QL70_FMwebp_.jpg" TargetMode="External"/><Relationship Id="rId995" Type="http://schemas.openxmlformats.org/officeDocument/2006/relationships/hyperlink" Target="https://m.media-amazon.com/images/I/41n3-joTUHL._SX300_SY300_QL70_FMwebp_.jpg" TargetMode="External"/><Relationship Id="rId518" Type="http://schemas.openxmlformats.org/officeDocument/2006/relationships/hyperlink" Target="https://m.media-amazon.com/images/I/41-IPkI1Y5L._SX300_SY300_QL70_ML2_.jpg" TargetMode="External"/><Relationship Id="rId517" Type="http://schemas.openxmlformats.org/officeDocument/2006/relationships/hyperlink" Target="https://m.media-amazon.com/images/I/412DrCgktiL._SX300_SY300_QL70_ML2_.jpg" TargetMode="External"/><Relationship Id="rId759" Type="http://schemas.openxmlformats.org/officeDocument/2006/relationships/hyperlink" Target="https://m.media-amazon.com/images/I/51r+g8fFJsL._SX300_SY300_.jpg" TargetMode="External"/><Relationship Id="rId516" Type="http://schemas.openxmlformats.org/officeDocument/2006/relationships/hyperlink" Target="https://m.media-amazon.com/images/I/41DgrxyBPTL._SX300_SY300_QL70_ML2_.jpg" TargetMode="External"/><Relationship Id="rId758" Type="http://schemas.openxmlformats.org/officeDocument/2006/relationships/hyperlink" Target="https://m.media-amazon.com/images/W/WEBP_402378-T1/images/I/4127NZ2xG6L._SX300_SY300_QL70_FMwebp_.jpg" TargetMode="External"/><Relationship Id="rId515" Type="http://schemas.openxmlformats.org/officeDocument/2006/relationships/hyperlink" Target="https://m.media-amazon.com/images/I/31ew3okQR2L._SX300_SY300_QL70_ML2_.jpg" TargetMode="External"/><Relationship Id="rId757" Type="http://schemas.openxmlformats.org/officeDocument/2006/relationships/hyperlink" Target="https://m.media-amazon.com/images/W/WEBP_402378-T1/images/I/41c7bJo7ooL._SX300_SY300_QL70_FMwebp_.jpg" TargetMode="External"/><Relationship Id="rId999" Type="http://schemas.openxmlformats.org/officeDocument/2006/relationships/hyperlink" Target="https://m.media-amazon.com/images/I/31aoDL5YfNL._SX300_SY300_QL70_FMwebp_.jpg" TargetMode="External"/><Relationship Id="rId15" Type="http://schemas.openxmlformats.org/officeDocument/2006/relationships/hyperlink" Target="https://m.media-amazon.com/images/W/WEBP_402378-T2/images/I/41R08zLK69L._SX300_SY300_QL70_FMwebp_.jpg" TargetMode="External"/><Relationship Id="rId990" Type="http://schemas.openxmlformats.org/officeDocument/2006/relationships/hyperlink" Target="https://m.media-amazon.com/images/I/41QtHHI0rXL._SX300_SY300_QL70_FMwebp_.jpg" TargetMode="External"/><Relationship Id="rId14" Type="http://schemas.openxmlformats.org/officeDocument/2006/relationships/hyperlink" Target="https://m.media-amazon.com/images/I/31J6qGhAL9L._SX300_SY300_QL70_FMwebp_.jpg" TargetMode="External"/><Relationship Id="rId17" Type="http://schemas.openxmlformats.org/officeDocument/2006/relationships/hyperlink" Target="https://m.media-amazon.com/images/I/51fmHk3km+L._SX300_SY300_.jpg" TargetMode="External"/><Relationship Id="rId16" Type="http://schemas.openxmlformats.org/officeDocument/2006/relationships/hyperlink" Target="https://m.media-amazon.com/images/W/WEBP_402378-T1/images/I/31gaP7qpBNL._SX300_SY300_QL70_FMwebp_.jpg" TargetMode="External"/><Relationship Id="rId1340" Type="http://schemas.openxmlformats.org/officeDocument/2006/relationships/hyperlink" Target="https://m.media-amazon.com/images/W/WEBP_402378-T2/images/I/31pzC6I+bEL._SY300_SX300_.jpg" TargetMode="External"/><Relationship Id="rId19" Type="http://schemas.openxmlformats.org/officeDocument/2006/relationships/hyperlink" Target="https://m.media-amazon.com/images/W/WEBP_402378-T1/images/I/41xwPQLxTML._SX300_SY300_QL70_FMwebp_.jpg" TargetMode="External"/><Relationship Id="rId510" Type="http://schemas.openxmlformats.org/officeDocument/2006/relationships/hyperlink" Target="https://m.media-amazon.com/images/I/411yU+n3UkL._SY300_SX300_.jpg" TargetMode="External"/><Relationship Id="rId752" Type="http://schemas.openxmlformats.org/officeDocument/2006/relationships/hyperlink" Target="https://m.media-amazon.com/images/I/41O4rjSlneL._SY300_SX300_QL70_FMwebp_.jpg" TargetMode="External"/><Relationship Id="rId994" Type="http://schemas.openxmlformats.org/officeDocument/2006/relationships/hyperlink" Target="https://m.media-amazon.com/images/I/21t8TMvuq6L._SX300_SY300_QL70_FMwebp_.jpg" TargetMode="External"/><Relationship Id="rId1341" Type="http://schemas.openxmlformats.org/officeDocument/2006/relationships/hyperlink" Target="https://m.media-amazon.com/images/I/41VYlxCZqLL._SX300_SY300_QL70_FMwebp_.jpg" TargetMode="External"/><Relationship Id="rId18" Type="http://schemas.openxmlformats.org/officeDocument/2006/relationships/hyperlink" Target="https://m.media-amazon.com/images/I/41d84o5-M-L._SY445_SX342_QL70_FMwebp_.jpg" TargetMode="External"/><Relationship Id="rId751" Type="http://schemas.openxmlformats.org/officeDocument/2006/relationships/hyperlink" Target="https://m.media-amazon.com/images/W/WEBP_402378-T2/images/I/517nCRsjYeL._SX300_SY300_QL70_FMwebp_.jpg" TargetMode="External"/><Relationship Id="rId993" Type="http://schemas.openxmlformats.org/officeDocument/2006/relationships/hyperlink" Target="https://m.media-amazon.com/images/I/31l-eZHBfKL._SX300_SY300_QL70_FMwebp_.jpg" TargetMode="External"/><Relationship Id="rId1100" Type="http://schemas.openxmlformats.org/officeDocument/2006/relationships/hyperlink" Target="https://m.media-amazon.com/images/W/WEBP_402378-T1/images/I/31TLru4LT8L._SX300_SY300_QL70_FMwebp_.jpg" TargetMode="External"/><Relationship Id="rId1342" Type="http://schemas.openxmlformats.org/officeDocument/2006/relationships/hyperlink" Target="https://m.media-amazon.com/images/I/31MEXd6TAoL._SX300_SY300_QL70_FMwebp_.jpg" TargetMode="External"/><Relationship Id="rId750" Type="http://schemas.openxmlformats.org/officeDocument/2006/relationships/hyperlink" Target="https://m.media-amazon.com/images/W/WEBP_402378-T1/images/I/41P+nvE9FYL._SY300_SX300_.jpg" TargetMode="External"/><Relationship Id="rId992" Type="http://schemas.openxmlformats.org/officeDocument/2006/relationships/hyperlink" Target="https://m.media-amazon.com/images/I/21N0SU36xXL._SX300_SY300_QL70_FMwebp_.jpg" TargetMode="External"/><Relationship Id="rId1101" Type="http://schemas.openxmlformats.org/officeDocument/2006/relationships/hyperlink" Target="https://m.media-amazon.com/images/I/41Y4vsQHt6L._SX300_SY300_QL70_FMwebp_.jpg" TargetMode="External"/><Relationship Id="rId1343" Type="http://schemas.openxmlformats.org/officeDocument/2006/relationships/hyperlink" Target="https://m.media-amazon.com/images/I/41ady4ISpWL._SX300_SY300_QL70_FMwebp_.jpg" TargetMode="External"/><Relationship Id="rId991" Type="http://schemas.openxmlformats.org/officeDocument/2006/relationships/hyperlink" Target="https://m.media-amazon.com/images/W/WEBP_402378-T2/images/I/31x3IUfMneL._SX300_SY300_QL70_FMwebp_.jpg" TargetMode="External"/><Relationship Id="rId1102" Type="http://schemas.openxmlformats.org/officeDocument/2006/relationships/hyperlink" Target="https://m.media-amazon.com/images/W/WEBP_402378-T1/images/I/31KGeL7u8hL._SX300_SY300_QL70_FMwebp_.jpg" TargetMode="External"/><Relationship Id="rId1344" Type="http://schemas.openxmlformats.org/officeDocument/2006/relationships/hyperlink" Target="https://m.media-amazon.com/images/W/WEBP_402378-T1/images/I/413XAuyrxWL._SX300_SY300_QL70_FMwebp_.jpg" TargetMode="External"/><Relationship Id="rId84" Type="http://schemas.openxmlformats.org/officeDocument/2006/relationships/hyperlink" Target="https://m.media-amazon.com/images/I/412XfBAEikL._SX300_SY300_QL70_FMwebp_.jpg" TargetMode="External"/><Relationship Id="rId83" Type="http://schemas.openxmlformats.org/officeDocument/2006/relationships/hyperlink" Target="https://m.media-amazon.com/images/I/41M9BBMSUdL._SX300_SY300_QL70_FMwebp_.jpg" TargetMode="External"/><Relationship Id="rId86" Type="http://schemas.openxmlformats.org/officeDocument/2006/relationships/hyperlink" Target="https://m.media-amazon.com/images/W/WEBP_402378-T2/images/I/51ovMTXv9RL._SX300_SY300_QL70_FMwebp_.jpg" TargetMode="External"/><Relationship Id="rId85" Type="http://schemas.openxmlformats.org/officeDocument/2006/relationships/hyperlink" Target="https://m.media-amazon.com/images/W/WEBP_402378-T1/images/I/41J6oGU8w5L._SX300_SY300_QL70_FMwebp_.jpg" TargetMode="External"/><Relationship Id="rId88" Type="http://schemas.openxmlformats.org/officeDocument/2006/relationships/hyperlink" Target="https://m.media-amazon.com/images/I/41RVzq6GiIL._SY300_SX300_QL70_FMwebp_.jpg" TargetMode="External"/><Relationship Id="rId87" Type="http://schemas.openxmlformats.org/officeDocument/2006/relationships/hyperlink" Target="https://m.media-amazon.com/images/W/WEBP_402378-T1/images/I/41imW51RweL._SY300_SX300_QL70_FMwebp_.jpg" TargetMode="External"/><Relationship Id="rId89" Type="http://schemas.openxmlformats.org/officeDocument/2006/relationships/hyperlink" Target="https://m.media-amazon.com/images/W/WEBP_402378-T2/images/I/3135yilFsfL._SY445_SX342_QL70_FMwebp_.jpg" TargetMode="External"/><Relationship Id="rId709" Type="http://schemas.openxmlformats.org/officeDocument/2006/relationships/hyperlink" Target="https://m.media-amazon.com/images/I/31z+0UyRo2L._SY300_SX300_.jpg" TargetMode="External"/><Relationship Id="rId708" Type="http://schemas.openxmlformats.org/officeDocument/2006/relationships/hyperlink" Target="https://m.media-amazon.com/images/W/WEBP_402378-T1/images/I/41ZrxS9SpwL._SX300_SY300_QL70_FMwebp_.jpg" TargetMode="External"/><Relationship Id="rId707" Type="http://schemas.openxmlformats.org/officeDocument/2006/relationships/hyperlink" Target="https://m.media-amazon.com/images/I/31YW3+kpZQL._SY300_SX300_.jpg" TargetMode="External"/><Relationship Id="rId949" Type="http://schemas.openxmlformats.org/officeDocument/2006/relationships/hyperlink" Target="https://m.media-amazon.com/images/W/WEBP_402378-T1/images/I/41NxAkv7knL._SX300_SY300_QL70_FMwebp_.jpg" TargetMode="External"/><Relationship Id="rId706" Type="http://schemas.openxmlformats.org/officeDocument/2006/relationships/hyperlink" Target="https://m.media-amazon.com/images/I/31CuxaU77jL._SY300_SX300_QL70_FMwebp_.jpg" TargetMode="External"/><Relationship Id="rId948" Type="http://schemas.openxmlformats.org/officeDocument/2006/relationships/hyperlink" Target="https://m.media-amazon.com/images/I/51JATaEt6XL._SY300_SX300_QL70_FMwebp_.jpg" TargetMode="External"/><Relationship Id="rId80" Type="http://schemas.openxmlformats.org/officeDocument/2006/relationships/hyperlink" Target="https://m.media-amazon.com/images/I/31C4z2M8TiL._SX300_SY300_QL70_FMwebp_.jpg" TargetMode="External"/><Relationship Id="rId82" Type="http://schemas.openxmlformats.org/officeDocument/2006/relationships/hyperlink" Target="https://m.media-amazon.com/images/W/WEBP_402378-T2/images/I/31DDGpem3OL._SY445_SX342_QL70_FMwebp_.jpg" TargetMode="External"/><Relationship Id="rId81" Type="http://schemas.openxmlformats.org/officeDocument/2006/relationships/hyperlink" Target="https://m.media-amazon.com/images/W/WEBP_402378-T2/images/I/41xmv3WPs7L._SX300_SY300_QL70_FMwebp_.jpg" TargetMode="External"/><Relationship Id="rId701" Type="http://schemas.openxmlformats.org/officeDocument/2006/relationships/hyperlink" Target="https://m.media-amazon.com/images/I/41TZJiPRRwL._SX300_SY300_QL70_FMwebp_.jpg" TargetMode="External"/><Relationship Id="rId943" Type="http://schemas.openxmlformats.org/officeDocument/2006/relationships/hyperlink" Target="https://m.media-amazon.com/images/W/WEBP_402378-T1/images/I/41EJrZlo0UL._SX300_SY300_QL70_FMwebp_.jpg" TargetMode="External"/><Relationship Id="rId700" Type="http://schemas.openxmlformats.org/officeDocument/2006/relationships/hyperlink" Target="https://m.media-amazon.com/images/I/31gaP7qpBNL._SX300_SY300_QL70_FMwebp_.jpg" TargetMode="External"/><Relationship Id="rId942" Type="http://schemas.openxmlformats.org/officeDocument/2006/relationships/hyperlink" Target="https://m.media-amazon.com/images/I/512ah5e1LsL._SY300_SX300_QL70_FMwebp_.jpg" TargetMode="External"/><Relationship Id="rId941" Type="http://schemas.openxmlformats.org/officeDocument/2006/relationships/hyperlink" Target="https://m.media-amazon.com/images/W/WEBP_402378-T2/images/I/31hqtiqWTaL._SX300_SY300_QL70_FMwebp_.jpg" TargetMode="External"/><Relationship Id="rId940" Type="http://schemas.openxmlformats.org/officeDocument/2006/relationships/hyperlink" Target="https://m.media-amazon.com/images/W/WEBP_402378-T1/images/I/41Wq-obB2VL._SX300_SY300_QL70_FMwebp_.jpg" TargetMode="External"/><Relationship Id="rId705" Type="http://schemas.openxmlformats.org/officeDocument/2006/relationships/hyperlink" Target="https://m.media-amazon.com/images/I/41ziJKWj9LL._SX300_SY300_QL70_FMwebp_.jpg" TargetMode="External"/><Relationship Id="rId947" Type="http://schemas.openxmlformats.org/officeDocument/2006/relationships/hyperlink" Target="https://m.media-amazon.com/images/I/41oLMkm5cfL._SY300_SX300_QL70_FMwebp_.jpg" TargetMode="External"/><Relationship Id="rId704" Type="http://schemas.openxmlformats.org/officeDocument/2006/relationships/hyperlink" Target="https://m.media-amazon.com/images/I/51fEftU7HAL._SX300_SY300_QL70_FMwebp_.jpg" TargetMode="External"/><Relationship Id="rId946" Type="http://schemas.openxmlformats.org/officeDocument/2006/relationships/hyperlink" Target="https://m.media-amazon.com/images/W/WEBP_402378-T1/images/I/41eEK+FeFyL._SY300_SX300_.jpg" TargetMode="External"/><Relationship Id="rId703" Type="http://schemas.openxmlformats.org/officeDocument/2006/relationships/hyperlink" Target="https://m.media-amazon.com/images/W/WEBP_402378-T1/images/I/41oLhpKArFL._SY300_SX300_QL70_FMwebp_.jpg" TargetMode="External"/><Relationship Id="rId945" Type="http://schemas.openxmlformats.org/officeDocument/2006/relationships/hyperlink" Target="https://m.media-amazon.com/images/W/WEBP_402378-T1/images/I/51pl09bEsHL._SY445_SX342_QL70_FMwebp_.jpg" TargetMode="External"/><Relationship Id="rId702" Type="http://schemas.openxmlformats.org/officeDocument/2006/relationships/hyperlink" Target="https://m.media-amazon.com/images/W/WEBP_402378-T1/images/I/21n1BGPOHBL._SX300_SY300_QL70_FMwebp_.jpg" TargetMode="External"/><Relationship Id="rId944" Type="http://schemas.openxmlformats.org/officeDocument/2006/relationships/hyperlink" Target="https://m.media-amazon.com/images/W/WEBP_402378-T1/images/I/414y0iu5NUL._SX300_SY300_QL70_FMwebp_.jpg" TargetMode="External"/><Relationship Id="rId73" Type="http://schemas.openxmlformats.org/officeDocument/2006/relationships/hyperlink" Target="https://m.media-amazon.com/images/W/WEBP_402378-T2/images/I/41w1didcczL._SY300_SX300_QL70_FMwebp_.jpg" TargetMode="External"/><Relationship Id="rId72" Type="http://schemas.openxmlformats.org/officeDocument/2006/relationships/hyperlink" Target="https://m.media-amazon.com/images/W/WEBP_402378-T2/images/I/41SNaWjuZWL._SX300_SY300_QL70_FMwebp_.jpg" TargetMode="External"/><Relationship Id="rId75" Type="http://schemas.openxmlformats.org/officeDocument/2006/relationships/hyperlink" Target="https://m.media-amazon.com/images/I/41jlh3c7UbL._SX300_SY300_QL70_FMwebp_.jpg" TargetMode="External"/><Relationship Id="rId74" Type="http://schemas.openxmlformats.org/officeDocument/2006/relationships/hyperlink" Target="https://m.media-amazon.com/images/I/41gFqSHngyL._SX300_SY300_QL70_FMwebp_.jpg" TargetMode="External"/><Relationship Id="rId77" Type="http://schemas.openxmlformats.org/officeDocument/2006/relationships/hyperlink" Target="https://m.media-amazon.com/images/W/WEBP_402378-T1/images/I/31l-eZHBfKL._SX300_SY300_QL70_FMwebp_.jpg" TargetMode="External"/><Relationship Id="rId76" Type="http://schemas.openxmlformats.org/officeDocument/2006/relationships/hyperlink" Target="https://m.media-amazon.com/images/I/31x3IUfMneL._SX300_SY300_QL70_FMwebp_.jpg" TargetMode="External"/><Relationship Id="rId79" Type="http://schemas.openxmlformats.org/officeDocument/2006/relationships/hyperlink" Target="https://m.media-amazon.com/images/I/41KmCJuybRL._SX300_SY300_QL70_FMwebp_.jpg" TargetMode="External"/><Relationship Id="rId78" Type="http://schemas.openxmlformats.org/officeDocument/2006/relationships/hyperlink" Target="https://m.media-amazon.com/images/I/51ow6bmLWIL._SY300_SX300_QL70_FMwebp_.jpg" TargetMode="External"/><Relationship Id="rId939" Type="http://schemas.openxmlformats.org/officeDocument/2006/relationships/hyperlink" Target="https://m.media-amazon.com/images/I/310WOJIrwjL._SX300_SY300_QL70_FMwebp_.jpg" TargetMode="External"/><Relationship Id="rId938" Type="http://schemas.openxmlformats.org/officeDocument/2006/relationships/hyperlink" Target="https://m.media-amazon.com/images/I/21uJX5AqizL._SX300_SY300_QL70_FMwebp_.jpg" TargetMode="External"/><Relationship Id="rId937" Type="http://schemas.openxmlformats.org/officeDocument/2006/relationships/hyperlink" Target="https://m.media-amazon.com/images/I/41cUmIYRfVL._SX300_SY300_QL70_FMwebp_.jpg" TargetMode="External"/><Relationship Id="rId71" Type="http://schemas.openxmlformats.org/officeDocument/2006/relationships/hyperlink" Target="https://m.media-amazon.com/images/I/41gztmbiIgL._SX300_SY300_QL70_FMwebp_.jpg" TargetMode="External"/><Relationship Id="rId70" Type="http://schemas.openxmlformats.org/officeDocument/2006/relationships/hyperlink" Target="https://m.media-amazon.com/images/W/WEBP_402378-T1/images/I/31-BRsjrvDL._SY300_SX300_QL70_FMwebp_.jpg" TargetMode="External"/><Relationship Id="rId932" Type="http://schemas.openxmlformats.org/officeDocument/2006/relationships/hyperlink" Target="https://m.media-amazon.com/images/W/WEBP_402378-T2/images/I/51HO3bkK+VS._SY300_SX300_.jpg" TargetMode="External"/><Relationship Id="rId931" Type="http://schemas.openxmlformats.org/officeDocument/2006/relationships/hyperlink" Target="https://m.media-amazon.com/images/I/41ZCYvl4noL._SX300_SY300_QL70_FMwebp_.jpg" TargetMode="External"/><Relationship Id="rId930" Type="http://schemas.openxmlformats.org/officeDocument/2006/relationships/hyperlink" Target="https://m.media-amazon.com/images/W/WEBP_402378-T2/images/I/41mRWV0YG8L._SX300_SY300_QL70_FMwebp_.jpg" TargetMode="External"/><Relationship Id="rId936" Type="http://schemas.openxmlformats.org/officeDocument/2006/relationships/hyperlink" Target="https://m.media-amazon.com/images/I/41Iln5A+8HL._SY300_SX300_.jpg" TargetMode="External"/><Relationship Id="rId935" Type="http://schemas.openxmlformats.org/officeDocument/2006/relationships/hyperlink" Target="https://m.media-amazon.com/images/W/WEBP_402378-T1/images/I/41YEYCsXI8L._SX300_SY300_QL70_FMwebp_.jpg" TargetMode="External"/><Relationship Id="rId934" Type="http://schemas.openxmlformats.org/officeDocument/2006/relationships/hyperlink" Target="https://m.media-amazon.com/images/W/WEBP_402378-T1/images/I/41PJLOoFNWL._SX300_SY300_QL70_FMwebp_.jpg" TargetMode="External"/><Relationship Id="rId933" Type="http://schemas.openxmlformats.org/officeDocument/2006/relationships/hyperlink" Target="https://m.media-amazon.com/images/I/41QsvdbthFL._SX300_SY300_QL70_FMwebp_.jpg" TargetMode="External"/><Relationship Id="rId62" Type="http://schemas.openxmlformats.org/officeDocument/2006/relationships/hyperlink" Target="https://m.media-amazon.com/images/I/41Tz1YnJkoL._SY300_SX300_QL70_FMwebp_.jpg" TargetMode="External"/><Relationship Id="rId1312" Type="http://schemas.openxmlformats.org/officeDocument/2006/relationships/hyperlink" Target="https://m.media-amazon.com/images/I/41NJizePolL._SX300_SY300_QL70_FMwebp_.jpg" TargetMode="External"/><Relationship Id="rId61" Type="http://schemas.openxmlformats.org/officeDocument/2006/relationships/hyperlink" Target="https://m.media-amazon.com/images/W/WEBP_402378-T2/images/I/41v00lhhdbL._SX300_SY300_QL70_FMwebp_.jpg" TargetMode="External"/><Relationship Id="rId1313" Type="http://schemas.openxmlformats.org/officeDocument/2006/relationships/hyperlink" Target="https://m.media-amazon.com/images/I/31jWfV8N6+L._SY300_SX300_.jpg" TargetMode="External"/><Relationship Id="rId64" Type="http://schemas.openxmlformats.org/officeDocument/2006/relationships/hyperlink" Target="https://m.media-amazon.com/images/W/WEBP_402378-T2/images/I/414y0iu5NUL._SX300_SY300_QL70_FMwebp_.jpg" TargetMode="External"/><Relationship Id="rId1314" Type="http://schemas.openxmlformats.org/officeDocument/2006/relationships/hyperlink" Target="https://m.media-amazon.com/images/I/31RLcOp57gL._SX300_SY300_QL70_FMwebp_.jpg" TargetMode="External"/><Relationship Id="rId63" Type="http://schemas.openxmlformats.org/officeDocument/2006/relationships/hyperlink" Target="https://m.media-amazon.com/images/I/310WOJIrwjL._SX300_SY300_QL70_FMwebp_.jpg" TargetMode="External"/><Relationship Id="rId1315" Type="http://schemas.openxmlformats.org/officeDocument/2006/relationships/hyperlink" Target="https://m.media-amazon.com/images/W/WEBP_402378-T2/images/I/51ngprQwafL._SY300_SX300_QL70_FMwebp_.jpg" TargetMode="External"/><Relationship Id="rId66" Type="http://schemas.openxmlformats.org/officeDocument/2006/relationships/hyperlink" Target="https://m.media-amazon.com/images/I/41eJqkFjCRL._SY300_SX300_QL70_FMwebp_.jpg" TargetMode="External"/><Relationship Id="rId1316" Type="http://schemas.openxmlformats.org/officeDocument/2006/relationships/hyperlink" Target="https://m.media-amazon.com/images/W/WEBP_402378-T2/images/I/21rLuqop7cL._SY300_SX300_QL70_FMwebp_.jpg" TargetMode="External"/><Relationship Id="rId65" Type="http://schemas.openxmlformats.org/officeDocument/2006/relationships/hyperlink" Target="https://m.media-amazon.com/images/W/WEBP_402378-T2/images/I/41611VFTGwL._SY300_SX300_QL70_FMwebp_.jpg" TargetMode="External"/><Relationship Id="rId1317" Type="http://schemas.openxmlformats.org/officeDocument/2006/relationships/hyperlink" Target="https://m.media-amazon.com/images/W/WEBP_402378-T1/images/I/318oSoMwjsL._SX300_SY300_QL70_FMwebp_.jpg" TargetMode="External"/><Relationship Id="rId68" Type="http://schemas.openxmlformats.org/officeDocument/2006/relationships/hyperlink" Target="https://m.media-amazon.com/images/I/51FicDnawaL._SY300_SX300_QL70_FMwebp_.jpg" TargetMode="External"/><Relationship Id="rId1318" Type="http://schemas.openxmlformats.org/officeDocument/2006/relationships/hyperlink" Target="https://m.media-amazon.com/images/I/41EzVyKoA0L._SY445_SX342_QL70_FMwebp_.jpg" TargetMode="External"/><Relationship Id="rId67" Type="http://schemas.openxmlformats.org/officeDocument/2006/relationships/hyperlink" Target="https://m.media-amazon.com/images/I/41x3iKbD-+L._SX342_SY445_.jpg" TargetMode="External"/><Relationship Id="rId1319" Type="http://schemas.openxmlformats.org/officeDocument/2006/relationships/hyperlink" Target="https://m.media-amazon.com/images/W/WEBP_402378-T1/images/I/31+mSNSzKXL._SY300_SX300_.jpg" TargetMode="External"/><Relationship Id="rId729" Type="http://schemas.openxmlformats.org/officeDocument/2006/relationships/hyperlink" Target="https://m.media-amazon.com/images/W/WEBP_402378-T2/images/I/51E0xvwRCpL._SX300_SY300_QL70_FMwebp_.jpg" TargetMode="External"/><Relationship Id="rId728" Type="http://schemas.openxmlformats.org/officeDocument/2006/relationships/hyperlink" Target="https://m.media-amazon.com/images/I/31qGpf8uzuL._SY445_SX342_QL70_FMwebp_.jpg" TargetMode="External"/><Relationship Id="rId60" Type="http://schemas.openxmlformats.org/officeDocument/2006/relationships/hyperlink" Target="https://m.media-amazon.com/images/W/WEBP_402378-T1/images/I/31pQZsxPR4L._SX300_SY300_QL70_FMwebp_.jpg" TargetMode="External"/><Relationship Id="rId723" Type="http://schemas.openxmlformats.org/officeDocument/2006/relationships/hyperlink" Target="https://m.media-amazon.com/images/I/31MIyzg8uzL._SX300_SY300_QL70_FMwebp_.jpg" TargetMode="External"/><Relationship Id="rId965" Type="http://schemas.openxmlformats.org/officeDocument/2006/relationships/hyperlink" Target="https://m.media-amazon.com/images/W/WEBP_402378-T1/images/I/31nlfClYn7L._SX300_SY300_QL70_FMwebp_.jpg" TargetMode="External"/><Relationship Id="rId722" Type="http://schemas.openxmlformats.org/officeDocument/2006/relationships/hyperlink" Target="https://m.media-amazon.com/images/I/418YrbHVLCL._SX300_SY300_QL70_FMwebp_.jpg" TargetMode="External"/><Relationship Id="rId964" Type="http://schemas.openxmlformats.org/officeDocument/2006/relationships/hyperlink" Target="https://m.media-amazon.com/images/I/31EDDF4uNtL._SX300_SY300_QL70_FMwebp_.jpg" TargetMode="External"/><Relationship Id="rId721" Type="http://schemas.openxmlformats.org/officeDocument/2006/relationships/hyperlink" Target="https://m.media-amazon.com/images/W/WEBP_402378-T2/images/I/41IAc+vLV7S._SY300_SX300_.jpg" TargetMode="External"/><Relationship Id="rId963" Type="http://schemas.openxmlformats.org/officeDocument/2006/relationships/hyperlink" Target="https://m.media-amazon.com/images/W/WEBP_402378-T1/images/I/41jmiwgyu8L._SX300_SY300_QL70_FMwebp_.jpg" TargetMode="External"/><Relationship Id="rId720" Type="http://schemas.openxmlformats.org/officeDocument/2006/relationships/hyperlink" Target="https://m.media-amazon.com/images/I/31pcbVy11RL._SX300_SY300_QL70_FMwebp_.jpg" TargetMode="External"/><Relationship Id="rId962" Type="http://schemas.openxmlformats.org/officeDocument/2006/relationships/hyperlink" Target="https://m.media-amazon.com/images/I/51fYe0OSURL._SX300_SY300_QL70_FMwebp_.jpg" TargetMode="External"/><Relationship Id="rId727" Type="http://schemas.openxmlformats.org/officeDocument/2006/relationships/hyperlink" Target="https://m.media-amazon.com/images/W/WEBP_402378-T2/images/I/51owoY2Xq7L._SX300_SY300_QL70_FMwebp_.jpg" TargetMode="External"/><Relationship Id="rId969" Type="http://schemas.openxmlformats.org/officeDocument/2006/relationships/hyperlink" Target="https://m.media-amazon.com/images/I/41x3iKbD-+L._SX342_SY445_.jpg" TargetMode="External"/><Relationship Id="rId726" Type="http://schemas.openxmlformats.org/officeDocument/2006/relationships/hyperlink" Target="https://m.media-amazon.com/images/W/WEBP_402378-T1/images/I/317lVfwVu8L._SX300_SY300_QL70_FMwebp_.jpg" TargetMode="External"/><Relationship Id="rId968" Type="http://schemas.openxmlformats.org/officeDocument/2006/relationships/hyperlink" Target="https://m.media-amazon.com/images/I/31ejgWaEayL._SY300_SX300_QL70_FMwebp_.jpg" TargetMode="External"/><Relationship Id="rId725" Type="http://schemas.openxmlformats.org/officeDocument/2006/relationships/hyperlink" Target="https://m.media-amazon.com/images/I/31iFF1KbkpL._SX300_SY300_QL70_FMwebp_.jpg" TargetMode="External"/><Relationship Id="rId967" Type="http://schemas.openxmlformats.org/officeDocument/2006/relationships/hyperlink" Target="https://m.media-amazon.com/images/I/41EIVJvXxsL._SX300_SY300_QL70_FMwebp_.jpg" TargetMode="External"/><Relationship Id="rId724" Type="http://schemas.openxmlformats.org/officeDocument/2006/relationships/hyperlink" Target="https://m.media-amazon.com/images/I/51q3+E64azL._SX300_SY300_.jpg" TargetMode="External"/><Relationship Id="rId966" Type="http://schemas.openxmlformats.org/officeDocument/2006/relationships/hyperlink" Target="https://m.media-amazon.com/images/W/WEBP_402378-T1/images/I/41N+hHYrIWL._SY300_SX300_.jpg" TargetMode="External"/><Relationship Id="rId69" Type="http://schemas.openxmlformats.org/officeDocument/2006/relationships/hyperlink" Target="https://m.media-amazon.com/images/I/41+mgWz7knL._SX300_SY300_.jpg" TargetMode="External"/><Relationship Id="rId961" Type="http://schemas.openxmlformats.org/officeDocument/2006/relationships/hyperlink" Target="https://m.media-amazon.com/images/W/WEBP_402378-T2/images/I/21XzK-guXHL._SX300_SY300_QL70_FMwebp_.jpg" TargetMode="External"/><Relationship Id="rId960" Type="http://schemas.openxmlformats.org/officeDocument/2006/relationships/hyperlink" Target="https://m.media-amazon.com/images/I/31gNcDrEskL._SX300_SY300_QL70_FMwebp_.jpg" TargetMode="External"/><Relationship Id="rId1310" Type="http://schemas.openxmlformats.org/officeDocument/2006/relationships/hyperlink" Target="https://m.media-amazon.com/images/W/WEBP_402378-T1/images/I/31B8Pd1SmLL._SX300_SY300_QL70_FMwebp_.jpg" TargetMode="External"/><Relationship Id="rId1311" Type="http://schemas.openxmlformats.org/officeDocument/2006/relationships/hyperlink" Target="https://m.media-amazon.com/images/W/WEBP_402378-T2/images/I/41-76LhAc4S._SX300_SY300_QL70_FMwebp_.jpg" TargetMode="External"/><Relationship Id="rId51" Type="http://schemas.openxmlformats.org/officeDocument/2006/relationships/hyperlink" Target="https://m.media-amazon.com/images/I/216Q4FqmZVL._SX300_SY300_QL70_FMwebp_.jpg" TargetMode="External"/><Relationship Id="rId1301" Type="http://schemas.openxmlformats.org/officeDocument/2006/relationships/hyperlink" Target="https://m.media-amazon.com/images/W/WEBP_402378-T2/images/I/41ut+j+REdL._SY300_SX300_.jpg" TargetMode="External"/><Relationship Id="rId50" Type="http://schemas.openxmlformats.org/officeDocument/2006/relationships/hyperlink" Target="https://m.media-amazon.com/images/W/WEBP_402378-T1/images/I/31nrDWDT8+L._SX300_SY300_.jpg" TargetMode="External"/><Relationship Id="rId1302" Type="http://schemas.openxmlformats.org/officeDocument/2006/relationships/hyperlink" Target="https://m.media-amazon.com/images/I/319t03ZuOML._SX300_SY300_QL70_FMwebp_.jpg" TargetMode="External"/><Relationship Id="rId53" Type="http://schemas.openxmlformats.org/officeDocument/2006/relationships/hyperlink" Target="https://m.media-amazon.com/images/I/31kw1RgU5yL._SX300_SY300_QL70_FMwebp_.jpg" TargetMode="External"/><Relationship Id="rId1303" Type="http://schemas.openxmlformats.org/officeDocument/2006/relationships/hyperlink" Target="https://images-na.ssl-images-amazon.com/images/W/WEBP_402378-T1/images/I/41EK0QNFSUL._SX300_SY300_QL70_FMwebp_.jpg" TargetMode="External"/><Relationship Id="rId52" Type="http://schemas.openxmlformats.org/officeDocument/2006/relationships/hyperlink" Target="https://m.media-amazon.com/images/W/WEBP_402378-T1/images/I/31iESA2h2gL._SY300_SX300_QL70_FMwebp_.jpg" TargetMode="External"/><Relationship Id="rId1304" Type="http://schemas.openxmlformats.org/officeDocument/2006/relationships/hyperlink" Target="https://m.media-amazon.com/images/I/41FQI5F2OiL._SX300_SY300_QL70_FMwebp_.jpg" TargetMode="External"/><Relationship Id="rId55" Type="http://schemas.openxmlformats.org/officeDocument/2006/relationships/hyperlink" Target="https://m.media-amazon.com/images/W/WEBP_402378-T2/images/I/41rbKciLrcL._SX300_SY300_QL70_FMwebp_.jpg" TargetMode="External"/><Relationship Id="rId1305" Type="http://schemas.openxmlformats.org/officeDocument/2006/relationships/hyperlink" Target="https://m.media-amazon.com/images/I/414iVhwacbL._SX300_SY300_QL70_FMwebp_.jpg" TargetMode="External"/><Relationship Id="rId54" Type="http://schemas.openxmlformats.org/officeDocument/2006/relationships/hyperlink" Target="https://m.media-amazon.com/images/I/418GxB04szL._SY300_SX300_QL70_FMwebp_.jpg" TargetMode="External"/><Relationship Id="rId1306" Type="http://schemas.openxmlformats.org/officeDocument/2006/relationships/hyperlink" Target="https://m.media-amazon.com/images/I/31W1xfnsOPL._SY300_SX300_QL70_FMwebp_.jpg" TargetMode="External"/><Relationship Id="rId57" Type="http://schemas.openxmlformats.org/officeDocument/2006/relationships/hyperlink" Target="https://m.media-amazon.com/images/I/41jxZkzNcnL._SX300_SY300_QL70_FMwebp_.jpg" TargetMode="External"/><Relationship Id="rId1307" Type="http://schemas.openxmlformats.org/officeDocument/2006/relationships/hyperlink" Target="https://m.media-amazon.com/images/W/WEBP_402378-T2/images/I/31Ly7OehCGL._SX300_SY300_QL70_FMwebp_.jpg" TargetMode="External"/><Relationship Id="rId56" Type="http://schemas.openxmlformats.org/officeDocument/2006/relationships/hyperlink" Target="https://m.media-amazon.com/images/I/315GdnF+LcL._SY300_SX300_.jpg" TargetMode="External"/><Relationship Id="rId1308" Type="http://schemas.openxmlformats.org/officeDocument/2006/relationships/hyperlink" Target="https://m.media-amazon.com/images/W/WEBP_402378-T2/images/I/41emm+fTJmL._SX300_SY300_.jpg" TargetMode="External"/><Relationship Id="rId1309" Type="http://schemas.openxmlformats.org/officeDocument/2006/relationships/hyperlink" Target="https://m.media-amazon.com/images/I/41jJsvzPK0L._SY445_SX342_QL70_FMwebp_.jpg" TargetMode="External"/><Relationship Id="rId719" Type="http://schemas.openxmlformats.org/officeDocument/2006/relationships/hyperlink" Target="https://m.media-amazon.com/images/I/41sAt4BZydL._SX300_SY300_QL70_FMwebp_.jpg" TargetMode="External"/><Relationship Id="rId718" Type="http://schemas.openxmlformats.org/officeDocument/2006/relationships/hyperlink" Target="https://m.media-amazon.com/images/W/WEBP_402378-T2/images/I/51LuP5KXg5L._SX300_SY300_QL70_FMwebp_.jpg" TargetMode="External"/><Relationship Id="rId717" Type="http://schemas.openxmlformats.org/officeDocument/2006/relationships/hyperlink" Target="https://m.media-amazon.com/images/I/3118CXMdMUL._SX300_SY300_QL70_FMwebp_.jpg" TargetMode="External"/><Relationship Id="rId959" Type="http://schemas.openxmlformats.org/officeDocument/2006/relationships/hyperlink" Target="https://m.media-amazon.com/images/W/WEBP_402378-T2/images/I/31ulmi5lTYL._SX300_SY300_QL70_FMwebp_.jpg" TargetMode="External"/><Relationship Id="rId712" Type="http://schemas.openxmlformats.org/officeDocument/2006/relationships/hyperlink" Target="https://m.media-amazon.com/images/I/41fRp5O-PrL._SX300_SY300_QL70_FMwebp_.jpg" TargetMode="External"/><Relationship Id="rId954" Type="http://schemas.openxmlformats.org/officeDocument/2006/relationships/hyperlink" Target="https://m.media-amazon.com/images/I/41611VFTGwL._SY300_SX300_QL70_FMwebp_.jpg" TargetMode="External"/><Relationship Id="rId711" Type="http://schemas.openxmlformats.org/officeDocument/2006/relationships/hyperlink" Target="https://m.media-amazon.com/images/I/413phG1P5UL._SX300_SY300_QL70_FMwebp_.jpg" TargetMode="External"/><Relationship Id="rId953" Type="http://schemas.openxmlformats.org/officeDocument/2006/relationships/hyperlink" Target="https://m.media-amazon.com/images/I/51yFKniMhcL._SX300_SY300_QL70_FMwebp_.jpg" TargetMode="External"/><Relationship Id="rId710" Type="http://schemas.openxmlformats.org/officeDocument/2006/relationships/hyperlink" Target="https://m.media-amazon.com/images/W/WEBP_402378-T2/images/I/41m4oS2gbcL._SY300_SX300_QL70_FMwebp_.jpg" TargetMode="External"/><Relationship Id="rId952" Type="http://schemas.openxmlformats.org/officeDocument/2006/relationships/hyperlink" Target="https://m.media-amazon.com/images/I/31rWKVEYZOL._SX300_SY300_QL70_FMwebp_.jpg" TargetMode="External"/><Relationship Id="rId951" Type="http://schemas.openxmlformats.org/officeDocument/2006/relationships/hyperlink" Target="https://m.media-amazon.com/images/I/51h6eqwfePS._SX300_SY300_QL70_FMwebp_.jpg" TargetMode="External"/><Relationship Id="rId716" Type="http://schemas.openxmlformats.org/officeDocument/2006/relationships/hyperlink" Target="https://m.media-amazon.com/images/I/3164hjUSFdL._SX300_SY300_QL70_FMwebp_.jpg" TargetMode="External"/><Relationship Id="rId958" Type="http://schemas.openxmlformats.org/officeDocument/2006/relationships/hyperlink" Target="https://m.media-amazon.com/images/W/WEBP_402378-T1/images/I/41SNaWjuZWL._SX300_SY300_QL70_FMwebp_.jpg" TargetMode="External"/><Relationship Id="rId715" Type="http://schemas.openxmlformats.org/officeDocument/2006/relationships/hyperlink" Target="https://m.media-amazon.com/images/W/WEBP_402378-T2/images/I/51v-2Nzr+ML._SY300_SX300_.jpg" TargetMode="External"/><Relationship Id="rId957" Type="http://schemas.openxmlformats.org/officeDocument/2006/relationships/hyperlink" Target="https://m.media-amazon.com/images/I/41VDUqScJFL._SX300_SY300_QL70_FMwebp_.jpg" TargetMode="External"/><Relationship Id="rId714" Type="http://schemas.openxmlformats.org/officeDocument/2006/relationships/hyperlink" Target="https://m.media-amazon.com/images/I/31jgUvSar0L._SX300_SY300_QL70_FMwebp_.jpg" TargetMode="External"/><Relationship Id="rId956" Type="http://schemas.openxmlformats.org/officeDocument/2006/relationships/hyperlink" Target="https://m.media-amazon.com/images/W/WEBP_402378-T1/images/I/41Uk8sX-WkL._SX300_SY300_QL70_FMwebp_.jpg" TargetMode="External"/><Relationship Id="rId713" Type="http://schemas.openxmlformats.org/officeDocument/2006/relationships/hyperlink" Target="https://m.media-amazon.com/images/I/41goRo3UXhL._SX300_SY300_QL70_FMwebp_.jpg" TargetMode="External"/><Relationship Id="rId955" Type="http://schemas.openxmlformats.org/officeDocument/2006/relationships/hyperlink" Target="https://m.media-amazon.com/images/W/WEBP_402378-T2/images/I/51rzz4zoUBL._SX300_SY300_QL70_FMwebp_.jpg" TargetMode="External"/><Relationship Id="rId59" Type="http://schemas.openxmlformats.org/officeDocument/2006/relationships/hyperlink" Target="https://m.media-amazon.com/images/W/WEBP_402378-T2/images/I/313uqx3djjL._SX300_SY300_QL70_FMwebp_.jpg" TargetMode="External"/><Relationship Id="rId58" Type="http://schemas.openxmlformats.org/officeDocument/2006/relationships/hyperlink" Target="https://m.media-amazon.com/images/I/512YHGuR4RL._SX300_SY300_QL70_FMwebp_.jpg" TargetMode="External"/><Relationship Id="rId950" Type="http://schemas.openxmlformats.org/officeDocument/2006/relationships/hyperlink" Target="https://m.media-amazon.com/images/I/31ouSkwWDmL._SX300_SY300_QL70_FMwebp_.jpg" TargetMode="External"/><Relationship Id="rId1300" Type="http://schemas.openxmlformats.org/officeDocument/2006/relationships/hyperlink" Target="https://m.media-amazon.com/images/W/WEBP_402378-T1/images/I/313WfOy8VSL._SX300_SY300_QL70_FMwebp_.jpg" TargetMode="External"/><Relationship Id="rId590" Type="http://schemas.openxmlformats.org/officeDocument/2006/relationships/hyperlink" Target="https://m.media-amazon.com/images/W/WEBP_402378-T2/images/I/31y-oJ1XnqL._SX300_SY300_QL70_FMwebp_.jpg" TargetMode="External"/><Relationship Id="rId107" Type="http://schemas.openxmlformats.org/officeDocument/2006/relationships/hyperlink" Target="https://m.media-amazon.com/images/W/WEBP_402378-T1/images/I/51UsScvHQNL._SX300_SY300_QL70_FMwebp_.jpg" TargetMode="External"/><Relationship Id="rId349" Type="http://schemas.openxmlformats.org/officeDocument/2006/relationships/hyperlink" Target="https://m.media-amazon.com/images/I/41kg-+XWoxL._SY300_SX300_.jpg" TargetMode="External"/><Relationship Id="rId106" Type="http://schemas.openxmlformats.org/officeDocument/2006/relationships/hyperlink" Target="https://m.media-amazon.com/images/W/WEBP_402378-T1/images/I/41A4CcuIJuL._SY445_SX342_QL70_FMwebp_.jpg" TargetMode="External"/><Relationship Id="rId348" Type="http://schemas.openxmlformats.org/officeDocument/2006/relationships/hyperlink" Target="https://m.media-amazon.com/images/I/31NnmYempPL._SX300_SY300_QL70_ML2_.jpg" TargetMode="External"/><Relationship Id="rId105" Type="http://schemas.openxmlformats.org/officeDocument/2006/relationships/hyperlink" Target="https://m.media-amazon.com/images/W/WEBP_402378-T2/images/I/41c80KrMZgL._SY445_SX342_QL70_FMwebp_.jpg" TargetMode="External"/><Relationship Id="rId347" Type="http://schemas.openxmlformats.org/officeDocument/2006/relationships/hyperlink" Target="https://m.media-amazon.com/images/I/41rxRY5TDSL._SX300_SY300_QL70_ML2_.jpg" TargetMode="External"/><Relationship Id="rId589" Type="http://schemas.openxmlformats.org/officeDocument/2006/relationships/hyperlink" Target="https://m.media-amazon.com/images/I/310mw9KTJvL._SY300_SX300_QL70_FMwebp_.jpg" TargetMode="External"/><Relationship Id="rId104" Type="http://schemas.openxmlformats.org/officeDocument/2006/relationships/hyperlink" Target="https://m.media-amazon.com/images/W/WEBP_402378-T2/images/I/41GTMteNtdL._SX300_SY300_QL70_FMwebp_.jpg" TargetMode="External"/><Relationship Id="rId346" Type="http://schemas.openxmlformats.org/officeDocument/2006/relationships/hyperlink" Target="https://m.media-amazon.com/images/I/31-hWNXDxiL._SX300_SY300_QL70_ML2_.jpg" TargetMode="External"/><Relationship Id="rId588" Type="http://schemas.openxmlformats.org/officeDocument/2006/relationships/hyperlink" Target="https://m.media-amazon.com/images/I/41d69zua5LL._SX300_SY300_QL70_FMwebp_.jpg" TargetMode="External"/><Relationship Id="rId109" Type="http://schemas.openxmlformats.org/officeDocument/2006/relationships/hyperlink" Target="https://m.media-amazon.com/images/I/41pdZIhY+gL._SY300_SX300_.jpg" TargetMode="External"/><Relationship Id="rId1170" Type="http://schemas.openxmlformats.org/officeDocument/2006/relationships/hyperlink" Target="https://m.media-amazon.com/images/W/WEBP_402378-T1/images/I/41fyxXj8N5L._SX300_SY300_QL70_FMwebp_.jpg" TargetMode="External"/><Relationship Id="rId108" Type="http://schemas.openxmlformats.org/officeDocument/2006/relationships/hyperlink" Target="https://m.media-amazon.com/images/W/WEBP_402378-T2/images/I/41LXLeCw3VL._SX300_SY300_QL70_FMwebp_.jpg" TargetMode="External"/><Relationship Id="rId1171" Type="http://schemas.openxmlformats.org/officeDocument/2006/relationships/hyperlink" Target="https://m.media-amazon.com/images/I/41b8AhOiYBL._SX300_SY300_QL70_FMwebp_.jpg" TargetMode="External"/><Relationship Id="rId341" Type="http://schemas.openxmlformats.org/officeDocument/2006/relationships/hyperlink" Target="https://m.media-amazon.com/images/I/41qLZhKF5ZL._SX300_SY300_QL70_ML2_.jpg" TargetMode="External"/><Relationship Id="rId583" Type="http://schemas.openxmlformats.org/officeDocument/2006/relationships/hyperlink" Target="https://m.media-amazon.com/images/I/4111qlSCaKL._SY300_SX300_QL70_ML2_.jpg" TargetMode="External"/><Relationship Id="rId1172" Type="http://schemas.openxmlformats.org/officeDocument/2006/relationships/hyperlink" Target="https://m.media-amazon.com/images/W/WEBP_402378-T2/images/I/313V6v-Fj3S._SX300_SY300_QL70_FMwebp_.jpg" TargetMode="External"/><Relationship Id="rId340" Type="http://schemas.openxmlformats.org/officeDocument/2006/relationships/hyperlink" Target="https://m.media-amazon.com/images/I/41iEc0hf6TL._SX300_SY300_QL70_ML2_.jpg" TargetMode="External"/><Relationship Id="rId582" Type="http://schemas.openxmlformats.org/officeDocument/2006/relationships/hyperlink" Target="https://m.media-amazon.com/images/I/41Ims-JX0kL._SX300_SY300_QL70_ML2_.jpg" TargetMode="External"/><Relationship Id="rId1173" Type="http://schemas.openxmlformats.org/officeDocument/2006/relationships/hyperlink" Target="https://m.media-amazon.com/images/W/WEBP_402378-T1/images/I/31ixn2s6IbL._SX300_SY300_QL70_FMwebp_.jpg" TargetMode="External"/><Relationship Id="rId581" Type="http://schemas.openxmlformats.org/officeDocument/2006/relationships/hyperlink" Target="https://m.media-amazon.com/images/I/41pmcRIe45L._SX300_SY300_QL70_ML2_.jpg" TargetMode="External"/><Relationship Id="rId1174" Type="http://schemas.openxmlformats.org/officeDocument/2006/relationships/hyperlink" Target="https://m.media-amazon.com/images/W/WEBP_402378-T2/images/I/41Mktp5hVIL._SX300_SY300_QL70_FMwebp_.jpg" TargetMode="External"/><Relationship Id="rId580" Type="http://schemas.openxmlformats.org/officeDocument/2006/relationships/hyperlink" Target="https://m.media-amazon.com/images/I/41vQwUamFcL._SX300_SY300_QL70_ML2_.jpg" TargetMode="External"/><Relationship Id="rId1175" Type="http://schemas.openxmlformats.org/officeDocument/2006/relationships/hyperlink" Target="https://m.media-amazon.com/images/I/31N5vx+L1KL._SY300_SX300_.jpg" TargetMode="External"/><Relationship Id="rId103" Type="http://schemas.openxmlformats.org/officeDocument/2006/relationships/hyperlink" Target="https://m.media-amazon.com/images/W/WEBP_402378-T2/images/I/41UJEnTJpVL._SX300_SY300_QL70_FMwebp_.jpg" TargetMode="External"/><Relationship Id="rId345" Type="http://schemas.openxmlformats.org/officeDocument/2006/relationships/hyperlink" Target="https://m.media-amazon.com/images/I/41Peg4pz7fL._SX300_SY300_QL70_ML2_.jpg" TargetMode="External"/><Relationship Id="rId587" Type="http://schemas.openxmlformats.org/officeDocument/2006/relationships/hyperlink" Target="https://m.media-amazon.com/images/I/41sHRWXCfvL._SX300_SY300_QL70_FMwebp_.jpg" TargetMode="External"/><Relationship Id="rId1176" Type="http://schemas.openxmlformats.org/officeDocument/2006/relationships/hyperlink" Target="https://m.media-amazon.com/images/W/WEBP_402378-T2/images/I/31CM9HiuvRL._SX300_SY300_QL70_FMwebp_.jpg" TargetMode="External"/><Relationship Id="rId102" Type="http://schemas.openxmlformats.org/officeDocument/2006/relationships/hyperlink" Target="https://m.media-amazon.com/images/I/31kw1RgU5yL._SX300_SY300_QL70_FMwebp_.jpg" TargetMode="External"/><Relationship Id="rId344" Type="http://schemas.openxmlformats.org/officeDocument/2006/relationships/hyperlink" Target="https://m.media-amazon.com/images/I/41ML8ZbPiiL._SY300_SX300_QL70_ML2_.jpg" TargetMode="External"/><Relationship Id="rId586" Type="http://schemas.openxmlformats.org/officeDocument/2006/relationships/hyperlink" Target="https://m.media-amazon.com/images/I/31GUbeFG3FL._SX300_SY300_QL70_FMwebp_.jpg" TargetMode="External"/><Relationship Id="rId1177" Type="http://schemas.openxmlformats.org/officeDocument/2006/relationships/hyperlink" Target="https://m.media-amazon.com/images/I/51zhY6X2NqL._SX300_SY300_QL70_FMwebp_.jpg" TargetMode="External"/><Relationship Id="rId101" Type="http://schemas.openxmlformats.org/officeDocument/2006/relationships/hyperlink" Target="https://m.media-amazon.com/images/I/41pA1xo-mIL._SX300_SY300_QL70_FMwebp_.jpg" TargetMode="External"/><Relationship Id="rId343" Type="http://schemas.openxmlformats.org/officeDocument/2006/relationships/hyperlink" Target="https://m.media-amazon.com/images/I/41JM3Ra+tiL._SY300_SX300_.jpg" TargetMode="External"/><Relationship Id="rId585" Type="http://schemas.openxmlformats.org/officeDocument/2006/relationships/hyperlink" Target="https://m.media-amazon.com/images/I/31IdiM9ZM8L._SX300_SY300_QL70_FMwebp_.jpg" TargetMode="External"/><Relationship Id="rId1178" Type="http://schemas.openxmlformats.org/officeDocument/2006/relationships/hyperlink" Target="https://m.media-amazon.com/images/W/WEBP_402378-T2/images/I/31kDhgD+VYL._SX300_SY300_.jpg" TargetMode="External"/><Relationship Id="rId100" Type="http://schemas.openxmlformats.org/officeDocument/2006/relationships/hyperlink" Target="https://m.media-amazon.com/images/W/WEBP_402378-T1/images/I/41fRMsvSy8L._SY445_SX342_QL70_FMwebp_.jpg" TargetMode="External"/><Relationship Id="rId342" Type="http://schemas.openxmlformats.org/officeDocument/2006/relationships/hyperlink" Target="https://m.media-amazon.com/images/I/41CB1rnC5tL._SX300_SY300_QL70_ML2_.jpg" TargetMode="External"/><Relationship Id="rId584" Type="http://schemas.openxmlformats.org/officeDocument/2006/relationships/hyperlink" Target="https://m.media-amazon.com/images/I/217Lv1D3bHL._SX300_SY300_QL70_ML2_.jpg" TargetMode="External"/><Relationship Id="rId1179" Type="http://schemas.openxmlformats.org/officeDocument/2006/relationships/hyperlink" Target="https://m.media-amazon.com/images/W/WEBP_402378-T2/images/I/31SFYZqCSeL._SX300_SY300_QL70_FMwebp_.jpg" TargetMode="External"/><Relationship Id="rId1169" Type="http://schemas.openxmlformats.org/officeDocument/2006/relationships/hyperlink" Target="https://m.media-amazon.com/images/W/WEBP_402378-T2/images/I/415f3fULh8L._SX300_SY300_QL70_FMwebp_.jpg" TargetMode="External"/><Relationship Id="rId338" Type="http://schemas.openxmlformats.org/officeDocument/2006/relationships/hyperlink" Target="https://m.media-amazon.com/images/I/31grUs8OpvL._SX300_SY300_QL70_ML2_.jpg" TargetMode="External"/><Relationship Id="rId337" Type="http://schemas.openxmlformats.org/officeDocument/2006/relationships/hyperlink" Target="https://m.media-amazon.com/images/I/41d69zua5LL._SX300_SY300_QL70_ML2_.jpg" TargetMode="External"/><Relationship Id="rId579" Type="http://schemas.openxmlformats.org/officeDocument/2006/relationships/hyperlink" Target="https://m.media-amazon.com/images/I/31yQB88r8kL._SX300_SY300_QL70_ML2_.jpg" TargetMode="External"/><Relationship Id="rId336" Type="http://schemas.openxmlformats.org/officeDocument/2006/relationships/hyperlink" Target="https://m.media-amazon.com/images/I/41sHRWXCfvL._SX300_SY300_QL70_ML2_.jpg" TargetMode="External"/><Relationship Id="rId578" Type="http://schemas.openxmlformats.org/officeDocument/2006/relationships/hyperlink" Target="https://m.media-amazon.com/images/I/31zYqHExOPS._SX300_SY300_QL70_ML2_.jpg" TargetMode="External"/><Relationship Id="rId335" Type="http://schemas.openxmlformats.org/officeDocument/2006/relationships/hyperlink" Target="https://m.media-amazon.com/images/I/41WCgGbvwhL._SX300_SY300_QL70_ML2_.jpg" TargetMode="External"/><Relationship Id="rId577" Type="http://schemas.openxmlformats.org/officeDocument/2006/relationships/hyperlink" Target="https://m.media-amazon.com/images/I/41vCOAeGvSL._SX300_SY300_QL70_ML2_.jpg" TargetMode="External"/><Relationship Id="rId339" Type="http://schemas.openxmlformats.org/officeDocument/2006/relationships/hyperlink" Target="https://m.media-amazon.com/images/I/41Wd9J6nfpL._SX300_SY300_QL70_ML2_.jpg" TargetMode="External"/><Relationship Id="rId1160" Type="http://schemas.openxmlformats.org/officeDocument/2006/relationships/hyperlink" Target="https://m.media-amazon.com/images/W/WEBP_402378-T1/images/I/41jJqhC9nfL._SX300_SY300_QL70_FMwebp_.jpg" TargetMode="External"/><Relationship Id="rId330" Type="http://schemas.openxmlformats.org/officeDocument/2006/relationships/hyperlink" Target="https://m.media-amazon.com/images/W/WEBP_402378-T1/images/I/31Lfjbfc47L._SX300_SY300_QL70_FMwebp_.jpg" TargetMode="External"/><Relationship Id="rId572" Type="http://schemas.openxmlformats.org/officeDocument/2006/relationships/hyperlink" Target="https://m.media-amazon.com/images/I/41fDM4QUfvL._SX300_SY300_QL70_ML2_.jpg" TargetMode="External"/><Relationship Id="rId1161" Type="http://schemas.openxmlformats.org/officeDocument/2006/relationships/hyperlink" Target="https://m.media-amazon.com/images/W/WEBP_402378-T1/images/I/41s6tfIVmeL._SX300_SY300_QL70_FMwebp_.jpg" TargetMode="External"/><Relationship Id="rId571" Type="http://schemas.openxmlformats.org/officeDocument/2006/relationships/hyperlink" Target="https://m.media-amazon.com/images/I/31l-eZHBfKL._SX300_SY300_QL70_ML2_.jpg" TargetMode="External"/><Relationship Id="rId1162" Type="http://schemas.openxmlformats.org/officeDocument/2006/relationships/hyperlink" Target="https://m.media-amazon.com/images/W/WEBP_402378-T1/images/I/31MVkjIpLiL._SX300_SY300_QL70_FMwebp_.jpg" TargetMode="External"/><Relationship Id="rId570" Type="http://schemas.openxmlformats.org/officeDocument/2006/relationships/hyperlink" Target="https://m.media-amazon.com/images/I/31x3IUfMneL._SX300_SY300_QL70_ML2_.jpg" TargetMode="External"/><Relationship Id="rId1163" Type="http://schemas.openxmlformats.org/officeDocument/2006/relationships/hyperlink" Target="https://m.media-amazon.com/images/W/WEBP_402378-T2/images/I/41+82+4rUCL._SX300_SY300_.jpg" TargetMode="External"/><Relationship Id="rId1164" Type="http://schemas.openxmlformats.org/officeDocument/2006/relationships/hyperlink" Target="https://m.media-amazon.com/images/I/21ndIZtC7HL._SX300_SY300_QL70_FMwebp_.jpg" TargetMode="External"/><Relationship Id="rId334" Type="http://schemas.openxmlformats.org/officeDocument/2006/relationships/hyperlink" Target="https://m.media-amazon.com/images/W/WEBP_402378-T2/images/I/51R1cOolXRL._SX300_SY300_QL70_FMwebp_.jpg" TargetMode="External"/><Relationship Id="rId576" Type="http://schemas.openxmlformats.org/officeDocument/2006/relationships/hyperlink" Target="https://m.media-amazon.com/images/I/31poWDDorOL._SY300_SX300_QL70_ML2_.jpg" TargetMode="External"/><Relationship Id="rId1165" Type="http://schemas.openxmlformats.org/officeDocument/2006/relationships/hyperlink" Target="https://m.media-amazon.com/images/I/31dCji7nmsL._SX300_SY300_QL70_FMwebp_.jpg" TargetMode="External"/><Relationship Id="rId333" Type="http://schemas.openxmlformats.org/officeDocument/2006/relationships/hyperlink" Target="https://m.media-amazon.com/images/W/WEBP_402378-T2/images/I/41mW+TS5WKL._SY300_SX300_.jpg" TargetMode="External"/><Relationship Id="rId575" Type="http://schemas.openxmlformats.org/officeDocument/2006/relationships/hyperlink" Target="https://m.media-amazon.com/images/I/41dtbrNRHdL._SX300_SY300_QL70_ML2_.jpg" TargetMode="External"/><Relationship Id="rId1166" Type="http://schemas.openxmlformats.org/officeDocument/2006/relationships/hyperlink" Target="https://m.media-amazon.com/images/W/WEBP_402378-T2/images/I/41tVoAxz0QL._SX300_SY300_QL70_FMwebp_.jpg" TargetMode="External"/><Relationship Id="rId332" Type="http://schemas.openxmlformats.org/officeDocument/2006/relationships/hyperlink" Target="https://m.media-amazon.com/images/I/41I2mS67DyL._SY300_SX300_QL70_FMwebp_.jpg" TargetMode="External"/><Relationship Id="rId574" Type="http://schemas.openxmlformats.org/officeDocument/2006/relationships/hyperlink" Target="https://m.media-amazon.com/images/I/412dSHwBHGL._SX300_SY300_QL70_ML2_.jpg" TargetMode="External"/><Relationship Id="rId1167" Type="http://schemas.openxmlformats.org/officeDocument/2006/relationships/hyperlink" Target="https://m.media-amazon.com/images/I/31-XtyZy0IL._SX300_SY300_QL70_FMwebp_.jpg" TargetMode="External"/><Relationship Id="rId331" Type="http://schemas.openxmlformats.org/officeDocument/2006/relationships/hyperlink" Target="https://m.media-amazon.com/images/I/41Jy61seJKL._SX300_SY300_QL70_FMwebp_.jpg" TargetMode="External"/><Relationship Id="rId573" Type="http://schemas.openxmlformats.org/officeDocument/2006/relationships/hyperlink" Target="https://m.media-amazon.com/images/I/41hI-UvnhFL._SX300_SY300_QL70_ML2_.jpg" TargetMode="External"/><Relationship Id="rId1168" Type="http://schemas.openxmlformats.org/officeDocument/2006/relationships/hyperlink" Target="https://m.media-amazon.com/images/I/418WkmFOaTL._SX300_SY300_QL70_FMwebp_.jpg" TargetMode="External"/><Relationship Id="rId370" Type="http://schemas.openxmlformats.org/officeDocument/2006/relationships/hyperlink" Target="https://m.media-amazon.com/images/I/51UsScvHQNL._SX300_SY300_QL70_ML2_.jpg" TargetMode="External"/><Relationship Id="rId129" Type="http://schemas.openxmlformats.org/officeDocument/2006/relationships/hyperlink" Target="https://m.media-amazon.com/images/I/31Bfu6liMWL._SX300_SY300_QL70_FMwebp_.jpg" TargetMode="External"/><Relationship Id="rId128" Type="http://schemas.openxmlformats.org/officeDocument/2006/relationships/hyperlink" Target="https://m.media-amazon.com/images/I/51O93lUTxtL._SY300_SX300_QL70_FMwebp_.jpg" TargetMode="External"/><Relationship Id="rId127" Type="http://schemas.openxmlformats.org/officeDocument/2006/relationships/hyperlink" Target="https://m.media-amazon.com/images/I/41Rg-JkRGgL._SY300_SX300_QL70_FMwebp_.jpg" TargetMode="External"/><Relationship Id="rId369" Type="http://schemas.openxmlformats.org/officeDocument/2006/relationships/hyperlink" Target="https://m.media-amazon.com/images/I/41ivjqdXb0L._SX300_SY300_QL70_ML2_.jpg" TargetMode="External"/><Relationship Id="rId126" Type="http://schemas.openxmlformats.org/officeDocument/2006/relationships/hyperlink" Target="https://m.media-amazon.com/images/I/41F6ukNxcCL._SX300_SY300_QL70_FMwebp_.jpg" TargetMode="External"/><Relationship Id="rId368" Type="http://schemas.openxmlformats.org/officeDocument/2006/relationships/hyperlink" Target="https://m.media-amazon.com/images/I/41OaM+9ZHXL._SY300_SX300_.jpg" TargetMode="External"/><Relationship Id="rId1190" Type="http://schemas.openxmlformats.org/officeDocument/2006/relationships/hyperlink" Target="https://m.media-amazon.com/images/I/31PzyH4N9xL._SX300_SY300_QL70_FMwebp_.jpg" TargetMode="External"/><Relationship Id="rId1191" Type="http://schemas.openxmlformats.org/officeDocument/2006/relationships/hyperlink" Target="https://m.media-amazon.com/images/W/WEBP_402378-T1/images/I/31DXRMiRYLL._SX300_SY300_QL70_FMwebp_.jpg" TargetMode="External"/><Relationship Id="rId1192" Type="http://schemas.openxmlformats.org/officeDocument/2006/relationships/hyperlink" Target="https://m.media-amazon.com/images/W/WEBP_402378-T1/images/I/51oZKPP1qhL._SY300_SX300_QL70_FMwebp_.jpg" TargetMode="External"/><Relationship Id="rId1193" Type="http://schemas.openxmlformats.org/officeDocument/2006/relationships/hyperlink" Target="https://m.media-amazon.com/images/W/WEBP_402378-T1/images/I/41TMMpVWKqL._SY300_SX300_QL70_FMwebp_.jpg" TargetMode="External"/><Relationship Id="rId121" Type="http://schemas.openxmlformats.org/officeDocument/2006/relationships/hyperlink" Target="https://m.media-amazon.com/images/W/WEBP_402378-T2/images/I/31fQdrBOMvL._SY445_SX342_QL70_FMwebp_.jpg" TargetMode="External"/><Relationship Id="rId363" Type="http://schemas.openxmlformats.org/officeDocument/2006/relationships/hyperlink" Target="https://m.media-amazon.com/images/I/41aV2T7qLgL._SY300_SX300_QL70_ML2_.jpg" TargetMode="External"/><Relationship Id="rId1194" Type="http://schemas.openxmlformats.org/officeDocument/2006/relationships/hyperlink" Target="https://m.media-amazon.com/images/I/414eE-M+gfL._SY300_SX300_.jpg" TargetMode="External"/><Relationship Id="rId120" Type="http://schemas.openxmlformats.org/officeDocument/2006/relationships/hyperlink" Target="https://m.media-amazon.com/images/I/41LCWn4aUHL._SX300_SY300_QL70_FMwebp_.jpg" TargetMode="External"/><Relationship Id="rId362" Type="http://schemas.openxmlformats.org/officeDocument/2006/relationships/hyperlink" Target="https://m.media-amazon.com/images/I/41t61osAZHL._SX300_SY300_QL70_ML2_.jpg" TargetMode="External"/><Relationship Id="rId1195" Type="http://schemas.openxmlformats.org/officeDocument/2006/relationships/hyperlink" Target="https://m.media-amazon.com/images/I/41sJ4KQa5xL._SX300_SY300_QL70_FMwebp_.jpg" TargetMode="External"/><Relationship Id="rId361" Type="http://schemas.openxmlformats.org/officeDocument/2006/relationships/hyperlink" Target="https://m.media-amazon.com/images/I/41ApzUQQFVL._SX300_SY300_QL70_ML2_.jpg" TargetMode="External"/><Relationship Id="rId1196" Type="http://schemas.openxmlformats.org/officeDocument/2006/relationships/hyperlink" Target="https://m.media-amazon.com/images/I/417XNLkkFRL._SX300_SY300_QL70_FMwebp_.jpg" TargetMode="External"/><Relationship Id="rId360" Type="http://schemas.openxmlformats.org/officeDocument/2006/relationships/hyperlink" Target="https://m.media-amazon.com/images/I/41qqmdUWnhL._SX300_SY300_QL70_ML2_.jpg" TargetMode="External"/><Relationship Id="rId1197" Type="http://schemas.openxmlformats.org/officeDocument/2006/relationships/hyperlink" Target="https://m.media-amazon.com/images/I/31JaiYt3IRL._SX300_SY300_QL70_FMwebp_.jpg" TargetMode="External"/><Relationship Id="rId125" Type="http://schemas.openxmlformats.org/officeDocument/2006/relationships/hyperlink" Target="https://m.media-amazon.com/images/I/41Om+JyC4iL._SX300_SY300_.jpg" TargetMode="External"/><Relationship Id="rId367" Type="http://schemas.openxmlformats.org/officeDocument/2006/relationships/hyperlink" Target="https://m.media-amazon.com/images/I/419KF2t1nML._SX300_SY300_QL70_ML2_.jpg" TargetMode="External"/><Relationship Id="rId1198" Type="http://schemas.openxmlformats.org/officeDocument/2006/relationships/hyperlink" Target="https://m.media-amazon.com/images/W/WEBP_402378-T2/images/I/41cAIdLrGPL._SX300_SY300_QL70_FMwebp_.jpg" TargetMode="External"/><Relationship Id="rId124" Type="http://schemas.openxmlformats.org/officeDocument/2006/relationships/hyperlink" Target="https://m.media-amazon.com/images/I/51Pu9zNUbtL._SY300_SX300_QL70_FMwebp_.jpg" TargetMode="External"/><Relationship Id="rId366" Type="http://schemas.openxmlformats.org/officeDocument/2006/relationships/hyperlink" Target="https://m.media-amazon.com/images/I/41Mce3f9faL._SX300_SY300_QL70_ML2_.jpg" TargetMode="External"/><Relationship Id="rId1199" Type="http://schemas.openxmlformats.org/officeDocument/2006/relationships/hyperlink" Target="https://m.media-amazon.com/images/W/WEBP_402378-T1/images/I/31pRaPCFqVL._SX300_SY300_QL70_FMwebp_.jpg" TargetMode="External"/><Relationship Id="rId123" Type="http://schemas.openxmlformats.org/officeDocument/2006/relationships/hyperlink" Target="https://m.media-amazon.com/images/I/41P2TNMG-hL._SY300_SX300_QL70_FMwebp_.jpg" TargetMode="External"/><Relationship Id="rId365" Type="http://schemas.openxmlformats.org/officeDocument/2006/relationships/hyperlink" Target="https://m.media-amazon.com/images/I/41mzbWC6AkL._SX300_SY300_QL70_ML2_.jpg" TargetMode="External"/><Relationship Id="rId122" Type="http://schemas.openxmlformats.org/officeDocument/2006/relationships/hyperlink" Target="https://m.media-amazon.com/images/I/31-J+oOnb8L._SY300_SX300_.jpg" TargetMode="External"/><Relationship Id="rId364" Type="http://schemas.openxmlformats.org/officeDocument/2006/relationships/hyperlink" Target="https://m.media-amazon.com/images/I/41op1vdp-UL._SX300_SY300_QL70_ML2_.jpg" TargetMode="External"/><Relationship Id="rId95" Type="http://schemas.openxmlformats.org/officeDocument/2006/relationships/hyperlink" Target="https://m.media-amazon.com/images/W/WEBP_402378-T1/images/I/41mMrtrwgyL._SY300_SX300_QL70_FMwebp_.jpg" TargetMode="External"/><Relationship Id="rId94" Type="http://schemas.openxmlformats.org/officeDocument/2006/relationships/hyperlink" Target="https://m.media-amazon.com/images/W/WEBP_402378-T1/images/I/31Uqr+A2THL._SY300_SX300_.jpg" TargetMode="External"/><Relationship Id="rId97" Type="http://schemas.openxmlformats.org/officeDocument/2006/relationships/hyperlink" Target="https://m.media-amazon.com/images/I/21PB1kWQWdL._SX300_SY300_QL70_FMwebp_.jpg" TargetMode="External"/><Relationship Id="rId96" Type="http://schemas.openxmlformats.org/officeDocument/2006/relationships/hyperlink" Target="https://m.media-amazon.com/images/W/WEBP_402378-T2/images/I/317-HiMYIgS._SY300_SX300_QL70_FMwebp_.jpg" TargetMode="External"/><Relationship Id="rId99" Type="http://schemas.openxmlformats.org/officeDocument/2006/relationships/hyperlink" Target="https://m.media-amazon.com/images/W/WEBP_402378-T1/images/I/219039qa+PL._SY300_SX300_.jpg" TargetMode="External"/><Relationship Id="rId98" Type="http://schemas.openxmlformats.org/officeDocument/2006/relationships/hyperlink" Target="https://m.media-amazon.com/images/W/WEBP_402378-T1/images/I/41nGfip4QuS._SX300_SY300_QL70_FMwebp_.jpg" TargetMode="External"/><Relationship Id="rId91" Type="http://schemas.openxmlformats.org/officeDocument/2006/relationships/hyperlink" Target="https://m.media-amazon.com/images/I/31mgo4D-kPL._SX300_SY300_QL70_FMwebp_.jpg" TargetMode="External"/><Relationship Id="rId90" Type="http://schemas.openxmlformats.org/officeDocument/2006/relationships/hyperlink" Target="https://m.media-amazon.com/images/I/412fvb7k2FL._SX300_SY300_QL70_FMwebp_.jpg" TargetMode="External"/><Relationship Id="rId93" Type="http://schemas.openxmlformats.org/officeDocument/2006/relationships/hyperlink" Target="https://m.media-amazon.com/images/W/WEBP_402378-T1/images/I/4112nea7JlL._SX300_SY300_QL70_FMwebp_.jpg" TargetMode="External"/><Relationship Id="rId92" Type="http://schemas.openxmlformats.org/officeDocument/2006/relationships/hyperlink" Target="https://m.media-amazon.com/images/I/51F6FClq10L._SX300_SY300_QL70_FMwebp_.jpg" TargetMode="External"/><Relationship Id="rId118" Type="http://schemas.openxmlformats.org/officeDocument/2006/relationships/hyperlink" Target="https://m.media-amazon.com/images/W/WEBP_402378-T1/images/I/416GZEi9SuL._SX300_SY300_QL70_FMwebp_.jpg" TargetMode="External"/><Relationship Id="rId117" Type="http://schemas.openxmlformats.org/officeDocument/2006/relationships/hyperlink" Target="https://m.media-amazon.com/images/I/31sBb-2L8KL._SX300_SY300_QL70_FMwebp_.jpg" TargetMode="External"/><Relationship Id="rId359" Type="http://schemas.openxmlformats.org/officeDocument/2006/relationships/hyperlink" Target="https://m.media-amazon.com/images/I/21uXmiH98wL._SX300_SY300_QL70_ML2_.jpg" TargetMode="External"/><Relationship Id="rId116" Type="http://schemas.openxmlformats.org/officeDocument/2006/relationships/hyperlink" Target="https://m.media-amazon.com/images/I/21rxGo3S7FL._SY445_SX342_QL70_FMwebp_.jpg" TargetMode="External"/><Relationship Id="rId358" Type="http://schemas.openxmlformats.org/officeDocument/2006/relationships/hyperlink" Target="https://m.media-amazon.com/images/I/41ZK4aM4zgL._SX300_SY300_QL70_ML2_.jpg" TargetMode="External"/><Relationship Id="rId115" Type="http://schemas.openxmlformats.org/officeDocument/2006/relationships/hyperlink" Target="https://m.media-amazon.com/images/W/WEBP_402378-T2/images/I/41dNwzNOc3L._SX300_SY300_QL70_FMwebp_.jpg" TargetMode="External"/><Relationship Id="rId357" Type="http://schemas.openxmlformats.org/officeDocument/2006/relationships/hyperlink" Target="https://m.media-amazon.com/images/I/21luyw7JrrL._SX300_SY300_QL70_ML2_.jpg" TargetMode="External"/><Relationship Id="rId599" Type="http://schemas.openxmlformats.org/officeDocument/2006/relationships/hyperlink" Target="https://m.media-amazon.com/images/W/WEBP_402378-T2/images/I/31NnmYempPL._SX300_SY300_QL70_FMwebp_.jpg" TargetMode="External"/><Relationship Id="rId1180" Type="http://schemas.openxmlformats.org/officeDocument/2006/relationships/hyperlink" Target="https://m.media-amazon.com/images/I/21qojQDoKWL._SX300_SY300_QL70_FMwebp_.jpg" TargetMode="External"/><Relationship Id="rId1181" Type="http://schemas.openxmlformats.org/officeDocument/2006/relationships/hyperlink" Target="https://m.media-amazon.com/images/W/WEBP_402378-T1/images/I/31hgpO4BxQL._SY445_SX342_QL70_FMwebp_.jpg" TargetMode="External"/><Relationship Id="rId119" Type="http://schemas.openxmlformats.org/officeDocument/2006/relationships/hyperlink" Target="https://m.media-amazon.com/images/W/WEBP_402378-T1/images/I/41ipWb8mrKL._SX300_SY300_QL70_FMwebp_.jpg" TargetMode="External"/><Relationship Id="rId1182" Type="http://schemas.openxmlformats.org/officeDocument/2006/relationships/hyperlink" Target="https://m.media-amazon.com/images/W/WEBP_402378-T2/images/I/313jBpnrJVL._SX300_SY300_QL70_FMwebp_.jpg" TargetMode="External"/><Relationship Id="rId110" Type="http://schemas.openxmlformats.org/officeDocument/2006/relationships/hyperlink" Target="https://m.media-amazon.com/images/W/WEBP_402378-T2/images/I/41CB7sKZvCL._SX300_SY300_QL70_FMwebp_.jpg" TargetMode="External"/><Relationship Id="rId352" Type="http://schemas.openxmlformats.org/officeDocument/2006/relationships/hyperlink" Target="https://m.media-amazon.com/images/I/41LZP1CmYRL._SX300_SY300_QL70_ML2_.jpg" TargetMode="External"/><Relationship Id="rId594" Type="http://schemas.openxmlformats.org/officeDocument/2006/relationships/hyperlink" Target="https://m.media-amazon.com/images/I/41ML8ZbPiiL._SY300_SX300_QL70_FMwebp_.jpg" TargetMode="External"/><Relationship Id="rId1183" Type="http://schemas.openxmlformats.org/officeDocument/2006/relationships/hyperlink" Target="https://m.media-amazon.com/images/I/51b5sh94f7L._SX300_SY300_QL70_FMwebp_.jpg" TargetMode="External"/><Relationship Id="rId351" Type="http://schemas.openxmlformats.org/officeDocument/2006/relationships/hyperlink" Target="https://m.media-amazon.com/images/I/41WpD4fqT4L._SX300_SY300_QL70_ML2_.jpg" TargetMode="External"/><Relationship Id="rId593" Type="http://schemas.openxmlformats.org/officeDocument/2006/relationships/hyperlink" Target="https://m.media-amazon.com/images/I/41EbxurQIDL._SX300_SY300_QL70_FMwebp_.jpg" TargetMode="External"/><Relationship Id="rId1184" Type="http://schemas.openxmlformats.org/officeDocument/2006/relationships/hyperlink" Target="https://m.media-amazon.com/images/W/WEBP_402378-T1/images/I/31A-v4dVHmL._SX300_SY300_QL70_FMwebp_.jpg" TargetMode="External"/><Relationship Id="rId350" Type="http://schemas.openxmlformats.org/officeDocument/2006/relationships/hyperlink" Target="https://m.media-amazon.com/images/I/41KBaLUTYHL._SX300_SY300_QL70_ML2_.jpg" TargetMode="External"/><Relationship Id="rId592" Type="http://schemas.openxmlformats.org/officeDocument/2006/relationships/hyperlink" Target="https://m.media-amazon.com/images/I/31KjuRb9oNL._SX300_SY300_QL70_FMwebp_.jpg" TargetMode="External"/><Relationship Id="rId1185" Type="http://schemas.openxmlformats.org/officeDocument/2006/relationships/hyperlink" Target="https://m.media-amazon.com/images/I/41WPlte6OmL._SY300_SX300_QL70_FMwebp_.jpg" TargetMode="External"/><Relationship Id="rId591" Type="http://schemas.openxmlformats.org/officeDocument/2006/relationships/hyperlink" Target="https://m.media-amazon.com/images/I/51YTmlApiXL._SX300_SY300_QL70_FMwebp_.jpg" TargetMode="External"/><Relationship Id="rId1186" Type="http://schemas.openxmlformats.org/officeDocument/2006/relationships/hyperlink" Target="https://m.media-amazon.com/images/W/WEBP_402378-T2/images/I/316VkpDJItL._SX300_SY300_QL70_FMwebp_.jpg" TargetMode="External"/><Relationship Id="rId114" Type="http://schemas.openxmlformats.org/officeDocument/2006/relationships/hyperlink" Target="https://m.media-amazon.com/images/W/WEBP_402378-T1/images/I/41+3EsgcpzL._SY300_SX300_.jpg" TargetMode="External"/><Relationship Id="rId356" Type="http://schemas.openxmlformats.org/officeDocument/2006/relationships/hyperlink" Target="https://m.media-amazon.com/images/I/41J2W8DASzS._SX300_SY300_QL70_ML2_.jpg" TargetMode="External"/><Relationship Id="rId598" Type="http://schemas.openxmlformats.org/officeDocument/2006/relationships/hyperlink" Target="https://m.media-amazon.com/images/W/WEBP_402378-T2/images/I/31DYx7AhW6L._SX300_SY300_QL70_FMwebp_.jpg" TargetMode="External"/><Relationship Id="rId1187" Type="http://schemas.openxmlformats.org/officeDocument/2006/relationships/hyperlink" Target="https://m.media-amazon.com/images/I/41VQTjrYaCL._SX300_SY300_QL70_FMwebp_.jpg" TargetMode="External"/><Relationship Id="rId113" Type="http://schemas.openxmlformats.org/officeDocument/2006/relationships/hyperlink" Target="https://m.media-amazon.com/images/W/WEBP_402378-T1/images/I/41WD+zBGibL._SY300_SX300_.jpg" TargetMode="External"/><Relationship Id="rId355" Type="http://schemas.openxmlformats.org/officeDocument/2006/relationships/hyperlink" Target="https://m.media-amazon.com/images/I/41IcuNkyrdL._SX300_SY300_QL70_ML2_.jpg" TargetMode="External"/><Relationship Id="rId597" Type="http://schemas.openxmlformats.org/officeDocument/2006/relationships/hyperlink" Target="https://m.media-amazon.com/images/I/51aYKwgu-GL._SX300_SY300_QL70_FMwebp_.jpg" TargetMode="External"/><Relationship Id="rId1188" Type="http://schemas.openxmlformats.org/officeDocument/2006/relationships/hyperlink" Target="https://m.media-amazon.com/images/I/41yrqUum9EL._SY300_SX300_QL70_FMwebp_.jpg" TargetMode="External"/><Relationship Id="rId112" Type="http://schemas.openxmlformats.org/officeDocument/2006/relationships/hyperlink" Target="https://m.media-amazon.com/images/W/WEBP_402378-T2/images/I/41jk4zYjTsL._SX300_SY300_QL70_FMwebp_.jpg" TargetMode="External"/><Relationship Id="rId354" Type="http://schemas.openxmlformats.org/officeDocument/2006/relationships/hyperlink" Target="https://m.media-amazon.com/images/I/413qMt0RdpL._SY300_SX300_QL70_ML2_.jpg" TargetMode="External"/><Relationship Id="rId596" Type="http://schemas.openxmlformats.org/officeDocument/2006/relationships/hyperlink" Target="https://m.media-amazon.com/images/W/WEBP_402378-T1/images/I/31HCup1pqFL._SX300_SY300_QL70_FMwebp_.jpg" TargetMode="External"/><Relationship Id="rId1189" Type="http://schemas.openxmlformats.org/officeDocument/2006/relationships/hyperlink" Target="https://m.media-amazon.com/images/W/WEBP_402378-T1/images/I/415pqPUbDVL._SX300_SY300_QL70_FMwebp_.jpg" TargetMode="External"/><Relationship Id="rId111" Type="http://schemas.openxmlformats.org/officeDocument/2006/relationships/hyperlink" Target="https://m.media-amazon.com/images/I/41fruBt99gL._SX300_SY300_QL70_FMwebp_.jpg" TargetMode="External"/><Relationship Id="rId353" Type="http://schemas.openxmlformats.org/officeDocument/2006/relationships/hyperlink" Target="https://m.media-amazon.com/images/I/31J6I7SrLXL._SX300_SY300_QL70_ML2_.jpg" TargetMode="External"/><Relationship Id="rId595" Type="http://schemas.openxmlformats.org/officeDocument/2006/relationships/hyperlink" Target="https://m.media-amazon.com/images/W/WEBP_402378-T2/images/I/41Peg4pz7fL._SX300_SY300_QL70_FMwebp_.jpg" TargetMode="External"/><Relationship Id="rId1136" Type="http://schemas.openxmlformats.org/officeDocument/2006/relationships/hyperlink" Target="https://m.media-amazon.com/images/W/WEBP_402378-T2/images/I/312FrvLA2RL._SX300_SY300_QL70_FMwebp_.jpg" TargetMode="External"/><Relationship Id="rId1378" Type="http://schemas.openxmlformats.org/officeDocument/2006/relationships/hyperlink" Target="https://m.media-amazon.com/images/W/WEBP_402378-T2/images/I/41lYqkaeadL._SX300_SY300_QL70_FMwebp_.jpg" TargetMode="External"/><Relationship Id="rId1137" Type="http://schemas.openxmlformats.org/officeDocument/2006/relationships/hyperlink" Target="https://m.media-amazon.com/images/W/WEBP_402378-T2/images/I/31R2gaVLwYL._SX300_SY300_QL70_FMwebp_.jpg" TargetMode="External"/><Relationship Id="rId1379" Type="http://schemas.openxmlformats.org/officeDocument/2006/relationships/hyperlink" Target="https://m.media-amazon.com/images/W/WEBP_402378-T2/images/I/51fYpZRmZ2L._SX300_SY300_QL70_FMwebp_.jpg" TargetMode="External"/><Relationship Id="rId1138" Type="http://schemas.openxmlformats.org/officeDocument/2006/relationships/hyperlink" Target="https://m.media-amazon.com/images/W/WEBP_402378-T1/images/I/21-SFWqfgyS._SX300_SY300_QL70_FMwebp_.jpg" TargetMode="External"/><Relationship Id="rId1139" Type="http://schemas.openxmlformats.org/officeDocument/2006/relationships/hyperlink" Target="https://m.media-amazon.com/images/I/31O1Y16P8xL._SY300_SX300_QL70_FMwebp_.jpg" TargetMode="External"/><Relationship Id="rId305" Type="http://schemas.openxmlformats.org/officeDocument/2006/relationships/hyperlink" Target="https://m.media-amazon.com/images/I/31JbtMrUYpL._SX300_SY300_QL70_FMwebp_.jpg" TargetMode="External"/><Relationship Id="rId547" Type="http://schemas.openxmlformats.org/officeDocument/2006/relationships/hyperlink" Target="https://m.media-amazon.com/images/I/41UhF7l9I4L._SX300_SY300_QL70_ML2_.jpg" TargetMode="External"/><Relationship Id="rId789" Type="http://schemas.openxmlformats.org/officeDocument/2006/relationships/hyperlink" Target="https://m.media-amazon.com/images/W/WEBP_402378-T1/images/I/41nmeIgWsZL._SX300_SY300_QL70_FMwebp_.jpg" TargetMode="External"/><Relationship Id="rId304" Type="http://schemas.openxmlformats.org/officeDocument/2006/relationships/hyperlink" Target="https://m.media-amazon.com/images/I/31+EyQ3FtIL._SY300_SX300_.jpg" TargetMode="External"/><Relationship Id="rId546" Type="http://schemas.openxmlformats.org/officeDocument/2006/relationships/hyperlink" Target="https://m.media-amazon.com/images/I/41lnTFZGz9L._SX300_SY300_QL70_ML2_.jpg" TargetMode="External"/><Relationship Id="rId788" Type="http://schemas.openxmlformats.org/officeDocument/2006/relationships/hyperlink" Target="https://m.media-amazon.com/images/I/41+d7HRWPwL._SY300_SX300_.jpg" TargetMode="External"/><Relationship Id="rId303" Type="http://schemas.openxmlformats.org/officeDocument/2006/relationships/hyperlink" Target="https://m.media-amazon.com/images/I/51UUmio53PL._SX300_SY300_QL70_FMwebp_.jpg" TargetMode="External"/><Relationship Id="rId545" Type="http://schemas.openxmlformats.org/officeDocument/2006/relationships/hyperlink" Target="https://m.media-amazon.com/images/I/41UwKwpK40L._SX300_SY300_QL70_ML2_.jpg" TargetMode="External"/><Relationship Id="rId787" Type="http://schemas.openxmlformats.org/officeDocument/2006/relationships/hyperlink" Target="https://m.media-amazon.com/images/W/WEBP_402378-T1/images/I/31tk9yOK-qL._SX300_SY300_QL70_FMwebp_.jpg" TargetMode="External"/><Relationship Id="rId302" Type="http://schemas.openxmlformats.org/officeDocument/2006/relationships/hyperlink" Target="https://m.media-amazon.com/images/I/51aZN040THL._SX300_SY300_QL70_FMwebp_.jpg" TargetMode="External"/><Relationship Id="rId544" Type="http://schemas.openxmlformats.org/officeDocument/2006/relationships/hyperlink" Target="https://m.media-amazon.com/images/I/418vxJS4AML._SX300_SY300_QL70_ML2_.jpg" TargetMode="External"/><Relationship Id="rId786" Type="http://schemas.openxmlformats.org/officeDocument/2006/relationships/hyperlink" Target="https://m.media-amazon.com/images/I/31oumlyiGiL._SX300_SY300_QL70_FMwebp_.jpg" TargetMode="External"/><Relationship Id="rId309" Type="http://schemas.openxmlformats.org/officeDocument/2006/relationships/hyperlink" Target="https://m.media-amazon.com/images/W/WEBP_402378-T2/images/I/41eThX4gyWL._SY300_SX300_QL70_FMwebp_.jpg" TargetMode="External"/><Relationship Id="rId308" Type="http://schemas.openxmlformats.org/officeDocument/2006/relationships/hyperlink" Target="https://m.media-amazon.com/images/W/WEBP_402378-T1/images/I/41J0RvJFffL._SX300_SY300_QL70_FMwebp_.jpg" TargetMode="External"/><Relationship Id="rId307" Type="http://schemas.openxmlformats.org/officeDocument/2006/relationships/hyperlink" Target="https://m.media-amazon.com/images/I/41s2f-e1d3L._SY300_SX300_QL70_FMwebp_.jpg" TargetMode="External"/><Relationship Id="rId549" Type="http://schemas.openxmlformats.org/officeDocument/2006/relationships/hyperlink" Target="https://m.media-amazon.com/images/I/411fc62wnpL._SX300_SY300_QL70_ML2_.jpg" TargetMode="External"/><Relationship Id="rId306" Type="http://schemas.openxmlformats.org/officeDocument/2006/relationships/hyperlink" Target="https://m.media-amazon.com/images/W/WEBP_402378-T2/images/I/41m1oMmTMCL._SX300_SY300_QL70_FMwebp_.jpg" TargetMode="External"/><Relationship Id="rId548" Type="http://schemas.openxmlformats.org/officeDocument/2006/relationships/hyperlink" Target="https://m.media-amazon.com/images/I/21yMfxVmNuL._SX300_SY300_QL70_ML2_.jpg" TargetMode="External"/><Relationship Id="rId781" Type="http://schemas.openxmlformats.org/officeDocument/2006/relationships/hyperlink" Target="https://m.media-amazon.com/images/W/WEBP_402378-T1/images/I/31bUanm+oRL._SY300_SX300_.jpg" TargetMode="External"/><Relationship Id="rId1370" Type="http://schemas.openxmlformats.org/officeDocument/2006/relationships/hyperlink" Target="https://m.media-amazon.com/images/I/414gUKUBHML._SX300_SY300_QL70_FMwebp_.jpg" TargetMode="External"/><Relationship Id="rId780" Type="http://schemas.openxmlformats.org/officeDocument/2006/relationships/hyperlink" Target="https://m.media-amazon.com/images/I/31BXpfrkEWL._SX300_SY300_QL70_FMwebp_.jpg" TargetMode="External"/><Relationship Id="rId1371" Type="http://schemas.openxmlformats.org/officeDocument/2006/relationships/hyperlink" Target="https://m.media-amazon.com/images/W/WEBP_402378-T2/images/I/410GwzE+TrL._SX342_SY445_.jpg" TargetMode="External"/><Relationship Id="rId1130" Type="http://schemas.openxmlformats.org/officeDocument/2006/relationships/hyperlink" Target="https://m.media-amazon.com/images/I/41rkDPlAt+L._SY300_SX300_.jpg" TargetMode="External"/><Relationship Id="rId1372" Type="http://schemas.openxmlformats.org/officeDocument/2006/relationships/hyperlink" Target="https://m.media-amazon.com/images/W/WEBP_402378-T1/images/I/41JWKjRa+PL._SX300_SY300_.jpg" TargetMode="External"/><Relationship Id="rId1131" Type="http://schemas.openxmlformats.org/officeDocument/2006/relationships/hyperlink" Target="https://m.media-amazon.com/images/W/WEBP_402378-T1/images/I/41v0JSmcIuL._SY300_SX300_QL70_FMwebp_.jpg" TargetMode="External"/><Relationship Id="rId1373" Type="http://schemas.openxmlformats.org/officeDocument/2006/relationships/hyperlink" Target="https://m.media-amazon.com/images/I/41UGgTLOD4L._SX300_SY300_QL70_FMwebp_.jpg" TargetMode="External"/><Relationship Id="rId301" Type="http://schemas.openxmlformats.org/officeDocument/2006/relationships/hyperlink" Target="https://m.media-amazon.com/images/I/31VRCXh9kQS._SX300_SY300_QL70_FMwebp_.jpg" TargetMode="External"/><Relationship Id="rId543" Type="http://schemas.openxmlformats.org/officeDocument/2006/relationships/hyperlink" Target="https://m.media-amazon.com/images/I/4155YhLwDiL._SX300_SY300_QL70_ML2_.jpg" TargetMode="External"/><Relationship Id="rId785" Type="http://schemas.openxmlformats.org/officeDocument/2006/relationships/hyperlink" Target="https://m.media-amazon.com/images/I/4177nw8okbL._SX300_SY300_QL70_FMwebp_.jpg" TargetMode="External"/><Relationship Id="rId1132" Type="http://schemas.openxmlformats.org/officeDocument/2006/relationships/hyperlink" Target="https://m.media-amazon.com/images/W/WEBP_402378-T1/images/I/41JrUgIbYOL._SX300_SY300_QL70_FMwebp_.jpg" TargetMode="External"/><Relationship Id="rId1374" Type="http://schemas.openxmlformats.org/officeDocument/2006/relationships/hyperlink" Target="https://m.media-amazon.com/images/I/41asnfU59KL._SY445_SX342_QL70_FMwebp_.jpg" TargetMode="External"/><Relationship Id="rId300" Type="http://schemas.openxmlformats.org/officeDocument/2006/relationships/hyperlink" Target="https://m.media-amazon.com/images/I/41hCikFvL7L._SY300_SX300_QL70_FMwebp_.jpg" TargetMode="External"/><Relationship Id="rId542" Type="http://schemas.openxmlformats.org/officeDocument/2006/relationships/hyperlink" Target="https://m.media-amazon.com/images/I/41tRgeQp9-L._SX300_SY300_QL70_ML2_.jpg" TargetMode="External"/><Relationship Id="rId784" Type="http://schemas.openxmlformats.org/officeDocument/2006/relationships/hyperlink" Target="https://m.media-amazon.com/images/I/318Gp3pIqXL._SX300_SY300_QL70_FMwebp_.jpg" TargetMode="External"/><Relationship Id="rId1133" Type="http://schemas.openxmlformats.org/officeDocument/2006/relationships/hyperlink" Target="https://m.media-amazon.com/images/W/WEBP_402378-T2/images/I/315o5vpD66L._SX300_SY300_QL70_FMwebp_.jpg" TargetMode="External"/><Relationship Id="rId1375" Type="http://schemas.openxmlformats.org/officeDocument/2006/relationships/hyperlink" Target="https://m.media-amazon.com/images/I/41EFR4bxzeL._SX300_SY300_QL70_FMwebp_.jpg" TargetMode="External"/><Relationship Id="rId541" Type="http://schemas.openxmlformats.org/officeDocument/2006/relationships/hyperlink" Target="https://m.media-amazon.com/images/I/31kw1RgU5yL._SX300_SY300_QL70_ML2_.jpg" TargetMode="External"/><Relationship Id="rId783" Type="http://schemas.openxmlformats.org/officeDocument/2006/relationships/hyperlink" Target="https://m.media-amazon.com/images/W/WEBP_402378-T1/images/I/51X5mRykgbL._SX300_SY300_QL70_FMwebp_.jpg" TargetMode="External"/><Relationship Id="rId1134" Type="http://schemas.openxmlformats.org/officeDocument/2006/relationships/hyperlink" Target="https://m.media-amazon.com/images/W/WEBP_402378-T1/images/I/41opVWa6H1L._SX300_SY300_QL70_FMwebp_.jpg" TargetMode="External"/><Relationship Id="rId1376" Type="http://schemas.openxmlformats.org/officeDocument/2006/relationships/hyperlink" Target="https://m.media-amazon.com/images/W/WEBP_402378-T1/images/I/41kr7l+z1FL._SY300_SX300_.jpg" TargetMode="External"/><Relationship Id="rId540" Type="http://schemas.openxmlformats.org/officeDocument/2006/relationships/hyperlink" Target="https://m.media-amazon.com/images/I/41PeQz-jDSL._SX300_SY300_QL70_ML2_.jpg" TargetMode="External"/><Relationship Id="rId782" Type="http://schemas.openxmlformats.org/officeDocument/2006/relationships/hyperlink" Target="https://m.media-amazon.com/images/I/411H6yi-tGL._SX300_SY300_QL70_FMwebp_.jpg" TargetMode="External"/><Relationship Id="rId1135" Type="http://schemas.openxmlformats.org/officeDocument/2006/relationships/hyperlink" Target="https://m.media-amazon.com/images/W/WEBP_402378-T2/images/I/31tiptnSbZL._SX300_SY300_QL70_FMwebp_.jpg" TargetMode="External"/><Relationship Id="rId1377" Type="http://schemas.openxmlformats.org/officeDocument/2006/relationships/hyperlink" Target="https://m.media-amazon.com/images/W/WEBP_402378-T2/images/I/41UoZi45q9L._SX300_SY300_QL70_FMwebp_.jpg" TargetMode="External"/><Relationship Id="rId1125" Type="http://schemas.openxmlformats.org/officeDocument/2006/relationships/hyperlink" Target="https://m.media-amazon.com/images/W/WEBP_402378-T2/images/I/21c-ZYPFJ5L._SX300_SY300_QL70_FMwebp_.jpg" TargetMode="External"/><Relationship Id="rId1367" Type="http://schemas.openxmlformats.org/officeDocument/2006/relationships/hyperlink" Target="https://m.media-amazon.com/images/W/WEBP_402378-T1/images/I/314qO8dyvRL._SX300_SY300_QL70_FMwebp_.jpg" TargetMode="External"/><Relationship Id="rId1126" Type="http://schemas.openxmlformats.org/officeDocument/2006/relationships/hyperlink" Target="https://m.media-amazon.com/images/I/31iKMkOV-DL._SX300_SY300_QL70_FMwebp_.jpg" TargetMode="External"/><Relationship Id="rId1368" Type="http://schemas.openxmlformats.org/officeDocument/2006/relationships/hyperlink" Target="https://m.media-amazon.com/images/W/WEBP_402378-T1/images/I/41d2SJq5sxL._SX300_SY300_QL70_FMwebp_.jpg" TargetMode="External"/><Relationship Id="rId1127" Type="http://schemas.openxmlformats.org/officeDocument/2006/relationships/hyperlink" Target="https://m.media-amazon.com/images/W/WEBP_402378-T1/images/I/31hwosM2Q1L._SX300_SY300_QL70_FMwebp_.jpg" TargetMode="External"/><Relationship Id="rId1369" Type="http://schemas.openxmlformats.org/officeDocument/2006/relationships/hyperlink" Target="https://m.media-amazon.com/images/W/WEBP_402378-T1/images/I/31+EgPqYa6L._SX300_SY300_.jpg" TargetMode="External"/><Relationship Id="rId1128" Type="http://schemas.openxmlformats.org/officeDocument/2006/relationships/hyperlink" Target="https://m.media-amazon.com/images/I/41k+HQz9JbL._SX300_SY300_.jpg" TargetMode="External"/><Relationship Id="rId1129" Type="http://schemas.openxmlformats.org/officeDocument/2006/relationships/hyperlink" Target="https://m.media-amazon.com/images/I/41OxPvBpwYL._SX300_SY300_QL70_FMwebp_.jpg" TargetMode="External"/><Relationship Id="rId536" Type="http://schemas.openxmlformats.org/officeDocument/2006/relationships/hyperlink" Target="https://m.media-amazon.com/images/I/41AGCk95dpL._SX300_SY300_QL70_ML2_.jpg" TargetMode="External"/><Relationship Id="rId778" Type="http://schemas.openxmlformats.org/officeDocument/2006/relationships/hyperlink" Target="https://m.media-amazon.com/images/W/WEBP_402378-T1/images/I/31sSNZUSkfL._SX300_SY300_QL70_FMwebp_.jpg" TargetMode="External"/><Relationship Id="rId535" Type="http://schemas.openxmlformats.org/officeDocument/2006/relationships/hyperlink" Target="https://m.media-amazon.com/images/I/41fMEQ-GoHL._SX300_SY300_QL70_ML2_.jpg" TargetMode="External"/><Relationship Id="rId777" Type="http://schemas.openxmlformats.org/officeDocument/2006/relationships/hyperlink" Target="https://m.media-amazon.com/images/W/WEBP_402378-T2/images/I/51esjcOy79L._SY300_SX300_QL70_FMwebp_.jpg" TargetMode="External"/><Relationship Id="rId534" Type="http://schemas.openxmlformats.org/officeDocument/2006/relationships/hyperlink" Target="https://m.media-amazon.com/images/I/413c3ZnFLxL._SX300_SY300_QL70_ML2_.jpg" TargetMode="External"/><Relationship Id="rId776" Type="http://schemas.openxmlformats.org/officeDocument/2006/relationships/hyperlink" Target="https://m.media-amazon.com/images/I/31+Rg6Z46dL._SX300_SY300_.jpg" TargetMode="External"/><Relationship Id="rId533" Type="http://schemas.openxmlformats.org/officeDocument/2006/relationships/hyperlink" Target="https://m.media-amazon.com/images/I/41sJ50FH9OL._SX300_SY300_QL70_ML2_.jpg" TargetMode="External"/><Relationship Id="rId775" Type="http://schemas.openxmlformats.org/officeDocument/2006/relationships/hyperlink" Target="https://m.media-amazon.com/images/I/21VBjRnsH6L._SX300_SY300_QL70_FMwebp_.jpg" TargetMode="External"/><Relationship Id="rId539" Type="http://schemas.openxmlformats.org/officeDocument/2006/relationships/hyperlink" Target="https://m.media-amazon.com/images/I/21rFBH5Lf2L._SX300_SY300_QL70_ML2_.jpg" TargetMode="External"/><Relationship Id="rId538" Type="http://schemas.openxmlformats.org/officeDocument/2006/relationships/hyperlink" Target="https://m.media-amazon.com/images/I/41ML8ZbPiiL._SY300_SX300_QL70_ML2_.jpg" TargetMode="External"/><Relationship Id="rId537" Type="http://schemas.openxmlformats.org/officeDocument/2006/relationships/hyperlink" Target="https://m.media-amazon.com/images/I/41zejggGzLL._SX300_SY300_QL70_ML2_.jpg" TargetMode="External"/><Relationship Id="rId779" Type="http://schemas.openxmlformats.org/officeDocument/2006/relationships/hyperlink" Target="https://m.media-amazon.com/images/I/41hF4CFTsGL._SX300_SY300_QL70_FMwebp_.jpg" TargetMode="External"/><Relationship Id="rId770" Type="http://schemas.openxmlformats.org/officeDocument/2006/relationships/hyperlink" Target="https://m.media-amazon.com/images/W/WEBP_402378-T2/images/I/31AQqe9fbJL._SX300_SY300_QL70_FMwebp_.jpg" TargetMode="External"/><Relationship Id="rId1360" Type="http://schemas.openxmlformats.org/officeDocument/2006/relationships/hyperlink" Target="https://m.media-amazon.com/images/W/WEBP_402378-T2/images/I/41UBtJFuwEL._SX300_SY300_QL70_FMwebp_.jpg" TargetMode="External"/><Relationship Id="rId1361" Type="http://schemas.openxmlformats.org/officeDocument/2006/relationships/hyperlink" Target="https://m.media-amazon.com/images/W/WEBP_402378-T2/images/I/41g0U0-t1RL._SX300_SY300_QL70_FMwebp_.jpg" TargetMode="External"/><Relationship Id="rId1120" Type="http://schemas.openxmlformats.org/officeDocument/2006/relationships/hyperlink" Target="https://m.media-amazon.com/images/W/WEBP_402378-T1/images/I/31g2BiAmVjL._SY300_SX300_QL70_FMwebp_.jpg" TargetMode="External"/><Relationship Id="rId1362" Type="http://schemas.openxmlformats.org/officeDocument/2006/relationships/hyperlink" Target="https://m.media-amazon.com/images/W/WEBP_402378-T1/images/I/41A6EmdtN8L._SY300_SX300_QL70_FMwebp_.jpg" TargetMode="External"/><Relationship Id="rId532" Type="http://schemas.openxmlformats.org/officeDocument/2006/relationships/hyperlink" Target="https://m.media-amazon.com/images/I/312X0wyfvmL._SX300_SY300_QL70_ML2_.jpg" TargetMode="External"/><Relationship Id="rId774" Type="http://schemas.openxmlformats.org/officeDocument/2006/relationships/hyperlink" Target="https://m.media-amazon.com/images/I/41sEmULXfAL._SX300_SY300_QL70_FMwebp_.jpg" TargetMode="External"/><Relationship Id="rId1121" Type="http://schemas.openxmlformats.org/officeDocument/2006/relationships/hyperlink" Target="https://m.media-amazon.com/images/I/41orhoQwtGL._SX300_SY300_QL70_FMwebp_.jpg" TargetMode="External"/><Relationship Id="rId1363" Type="http://schemas.openxmlformats.org/officeDocument/2006/relationships/hyperlink" Target="https://m.media-amazon.com/images/W/WEBP_402378-T2/images/I/41Ps3i9b4HL._SY300_SX300_QL70_FMwebp_.jpg" TargetMode="External"/><Relationship Id="rId531" Type="http://schemas.openxmlformats.org/officeDocument/2006/relationships/hyperlink" Target="https://m.media-amazon.com/images/I/41KVdXIcg0L._SX300_SY300_QL70_ML2_.jpg" TargetMode="External"/><Relationship Id="rId773" Type="http://schemas.openxmlformats.org/officeDocument/2006/relationships/hyperlink" Target="https://m.media-amazon.com/images/I/41T3Z43M4yL._SX300_SY300_QL70_FMwebp_.jpg" TargetMode="External"/><Relationship Id="rId1122" Type="http://schemas.openxmlformats.org/officeDocument/2006/relationships/hyperlink" Target="https://m.media-amazon.com/images/W/WEBP_402378-T1/images/I/416wtLbGHvL._SX300_SY300_QL70_FMwebp_.jpg" TargetMode="External"/><Relationship Id="rId1364" Type="http://schemas.openxmlformats.org/officeDocument/2006/relationships/hyperlink" Target="https://m.media-amazon.com/images/W/WEBP_402378-T1/images/I/41C90o+3GOL._SX300_SY300_.jpg" TargetMode="External"/><Relationship Id="rId530" Type="http://schemas.openxmlformats.org/officeDocument/2006/relationships/hyperlink" Target="https://m.media-amazon.com/images/I/416n3nd4MhL._SY300_SX300_QL70_ML2_.jpg" TargetMode="External"/><Relationship Id="rId772" Type="http://schemas.openxmlformats.org/officeDocument/2006/relationships/hyperlink" Target="https://m.media-amazon.com/images/I/41jk4zYjTsL._SX300_SY300_QL70_FMwebp_.jpg" TargetMode="External"/><Relationship Id="rId1123" Type="http://schemas.openxmlformats.org/officeDocument/2006/relationships/hyperlink" Target="https://m.media-amazon.com/images/W/WEBP_402378-T1/images/I/31Sgt4ZRNXL._SX300_SY300_QL70_FMwebp_.jpg" TargetMode="External"/><Relationship Id="rId1365" Type="http://schemas.openxmlformats.org/officeDocument/2006/relationships/hyperlink" Target="https://m.media-amazon.com/images/W/WEBP_402378-T2/images/I/41iZgQu0WLL._SY300_SX300_QL70_FMwebp_.jpg" TargetMode="External"/><Relationship Id="rId771" Type="http://schemas.openxmlformats.org/officeDocument/2006/relationships/hyperlink" Target="https://m.media-amazon.com/images/I/31BWFhkXiPL._SX300_SY300_QL70_FMwebp_.jpg" TargetMode="External"/><Relationship Id="rId1124" Type="http://schemas.openxmlformats.org/officeDocument/2006/relationships/hyperlink" Target="https://m.media-amazon.com/images/I/41PhEVR4X4L._SX300_SY300_QL70_FMwebp_.jpg" TargetMode="External"/><Relationship Id="rId1366" Type="http://schemas.openxmlformats.org/officeDocument/2006/relationships/hyperlink" Target="https://m.media-amazon.com/images/I/31B-f4QcESS._SX300_SY300_QL70_FMwebp_.jpg" TargetMode="External"/><Relationship Id="rId1158" Type="http://schemas.openxmlformats.org/officeDocument/2006/relationships/hyperlink" Target="https://m.media-amazon.com/images/W/WEBP_402378-T2/images/I/31y+z3bqZcL._SY300_SX300_.jpg" TargetMode="External"/><Relationship Id="rId1159" Type="http://schemas.openxmlformats.org/officeDocument/2006/relationships/hyperlink" Target="https://m.media-amazon.com/images/W/WEBP_402378-T1/images/I/314HwKNEFEL._SX300_SY300_QL70_FMwebp_.jpg" TargetMode="External"/><Relationship Id="rId327" Type="http://schemas.openxmlformats.org/officeDocument/2006/relationships/hyperlink" Target="https://m.media-amazon.com/images/W/WEBP_402378-T1/images/I/51z60rNcKSL._SY300_SX300_QL70_FMwebp_.jpg" TargetMode="External"/><Relationship Id="rId569" Type="http://schemas.openxmlformats.org/officeDocument/2006/relationships/hyperlink" Target="https://m.media-amazon.com/images/I/41ezRvTwcaL._SX300_SY300_QL70_ML2_.jpg" TargetMode="External"/><Relationship Id="rId326" Type="http://schemas.openxmlformats.org/officeDocument/2006/relationships/hyperlink" Target="https://m.media-amazon.com/images/I/41sSPp4pkYL._SY300_SX300_QL70_FMwebp_.jpg" TargetMode="External"/><Relationship Id="rId568" Type="http://schemas.openxmlformats.org/officeDocument/2006/relationships/hyperlink" Target="https://m.media-amazon.com/images/I/516BHYFQ3JL._SX300_SY300_QL70_ML2_.jpg" TargetMode="External"/><Relationship Id="rId325" Type="http://schemas.openxmlformats.org/officeDocument/2006/relationships/hyperlink" Target="https://m.media-amazon.com/images/I/31-q0xhaTAL._SY445_SX342_QL70_FMwebp_.jpg" TargetMode="External"/><Relationship Id="rId567" Type="http://schemas.openxmlformats.org/officeDocument/2006/relationships/hyperlink" Target="https://m.media-amazon.com/images/I/41i7LM0pGwL._SX300_SY300_QL70_ML2_.jpg" TargetMode="External"/><Relationship Id="rId324" Type="http://schemas.openxmlformats.org/officeDocument/2006/relationships/hyperlink" Target="https://m.media-amazon.com/images/I/51UuhCYmBnL._SY300_SX300_QL70_FMwebp_.jpg" TargetMode="External"/><Relationship Id="rId566" Type="http://schemas.openxmlformats.org/officeDocument/2006/relationships/hyperlink" Target="https://m.media-amazon.com/images/I/31Iuz7jlfqL._SX300_SY300_QL70_ML2_.jpg" TargetMode="External"/><Relationship Id="rId329" Type="http://schemas.openxmlformats.org/officeDocument/2006/relationships/hyperlink" Target="https://m.media-amazon.com/images/I/31FmMK7a9PL._SY445_SX342_QL70_FMwebp_.jpg" TargetMode="External"/><Relationship Id="rId1390" Type="http://schemas.openxmlformats.org/officeDocument/2006/relationships/hyperlink" Target="https://m.media-amazon.com/images/W/WEBP_402378-T2/images/I/41HoeX-PcDL._SY445_SX342_QL70_FMwebp_.jpg" TargetMode="External"/><Relationship Id="rId328" Type="http://schemas.openxmlformats.org/officeDocument/2006/relationships/hyperlink" Target="https://m.media-amazon.com/images/W/WEBP_402378-T2/images/I/41xL87ElgjL._SY300_SX300_QL70_FMwebp_.jpg" TargetMode="External"/><Relationship Id="rId1391" Type="http://schemas.openxmlformats.org/officeDocument/2006/relationships/hyperlink" Target="https://m.media-amazon.com/images/I/41R4IgGsMaL._SX300_SY300_QL70_FMwebp_.jpg" TargetMode="External"/><Relationship Id="rId561" Type="http://schemas.openxmlformats.org/officeDocument/2006/relationships/hyperlink" Target="https://m.media-amazon.com/images/I/41ynwpRq+kL._SY300_SX300_.jpg" TargetMode="External"/><Relationship Id="rId1150" Type="http://schemas.openxmlformats.org/officeDocument/2006/relationships/hyperlink" Target="https://m.media-amazon.com/images/W/WEBP_402378-T2/images/I/41Oo66iQH7L._SY445_SX342_QL70_FMwebp_.jpg" TargetMode="External"/><Relationship Id="rId1392" Type="http://schemas.openxmlformats.org/officeDocument/2006/relationships/hyperlink" Target="https://m.media-amazon.com/images/W/WEBP_402378-T2/images/I/41mcGL9ei0L._SX300_SY300_QL70_FMwebp_.jpg" TargetMode="External"/><Relationship Id="rId560" Type="http://schemas.openxmlformats.org/officeDocument/2006/relationships/hyperlink" Target="https://m.media-amazon.com/images/I/41GwFR981CL._SX300_SY300_QL70_ML2_.jpg" TargetMode="External"/><Relationship Id="rId1151" Type="http://schemas.openxmlformats.org/officeDocument/2006/relationships/hyperlink" Target="https://m.media-amazon.com/images/I/31yPDf0htkL._SX300_SY300_QL70_FMwebp_.jpg" TargetMode="External"/><Relationship Id="rId1393" Type="http://schemas.openxmlformats.org/officeDocument/2006/relationships/hyperlink" Target="https://m.media-amazon.com/images/W/WEBP_402378-T1/images/I/51Ule90yh0L._SX300_SY300_QL70_FMwebp_.jpg" TargetMode="External"/><Relationship Id="rId1152" Type="http://schemas.openxmlformats.org/officeDocument/2006/relationships/hyperlink" Target="https://m.media-amazon.com/images/I/31k9FfzMGzL._SX300_SY300_QL70_FMwebp_.jpg" TargetMode="External"/><Relationship Id="rId1394" Type="http://schemas.openxmlformats.org/officeDocument/2006/relationships/hyperlink" Target="https://m.media-amazon.com/images/I/41Fo2P8-4ZL._SY300_SX300_QL70_FMwebp_.jpg" TargetMode="External"/><Relationship Id="rId1153" Type="http://schemas.openxmlformats.org/officeDocument/2006/relationships/hyperlink" Target="https://m.media-amazon.com/images/W/WEBP_402378-T2/images/I/31MNWLE6vuL._SY300_SX300_QL70_FMwebp_.jpg" TargetMode="External"/><Relationship Id="rId1395" Type="http://schemas.openxmlformats.org/officeDocument/2006/relationships/hyperlink" Target="https://m.media-amazon.com/images/W/WEBP_402378-T2/images/I/41F-EWC+v+L._SY300_SX300_.jpg" TargetMode="External"/><Relationship Id="rId323" Type="http://schemas.openxmlformats.org/officeDocument/2006/relationships/hyperlink" Target="https://m.media-amazon.com/images/W/WEBP_402378-T1/images/I/41Wb7LHAeLL._SY300_SX300_QL70_FMwebp_.jpg" TargetMode="External"/><Relationship Id="rId565" Type="http://schemas.openxmlformats.org/officeDocument/2006/relationships/hyperlink" Target="https://m.media-amazon.com/images/I/41gFqSHngyL._SX300_SY300_QL70_ML2_.jpg" TargetMode="External"/><Relationship Id="rId1154" Type="http://schemas.openxmlformats.org/officeDocument/2006/relationships/hyperlink" Target="https://m.media-amazon.com/images/I/51d1BSuCGfL._SY300_SX300_QL70_FMwebp_.jpg" TargetMode="External"/><Relationship Id="rId1396" Type="http://schemas.openxmlformats.org/officeDocument/2006/relationships/hyperlink" Target="https://m.media-amazon.com/images/W/WEBP_402378-T1/images/I/41Qu+vkjbcL._SY300_SX300_.jpg" TargetMode="External"/><Relationship Id="rId322" Type="http://schemas.openxmlformats.org/officeDocument/2006/relationships/hyperlink" Target="https://m.media-amazon.com/images/W/WEBP_402378-T1/images/I/51xmNdrIlcS._SY300_SX300_QL70_FMwebp_.jpg" TargetMode="External"/><Relationship Id="rId564" Type="http://schemas.openxmlformats.org/officeDocument/2006/relationships/hyperlink" Target="https://m.media-amazon.com/images/I/51xaoGdw9EL._SX300_SY300_QL70_ML2_.jpg" TargetMode="External"/><Relationship Id="rId1155" Type="http://schemas.openxmlformats.org/officeDocument/2006/relationships/hyperlink" Target="https://m.media-amazon.com/images/W/WEBP_402378-T1/images/I/31NRaw6L7KL._SX300_SY300_QL70_FMwebp_.jpg" TargetMode="External"/><Relationship Id="rId1397" Type="http://schemas.openxmlformats.org/officeDocument/2006/relationships/hyperlink" Target="https://m.media-amazon.com/images/I/51V0CstI47L._SX300_SY300_QL70_FMwebp_.jpg" TargetMode="External"/><Relationship Id="rId321" Type="http://schemas.openxmlformats.org/officeDocument/2006/relationships/hyperlink" Target="https://m.media-amazon.com/images/I/41dwFttHxpL._SX300_SY300_QL70_FMwebp_.jpg" TargetMode="External"/><Relationship Id="rId563" Type="http://schemas.openxmlformats.org/officeDocument/2006/relationships/hyperlink" Target="https://m.media-amazon.com/images/I/31-BRsjrvDL._SY300_SX300_QL70_ML2_.jpg" TargetMode="External"/><Relationship Id="rId1156" Type="http://schemas.openxmlformats.org/officeDocument/2006/relationships/hyperlink" Target="https://m.media-amazon.com/images/W/WEBP_402378-T2/images/I/31na34LxwmL._SX300_SY300_QL70_FMwebp_.jpg" TargetMode="External"/><Relationship Id="rId1398" Type="http://schemas.openxmlformats.org/officeDocument/2006/relationships/hyperlink" Target="https://m.media-amazon.com/images/W/WEBP_402378-T1/images/I/41pb+fODkVL._SX300_SY300_.jpg" TargetMode="External"/><Relationship Id="rId320" Type="http://schemas.openxmlformats.org/officeDocument/2006/relationships/hyperlink" Target="https://m.media-amazon.com/images/W/WEBP_402378-T2/images/I/41Bi9ZwBQ7L._SX300_SY300_QL70_FMwebp_.jpg" TargetMode="External"/><Relationship Id="rId562" Type="http://schemas.openxmlformats.org/officeDocument/2006/relationships/hyperlink" Target="https://m.media-amazon.com/images/I/41XaIckgKIL._SX300_SY300_QL70_ML2_.jpg" TargetMode="External"/><Relationship Id="rId1157" Type="http://schemas.openxmlformats.org/officeDocument/2006/relationships/hyperlink" Target="https://m.media-amazon.com/images/W/WEBP_402378-T1/images/I/41-kc5sVOQL._SX300_SY300_QL70_FMwebp_.jpg" TargetMode="External"/><Relationship Id="rId1399" Type="http://schemas.openxmlformats.org/officeDocument/2006/relationships/hyperlink" Target="https://m.media-amazon.com/images/I/310R9iLp3mL._SX300_SY300_QL70_FMwebp_.jpg" TargetMode="External"/><Relationship Id="rId1147" Type="http://schemas.openxmlformats.org/officeDocument/2006/relationships/hyperlink" Target="https://m.media-amazon.com/images/I/31ZbGgybh0L._SX300_SY300_QL70_FMwebp_.jpg" TargetMode="External"/><Relationship Id="rId1389" Type="http://schemas.openxmlformats.org/officeDocument/2006/relationships/hyperlink" Target="https://m.media-amazon.com/images/W/WEBP_402378-T1/images/I/41hoHTbN5rL._SX300_SY300_QL70_FMwebp_.jpg" TargetMode="External"/><Relationship Id="rId1148" Type="http://schemas.openxmlformats.org/officeDocument/2006/relationships/hyperlink" Target="https://m.media-amazon.com/images/W/WEBP_402378-T2/images/I/31TKp-ARDUL._SX300_SY300_QL70_FMwebp_.jpg" TargetMode="External"/><Relationship Id="rId1149" Type="http://schemas.openxmlformats.org/officeDocument/2006/relationships/hyperlink" Target="https://m.media-amazon.com/images/I/21nPIBIwF0L._SX300_SY300_QL70_FMwebp_.jpg" TargetMode="External"/><Relationship Id="rId316" Type="http://schemas.openxmlformats.org/officeDocument/2006/relationships/hyperlink" Target="https://m.media-amazon.com/images/W/WEBP_402378-T1/images/I/213GZPC7uwL._SX300_SY300_QL70_FMwebp_.jpg" TargetMode="External"/><Relationship Id="rId558" Type="http://schemas.openxmlformats.org/officeDocument/2006/relationships/hyperlink" Target="https://m.media-amazon.com/images/I/41WYWN1pdvL._SX300_SY300_QL70_ML2_.jpg" TargetMode="External"/><Relationship Id="rId315" Type="http://schemas.openxmlformats.org/officeDocument/2006/relationships/hyperlink" Target="https://m.media-amazon.com/images/W/WEBP_402378-T1/images/I/41TBdmDqSjL._SY445_SX342_QL70_FMwebp_.jpg" TargetMode="External"/><Relationship Id="rId557" Type="http://schemas.openxmlformats.org/officeDocument/2006/relationships/hyperlink" Target="https://m.media-amazon.com/images/I/31gNcDrEskL._SX300_SY300_QL70_ML2_.jpg" TargetMode="External"/><Relationship Id="rId799" Type="http://schemas.openxmlformats.org/officeDocument/2006/relationships/hyperlink" Target="https://m.media-amazon.com/images/I/31ZJqJC4frL._SX300_SY300_QL70_FMwebp_.jpg" TargetMode="External"/><Relationship Id="rId314" Type="http://schemas.openxmlformats.org/officeDocument/2006/relationships/hyperlink" Target="https://m.media-amazon.com/images/W/WEBP_402378-T2/images/I/311Rq7jXvgL._SY445_SX342_QL70_FMwebp_.jpg" TargetMode="External"/><Relationship Id="rId556" Type="http://schemas.openxmlformats.org/officeDocument/2006/relationships/hyperlink" Target="https://m.media-amazon.com/images/I/51JrMWMAmnL._SX300_SY300_QL70_ML2_.jpg" TargetMode="External"/><Relationship Id="rId798" Type="http://schemas.openxmlformats.org/officeDocument/2006/relationships/hyperlink" Target="https://m.media-amazon.com/images/W/WEBP_402378-T1/images/I/516xGB5Bt+L._SY300_SX300_.jpg" TargetMode="External"/><Relationship Id="rId313" Type="http://schemas.openxmlformats.org/officeDocument/2006/relationships/hyperlink" Target="https://m.media-amazon.com/images/W/WEBP_402378-T1/images/I/31z9cuviPzL._SX300_SY300_QL70_FMwebp_.jpg" TargetMode="External"/><Relationship Id="rId555" Type="http://schemas.openxmlformats.org/officeDocument/2006/relationships/hyperlink" Target="https://m.media-amazon.com/images/I/4121yWSVFmL._SX300_SY300_QL70_ML2_.jpg" TargetMode="External"/><Relationship Id="rId797" Type="http://schemas.openxmlformats.org/officeDocument/2006/relationships/hyperlink" Target="https://m.media-amazon.com/images/I/41GogihEYeL._SX300_SY300_QL70_FMwebp_.jpg" TargetMode="External"/><Relationship Id="rId319" Type="http://schemas.openxmlformats.org/officeDocument/2006/relationships/hyperlink" Target="https://m.media-amazon.com/images/W/WEBP_402378-T2/images/I/31w1SSKA-tL._SX300_SY300_QL70_FMwebp_.jpg" TargetMode="External"/><Relationship Id="rId318" Type="http://schemas.openxmlformats.org/officeDocument/2006/relationships/hyperlink" Target="https://m.media-amazon.com/images/W/WEBP_402378-T1/images/I/41sA8PA31pL._SY300_SX300_QL70_FMwebp_.jpg" TargetMode="External"/><Relationship Id="rId317" Type="http://schemas.openxmlformats.org/officeDocument/2006/relationships/hyperlink" Target="https://m.media-amazon.com/images/W/WEBP_402378-T2/images/I/31WPRa-K7GL._SY445_SX342_QL70_FMwebp_.jpg" TargetMode="External"/><Relationship Id="rId559" Type="http://schemas.openxmlformats.org/officeDocument/2006/relationships/hyperlink" Target="https://m.media-amazon.com/images/I/31Hb9RGI+jL._SY300_SX300_.jpg" TargetMode="External"/><Relationship Id="rId1380" Type="http://schemas.openxmlformats.org/officeDocument/2006/relationships/hyperlink" Target="https://m.media-amazon.com/images/W/WEBP_402378-T2/images/I/31C71rcp+1L._SY300_SX300_.jpg" TargetMode="External"/><Relationship Id="rId550" Type="http://schemas.openxmlformats.org/officeDocument/2006/relationships/hyperlink" Target="https://m.media-amazon.com/images/I/41YwW+O-SKL._SY300_SX300_.jpg" TargetMode="External"/><Relationship Id="rId792" Type="http://schemas.openxmlformats.org/officeDocument/2006/relationships/hyperlink" Target="https://m.media-amazon.com/images/W/WEBP_402378-T1/images/I/41NF7VStoSL._SX300_SY300_QL70_FMwebp_.jpg" TargetMode="External"/><Relationship Id="rId1381" Type="http://schemas.openxmlformats.org/officeDocument/2006/relationships/hyperlink" Target="https://m.media-amazon.com/images/I/41EI+3OYGaL._SY300_SX300_.jpg" TargetMode="External"/><Relationship Id="rId791" Type="http://schemas.openxmlformats.org/officeDocument/2006/relationships/hyperlink" Target="https://m.media-amazon.com/images/I/41+vZl3dF7L._SY300_SX300_.jpg" TargetMode="External"/><Relationship Id="rId1140" Type="http://schemas.openxmlformats.org/officeDocument/2006/relationships/hyperlink" Target="https://m.media-amazon.com/images/W/WEBP_402378-T1/images/I/41ORNeJrRxL._SX300_SY300_QL70_FMwebp_.jpg" TargetMode="External"/><Relationship Id="rId1382" Type="http://schemas.openxmlformats.org/officeDocument/2006/relationships/hyperlink" Target="https://m.media-amazon.com/images/I/41cZE9HcRUL._SX300_SY300_QL70_FMwebp_.jpg" TargetMode="External"/><Relationship Id="rId790" Type="http://schemas.openxmlformats.org/officeDocument/2006/relationships/hyperlink" Target="https://m.media-amazon.com/images/I/31RlOXIcTYL._SX300_SY300_QL70_FMwebp_.jpg" TargetMode="External"/><Relationship Id="rId1141" Type="http://schemas.openxmlformats.org/officeDocument/2006/relationships/hyperlink" Target="https://m.media-amazon.com/images/I/411ipFfM1vL._SX300_SY300_QL70_FMwebp_.jpg" TargetMode="External"/><Relationship Id="rId1383" Type="http://schemas.openxmlformats.org/officeDocument/2006/relationships/hyperlink" Target="https://m.media-amazon.com/images/I/31Sh9NZmX-L._SX300_SY300_QL70_FMwebp_.jpg" TargetMode="External"/><Relationship Id="rId1142" Type="http://schemas.openxmlformats.org/officeDocument/2006/relationships/hyperlink" Target="https://m.media-amazon.com/images/I/41xQDop2T5L._SX300_SY300_QL70_FMwebp_.jpg" TargetMode="External"/><Relationship Id="rId1384" Type="http://schemas.openxmlformats.org/officeDocument/2006/relationships/hyperlink" Target="https://m.media-amazon.com/images/I/41+oy999w7L._SY300_SX300_.jpg" TargetMode="External"/><Relationship Id="rId312" Type="http://schemas.openxmlformats.org/officeDocument/2006/relationships/hyperlink" Target="https://m.media-amazon.com/images/I/4175g2Idd9L._SY445_SX342_QL70_FMwebp_.jpg" TargetMode="External"/><Relationship Id="rId554" Type="http://schemas.openxmlformats.org/officeDocument/2006/relationships/hyperlink" Target="https://m.media-amazon.com/images/I/41wlZ0cZChL._SX300_SY300_QL70_ML2_.jpg" TargetMode="External"/><Relationship Id="rId796" Type="http://schemas.openxmlformats.org/officeDocument/2006/relationships/hyperlink" Target="https://m.media-amazon.com/images/W/WEBP_402378-T2/images/I/21UKIwf0IVL._SX300_SY300_QL70_FMwebp_.jpg" TargetMode="External"/><Relationship Id="rId1143" Type="http://schemas.openxmlformats.org/officeDocument/2006/relationships/hyperlink" Target="https://m.media-amazon.com/images/I/41J7JQ+P7WL._SX300_SY300_.jpg" TargetMode="External"/><Relationship Id="rId1385" Type="http://schemas.openxmlformats.org/officeDocument/2006/relationships/hyperlink" Target="https://m.media-amazon.com/images/W/WEBP_402378-T2/images/I/417Fqdo6KJL._SX300_SY300_QL70_FMwebp_.jpg" TargetMode="External"/><Relationship Id="rId311" Type="http://schemas.openxmlformats.org/officeDocument/2006/relationships/hyperlink" Target="https://m.media-amazon.com/images/I/41bO-mGKk+L._SY300_SX300_.jpg" TargetMode="External"/><Relationship Id="rId553" Type="http://schemas.openxmlformats.org/officeDocument/2006/relationships/hyperlink" Target="https://m.media-amazon.com/images/I/41jmiwgyu8L._SX300_SY300_QL70_ML2_.jpg" TargetMode="External"/><Relationship Id="rId795" Type="http://schemas.openxmlformats.org/officeDocument/2006/relationships/hyperlink" Target="https://m.media-amazon.com/images/W/WEBP_402378-T1/images/I/316Q0fvU+2L._SY300_SX300_.jpg" TargetMode="External"/><Relationship Id="rId1144" Type="http://schemas.openxmlformats.org/officeDocument/2006/relationships/hyperlink" Target="https://m.media-amazon.com/images/I/41nBjnlp-ML._SY300_SX300_QL70_FMwebp_.jpg" TargetMode="External"/><Relationship Id="rId1386" Type="http://schemas.openxmlformats.org/officeDocument/2006/relationships/hyperlink" Target="https://m.media-amazon.com/images/W/WEBP_402378-T1/images/I/411S8WHOsXL._SX300_SY300_QL70_FMwebp_.jpg" TargetMode="External"/><Relationship Id="rId310" Type="http://schemas.openxmlformats.org/officeDocument/2006/relationships/hyperlink" Target="https://m.media-amazon.com/images/W/WEBP_402378-T2/images/I/51L+sZTCgzL._SY300_SX300_.jpg" TargetMode="External"/><Relationship Id="rId552" Type="http://schemas.openxmlformats.org/officeDocument/2006/relationships/hyperlink" Target="https://m.media-amazon.com/images/I/31S1zpNb8bL._SX300_SY300_QL70_ML2_.jpg" TargetMode="External"/><Relationship Id="rId794" Type="http://schemas.openxmlformats.org/officeDocument/2006/relationships/hyperlink" Target="https://m.media-amazon.com/images/W/WEBP_402378-T1/images/I/31iDEczWTWL._SX300_SY300_QL70_FMwebp_.jpg" TargetMode="External"/><Relationship Id="rId1145" Type="http://schemas.openxmlformats.org/officeDocument/2006/relationships/hyperlink" Target="https://m.media-amazon.com/images/I/41f4XKOolpL._SX300_SY300_QL70_FMwebp_.jpg" TargetMode="External"/><Relationship Id="rId1387" Type="http://schemas.openxmlformats.org/officeDocument/2006/relationships/hyperlink" Target="https://m.media-amazon.com/images/I/417VKyMXuYL._SX300_SY300_QL70_FMwebp_.jpg" TargetMode="External"/><Relationship Id="rId551" Type="http://schemas.openxmlformats.org/officeDocument/2006/relationships/hyperlink" Target="https://m.media-amazon.com/images/I/31M4nb0+JKL._SY300_SX300_.jpg" TargetMode="External"/><Relationship Id="rId793" Type="http://schemas.openxmlformats.org/officeDocument/2006/relationships/hyperlink" Target="https://m.media-amazon.com/images/W/WEBP_402378-T1/images/I/41bvBlmqDdL._SX300_SY300_QL70_FMwebp_.jpg" TargetMode="External"/><Relationship Id="rId1146" Type="http://schemas.openxmlformats.org/officeDocument/2006/relationships/hyperlink" Target="https://m.media-amazon.com/images/I/41+t2HWvwFL._SY300_SX300_.jpg" TargetMode="External"/><Relationship Id="rId1388" Type="http://schemas.openxmlformats.org/officeDocument/2006/relationships/hyperlink" Target="https://m.media-amazon.com/images/W/WEBP_402378-T1/images/I/31gRT7Gvw7L._SY300_SX300_QL70_FMwebp_.jpg" TargetMode="External"/><Relationship Id="rId297" Type="http://schemas.openxmlformats.org/officeDocument/2006/relationships/hyperlink" Target="https://m.media-amazon.com/images/W/WEBP_402378-T2/images/I/31dENZ1gQVL._SX300_SY300_QL70_FMwebp_.jpg" TargetMode="External"/><Relationship Id="rId296" Type="http://schemas.openxmlformats.org/officeDocument/2006/relationships/hyperlink" Target="https://m.media-amazon.com/images/I/512qfz0MI0L._SX300_SY300_QL70_FMwebp_.jpg" TargetMode="External"/><Relationship Id="rId295" Type="http://schemas.openxmlformats.org/officeDocument/2006/relationships/hyperlink" Target="https://m.media-amazon.com/images/W/WEBP_402378-T1/images/I/31bCliyezAL._SX300_SY300_QL70_FMwebp_.jpg" TargetMode="External"/><Relationship Id="rId294" Type="http://schemas.openxmlformats.org/officeDocument/2006/relationships/hyperlink" Target="https://m.media-amazon.com/images/I/41+BBk2fGcL._SX342_SY445_.jpg" TargetMode="External"/><Relationship Id="rId299" Type="http://schemas.openxmlformats.org/officeDocument/2006/relationships/hyperlink" Target="https://m.media-amazon.com/images/I/21rEkD8xxpL._SX300_SY300_QL70_FMwebp_.jpg" TargetMode="External"/><Relationship Id="rId298" Type="http://schemas.openxmlformats.org/officeDocument/2006/relationships/hyperlink" Target="https://m.media-amazon.com/images/I/31NDmmkm19L._SX300_SY300_QL70_FMwebp_.jpg" TargetMode="External"/><Relationship Id="rId271" Type="http://schemas.openxmlformats.org/officeDocument/2006/relationships/hyperlink" Target="https://m.media-amazon.com/images/I/51aFoI9nNZL._SY300_SX300_QL70_FMwebp_.jpg" TargetMode="External"/><Relationship Id="rId270" Type="http://schemas.openxmlformats.org/officeDocument/2006/relationships/hyperlink" Target="https://m.media-amazon.com/images/W/WEBP_402378-T1/images/I/41zEHNLyhKL._SX300_SY300_QL70_FMwebp_.jpg" TargetMode="External"/><Relationship Id="rId269" Type="http://schemas.openxmlformats.org/officeDocument/2006/relationships/hyperlink" Target="https://m.media-amazon.com/images/W/WEBP_402378-T2/images/I/315GvM3Qq6S._SX300_SY300_QL70_FMwebp_.jpg" TargetMode="External"/><Relationship Id="rId264" Type="http://schemas.openxmlformats.org/officeDocument/2006/relationships/hyperlink" Target="https://m.media-amazon.com/images/W/WEBP_402378-T2/images/I/315sEpeo50L._SX300_SY300_QL70_FMwebp_.jpg" TargetMode="External"/><Relationship Id="rId263" Type="http://schemas.openxmlformats.org/officeDocument/2006/relationships/hyperlink" Target="https://m.media-amazon.com/images/W/WEBP_402378-T2/images/I/31vIaLbBXmL._SY445_SX342_QL70_FMwebp_.jpg" TargetMode="External"/><Relationship Id="rId262" Type="http://schemas.openxmlformats.org/officeDocument/2006/relationships/hyperlink" Target="https://m.media-amazon.com/images/W/WEBP_402378-T1/images/I/41DXzzwydTL._SX300_SY300_QL70_FMwebp_.jpg" TargetMode="External"/><Relationship Id="rId261" Type="http://schemas.openxmlformats.org/officeDocument/2006/relationships/hyperlink" Target="https://m.media-amazon.com/images/I/41BIgj-8fML._SY300_SX300_QL70_FMwebp_.jpg" TargetMode="External"/><Relationship Id="rId268" Type="http://schemas.openxmlformats.org/officeDocument/2006/relationships/hyperlink" Target="https://m.media-amazon.com/images/I/41SxrTzMivL._SX300_SY300_QL70_FMwebp_.jpg" TargetMode="External"/><Relationship Id="rId267" Type="http://schemas.openxmlformats.org/officeDocument/2006/relationships/hyperlink" Target="https://m.media-amazon.com/images/W/WEBP_402378-T2/images/I/41wgqEfJy3L._SX300_SY300_QL70_FMwebp_.jpg" TargetMode="External"/><Relationship Id="rId266" Type="http://schemas.openxmlformats.org/officeDocument/2006/relationships/hyperlink" Target="https://m.media-amazon.com/images/W/WEBP_402378-T1/images/I/515t5K7hdqL._SY300_SX300_QL70_FMwebp_.jpg" TargetMode="External"/><Relationship Id="rId265" Type="http://schemas.openxmlformats.org/officeDocument/2006/relationships/hyperlink" Target="https://m.media-amazon.com/images/W/WEBP_402378-T2/images/I/31M+JM+KZIL._SY300_SX300_.jpg" TargetMode="External"/><Relationship Id="rId260" Type="http://schemas.openxmlformats.org/officeDocument/2006/relationships/hyperlink" Target="https://m.media-amazon.com/images/I/41jTlkBBf4L._SX300_SY300_QL70_FMwebp_.jpg" TargetMode="External"/><Relationship Id="rId259" Type="http://schemas.openxmlformats.org/officeDocument/2006/relationships/hyperlink" Target="https://m.media-amazon.com/images/W/WEBP_402378-T1/images/I/31mfWNStU9L._SX300_SY300_QL70_FMwebp_.jpg" TargetMode="External"/><Relationship Id="rId258" Type="http://schemas.openxmlformats.org/officeDocument/2006/relationships/hyperlink" Target="https://m.media-amazon.com/images/I/416qO6VZHgL._SX300_SY300_QL70_FMwebp_.jpg" TargetMode="External"/><Relationship Id="rId253" Type="http://schemas.openxmlformats.org/officeDocument/2006/relationships/hyperlink" Target="https://m.media-amazon.com/images/I/41Ft9wrU55L._SX300_SY300_QL70_FMwebp_.jpg" TargetMode="External"/><Relationship Id="rId495" Type="http://schemas.openxmlformats.org/officeDocument/2006/relationships/hyperlink" Target="https://m.media-amazon.com/images/I/31UUEYNOmCL._SX300_SY300_QL70_ML2_.jpg" TargetMode="External"/><Relationship Id="rId252" Type="http://schemas.openxmlformats.org/officeDocument/2006/relationships/hyperlink" Target="https://m.media-amazon.com/images/I/31c+W3iUSxL._SY300_SX300_.jpg" TargetMode="External"/><Relationship Id="rId494" Type="http://schemas.openxmlformats.org/officeDocument/2006/relationships/hyperlink" Target="https://m.media-amazon.com/images/I/31zFmy89TOL._SX300_SY300_QL70_ML2_.jpg" TargetMode="External"/><Relationship Id="rId251" Type="http://schemas.openxmlformats.org/officeDocument/2006/relationships/hyperlink" Target="https://m.media-amazon.com/images/I/31x9nSr-rqL._SY300_SX300_QL70_FMwebp_.jpg" TargetMode="External"/><Relationship Id="rId493" Type="http://schemas.openxmlformats.org/officeDocument/2006/relationships/hyperlink" Target="https://m.media-amazon.com/images/I/41BDYVKRmWL._SX300_SY300_QL70_ML2_.jpg" TargetMode="External"/><Relationship Id="rId250" Type="http://schemas.openxmlformats.org/officeDocument/2006/relationships/hyperlink" Target="https://m.media-amazon.com/images/I/51uVckL1jRL._SY300_SX300_QL70_FMwebp_.jpg" TargetMode="External"/><Relationship Id="rId492" Type="http://schemas.openxmlformats.org/officeDocument/2006/relationships/hyperlink" Target="https://m.media-amazon.com/images/I/41lf0N5STAL._SX300_SY300_QL70_ML2_.jpg" TargetMode="External"/><Relationship Id="rId257" Type="http://schemas.openxmlformats.org/officeDocument/2006/relationships/hyperlink" Target="https://m.media-amazon.com/images/I/41Bh7qwDUmL._SY445_SX342_QL70_FMwebp_.jpg" TargetMode="External"/><Relationship Id="rId499" Type="http://schemas.openxmlformats.org/officeDocument/2006/relationships/hyperlink" Target="https://m.media-amazon.com/images/I/41jna+YGP+L._SY300_SX300_.jpg" TargetMode="External"/><Relationship Id="rId256" Type="http://schemas.openxmlformats.org/officeDocument/2006/relationships/hyperlink" Target="https://m.media-amazon.com/images/W/WEBP_402378-T2/images/I/41pdZIhY+gL._SY300_SX300_.jpg" TargetMode="External"/><Relationship Id="rId498" Type="http://schemas.openxmlformats.org/officeDocument/2006/relationships/hyperlink" Target="https://m.media-amazon.com/images/I/41XUW74HLlL._SX300_SY300_QL70_ML2_.jpg" TargetMode="External"/><Relationship Id="rId255" Type="http://schemas.openxmlformats.org/officeDocument/2006/relationships/hyperlink" Target="https://m.media-amazon.com/images/I/41QvckgGiCL._SY300_SX300_QL70_FMwebp_.jpg" TargetMode="External"/><Relationship Id="rId497" Type="http://schemas.openxmlformats.org/officeDocument/2006/relationships/hyperlink" Target="https://m.media-amazon.com/images/I/41Bj3iYflTL._SX300_SY300_QL70_ML2_.jpg" TargetMode="External"/><Relationship Id="rId254" Type="http://schemas.openxmlformats.org/officeDocument/2006/relationships/hyperlink" Target="https://m.media-amazon.com/images/W/WEBP_402378-T1/images/I/31-ACQj+oDL._SY445_SX342_.jpg" TargetMode="External"/><Relationship Id="rId496" Type="http://schemas.openxmlformats.org/officeDocument/2006/relationships/hyperlink" Target="https://m.media-amazon.com/images/I/416+IXsM9lL._SY300_SX300_.jpg" TargetMode="External"/><Relationship Id="rId293" Type="http://schemas.openxmlformats.org/officeDocument/2006/relationships/hyperlink" Target="https://m.media-amazon.com/images/I/41uqZs26+oL._SY300_SX300_.jpg" TargetMode="External"/><Relationship Id="rId292" Type="http://schemas.openxmlformats.org/officeDocument/2006/relationships/hyperlink" Target="https://m.media-amazon.com/images/W/WEBP_402378-T2/images/I/41m1oMmTMCL._SX300_SY300_QL70_FMwebp_.jpg" TargetMode="External"/><Relationship Id="rId291" Type="http://schemas.openxmlformats.org/officeDocument/2006/relationships/hyperlink" Target="https://m.media-amazon.com/images/I/31jcyZIAWWL._SX300_SY300_QL70_FMwebp_.jpg" TargetMode="External"/><Relationship Id="rId290" Type="http://schemas.openxmlformats.org/officeDocument/2006/relationships/hyperlink" Target="https://m.media-amazon.com/images/W/WEBP_402378-T1/images/I/41AUgZQAs5L._SX300_SY300_QL70_FMwebp_.jpg" TargetMode="External"/><Relationship Id="rId286" Type="http://schemas.openxmlformats.org/officeDocument/2006/relationships/hyperlink" Target="https://m.media-amazon.com/images/W/WEBP_402378-T2/images/I/31XFe74gRjL._SX300_SY300_QL70_FMwebp_.jpg" TargetMode="External"/><Relationship Id="rId285" Type="http://schemas.openxmlformats.org/officeDocument/2006/relationships/hyperlink" Target="https://m.media-amazon.com/images/W/WEBP_402378-T1/images/I/41o4qDiFFwL._SX300_SY300_QL70_FMwebp_.jpg" TargetMode="External"/><Relationship Id="rId284" Type="http://schemas.openxmlformats.org/officeDocument/2006/relationships/hyperlink" Target="https://m.media-amazon.com/images/W/WEBP_402378-T2/images/I/51dOjIreG4L._SX300_SY300_QL70_FMwebp_.jpg" TargetMode="External"/><Relationship Id="rId283" Type="http://schemas.openxmlformats.org/officeDocument/2006/relationships/hyperlink" Target="https://m.media-amazon.com/images/W/WEBP_402378-T2/images/I/41Vpx5MVtaL._SY300_SX300_QL70_FMwebp_.jpg" TargetMode="External"/><Relationship Id="rId289" Type="http://schemas.openxmlformats.org/officeDocument/2006/relationships/hyperlink" Target="https://m.media-amazon.com/images/I/51xYKHUpdHL._SY300_SX300_QL70_FMwebp_.jpg" TargetMode="External"/><Relationship Id="rId288" Type="http://schemas.openxmlformats.org/officeDocument/2006/relationships/hyperlink" Target="https://m.media-amazon.com/images/I/41XgWuRRNFL._SX300_SY300_QL70_FMwebp_.jpg" TargetMode="External"/><Relationship Id="rId287" Type="http://schemas.openxmlformats.org/officeDocument/2006/relationships/hyperlink" Target="https://m.media-amazon.com/images/I/51eyIMn02bL._SX300_SY300_QL70_FMwebp_.jpg" TargetMode="External"/><Relationship Id="rId282" Type="http://schemas.openxmlformats.org/officeDocument/2006/relationships/hyperlink" Target="https://m.media-amazon.com/images/I/317Bv9KEltL._SX300_SY300_QL70_FMwebp_.jpg" TargetMode="External"/><Relationship Id="rId281" Type="http://schemas.openxmlformats.org/officeDocument/2006/relationships/hyperlink" Target="https://m.media-amazon.com/images/W/WEBP_402378-T2/images/I/51iQQPQSiGL._SX300_SY300_QL70_FMwebp_.jpg" TargetMode="External"/><Relationship Id="rId280" Type="http://schemas.openxmlformats.org/officeDocument/2006/relationships/hyperlink" Target="https://m.media-amazon.com/images/W/WEBP_402378-T2/images/I/31yPzs3mAlL._SX300_SY300_QL70_FMwebp_.jpg" TargetMode="External"/><Relationship Id="rId275" Type="http://schemas.openxmlformats.org/officeDocument/2006/relationships/hyperlink" Target="https://m.media-amazon.com/images/I/31x1oQ78mDL._SY300_SX300_QL70_FMwebp_.jpg" TargetMode="External"/><Relationship Id="rId274" Type="http://schemas.openxmlformats.org/officeDocument/2006/relationships/hyperlink" Target="https://m.media-amazon.com/images/W/WEBP_402378-T2/images/I/51HNUsgY29L._SY300_SX300_QL70_FMwebp_.jpg" TargetMode="External"/><Relationship Id="rId273" Type="http://schemas.openxmlformats.org/officeDocument/2006/relationships/hyperlink" Target="https://m.media-amazon.com/images/W/WEBP_402378-T1/images/I/41+tGYXUN8L._SX342_SY445_.jpg" TargetMode="External"/><Relationship Id="rId272" Type="http://schemas.openxmlformats.org/officeDocument/2006/relationships/hyperlink" Target="https://m.media-amazon.com/images/W/WEBP_402378-T1/images/I/41Zc-phmoEL._SX300_SY300_QL70_FMwebp_.jpg" TargetMode="External"/><Relationship Id="rId279" Type="http://schemas.openxmlformats.org/officeDocument/2006/relationships/hyperlink" Target="https://m.media-amazon.com/images/W/WEBP_402378-T2/images/I/41giUEJJGDL._SY300_SX300_QL70_FMwebp_.jpg" TargetMode="External"/><Relationship Id="rId278" Type="http://schemas.openxmlformats.org/officeDocument/2006/relationships/hyperlink" Target="https://m.media-amazon.com/images/I/21pqzUPpJNL._SY300_SX300_QL70_FMwebp_.jpg" TargetMode="External"/><Relationship Id="rId277" Type="http://schemas.openxmlformats.org/officeDocument/2006/relationships/hyperlink" Target="https://m.media-amazon.com/images/W/WEBP_402378-T1/images/I/41Y9XnzBHTL._SY300_SX300_QL70_FMwebp_.jpg" TargetMode="External"/><Relationship Id="rId276" Type="http://schemas.openxmlformats.org/officeDocument/2006/relationships/hyperlink" Target="https://m.media-amazon.com/images/W/WEBP_402378-T1/images/I/31GCzAA+FyL._SY300_SX300_.jpg" TargetMode="External"/><Relationship Id="rId907" Type="http://schemas.openxmlformats.org/officeDocument/2006/relationships/hyperlink" Target="https://m.media-amazon.com/images/I/31eE6slx4EL._SX300_SY300_QL70_FMwebp_.jpg" TargetMode="External"/><Relationship Id="rId906" Type="http://schemas.openxmlformats.org/officeDocument/2006/relationships/hyperlink" Target="https://m.media-amazon.com/images/W/WEBP_402378-T2/images/I/312ne4gFX+L._SY300_SX300_.jpg" TargetMode="External"/><Relationship Id="rId905" Type="http://schemas.openxmlformats.org/officeDocument/2006/relationships/hyperlink" Target="https://m.media-amazon.com/images/I/31TDc727hUL._SX300_SY300_QL70_FMwebp_.jpg" TargetMode="External"/><Relationship Id="rId904" Type="http://schemas.openxmlformats.org/officeDocument/2006/relationships/hyperlink" Target="https://m.media-amazon.com/images/I/419w6FnCr2L._SX300_SY300_QL70_FMwebp_.jpg" TargetMode="External"/><Relationship Id="rId909" Type="http://schemas.openxmlformats.org/officeDocument/2006/relationships/hyperlink" Target="https://m.media-amazon.com/images/I/41rbKciLrcL._SX300_SY300_QL70_FMwebp_.jpg" TargetMode="External"/><Relationship Id="rId908" Type="http://schemas.openxmlformats.org/officeDocument/2006/relationships/hyperlink" Target="https://m.media-amazon.com/images/I/41nRBNNDnNL._SX300_SY300_QL70_FMwebp_.jpg" TargetMode="External"/><Relationship Id="rId903" Type="http://schemas.openxmlformats.org/officeDocument/2006/relationships/hyperlink" Target="https://m.media-amazon.com/images/I/31R3Qf2nO0L._SX300_SY300_QL70_FMwebp_.jpg" TargetMode="External"/><Relationship Id="rId902" Type="http://schemas.openxmlformats.org/officeDocument/2006/relationships/hyperlink" Target="https://m.media-amazon.com/images/I/31Oj5BsHwdL._SX300_SY300_QL70_FMwebp_.jpg" TargetMode="External"/><Relationship Id="rId901" Type="http://schemas.openxmlformats.org/officeDocument/2006/relationships/hyperlink" Target="https://m.media-amazon.com/images/W/WEBP_402378-T2/images/I/41FrpTwOndL._SX300_SY300_QL70_FMwebp_.jpg" TargetMode="External"/><Relationship Id="rId900" Type="http://schemas.openxmlformats.org/officeDocument/2006/relationships/hyperlink" Target="https://m.media-amazon.com/images/I/31c2Mxy32-L._SX300_SY300_QL70_FMwebp_.jpg" TargetMode="External"/><Relationship Id="rId929" Type="http://schemas.openxmlformats.org/officeDocument/2006/relationships/hyperlink" Target="https://m.media-amazon.com/images/I/31pQZsxPR4L._SX300_SY300_QL70_FMwebp_.jpg" TargetMode="External"/><Relationship Id="rId928" Type="http://schemas.openxmlformats.org/officeDocument/2006/relationships/hyperlink" Target="https://m.media-amazon.com/images/W/WEBP_402378-T2/images/I/51cqrmW48+L._SY300_SX300_.jpg" TargetMode="External"/><Relationship Id="rId927" Type="http://schemas.openxmlformats.org/officeDocument/2006/relationships/hyperlink" Target="https://m.media-amazon.com/images/I/4148+QSBxXL._SY300_SX300_.jpg" TargetMode="External"/><Relationship Id="rId926" Type="http://schemas.openxmlformats.org/officeDocument/2006/relationships/hyperlink" Target="https://m.media-amazon.com/images/W/WEBP_402378-T2/images/I/313uqx3djjL._SX300_SY300_QL70_FMwebp_.jpg" TargetMode="External"/><Relationship Id="rId921" Type="http://schemas.openxmlformats.org/officeDocument/2006/relationships/hyperlink" Target="https://m.media-amazon.com/images/W/WEBP_402378-T1/images/I/41ltzaHXvRL._SY300_SX300_QL70_FMwebp_.jpg" TargetMode="External"/><Relationship Id="rId920" Type="http://schemas.openxmlformats.org/officeDocument/2006/relationships/hyperlink" Target="https://m.media-amazon.com/images/W/WEBP_402378-T2/images/I/41zNLdERuiL._SX300_SY300_QL70_FMwebp_.jpg" TargetMode="External"/><Relationship Id="rId925" Type="http://schemas.openxmlformats.org/officeDocument/2006/relationships/hyperlink" Target="https://m.media-amazon.com/images/I/41rJGx-w9iL._SX300_SY300_QL70_FMwebp_.jpg" TargetMode="External"/><Relationship Id="rId924" Type="http://schemas.openxmlformats.org/officeDocument/2006/relationships/hyperlink" Target="https://m.media-amazon.com/images/W/WEBP_402378-T1/images/I/31A6Arm+F7L._SY300_SX300_.jpg" TargetMode="External"/><Relationship Id="rId923" Type="http://schemas.openxmlformats.org/officeDocument/2006/relationships/hyperlink" Target="https://m.media-amazon.com/images/I/417vDmMtbpL._SY300_SX300_QL70_FMwebp_.jpg" TargetMode="External"/><Relationship Id="rId922" Type="http://schemas.openxmlformats.org/officeDocument/2006/relationships/hyperlink" Target="https://m.media-amazon.com/images/W/WEBP_402378-T1/images/I/31Z02dwnKfL._SY300_SX300_QL70_FMwebp_.jpg" TargetMode="External"/><Relationship Id="rId918" Type="http://schemas.openxmlformats.org/officeDocument/2006/relationships/hyperlink" Target="https://m.media-amazon.com/images/I/51VIQVc-6XL._SX300_SY300_QL70_FMwebp_.jpg" TargetMode="External"/><Relationship Id="rId917" Type="http://schemas.openxmlformats.org/officeDocument/2006/relationships/hyperlink" Target="https://m.media-amazon.com/images/I/31IO--RzGbL._SX300_SY300_QL70_FMwebp_.jpg" TargetMode="External"/><Relationship Id="rId916" Type="http://schemas.openxmlformats.org/officeDocument/2006/relationships/hyperlink" Target="https://m.media-amazon.com/images/W/WEBP_402378-T1/images/I/413ZmbHlAKL._SX300_SY300_QL70_FMwebp_.jpg" TargetMode="External"/><Relationship Id="rId915" Type="http://schemas.openxmlformats.org/officeDocument/2006/relationships/hyperlink" Target="https://m.media-amazon.com/images/I/317cwpkk1-L._SX300_SY300_QL70_FMwebp_.jpg" TargetMode="External"/><Relationship Id="rId919" Type="http://schemas.openxmlformats.org/officeDocument/2006/relationships/hyperlink" Target="https://m.media-amazon.com/images/W/WEBP_402378-T2/images/I/41zejggGzLL._SX300_SY300_QL70_FMwebp_.jpg" TargetMode="External"/><Relationship Id="rId910" Type="http://schemas.openxmlformats.org/officeDocument/2006/relationships/hyperlink" Target="https://m.media-amazon.com/images/I/41fuAckaI7L._SX300_SY300_QL70_FMwebp_.jpg" TargetMode="External"/><Relationship Id="rId914" Type="http://schemas.openxmlformats.org/officeDocument/2006/relationships/hyperlink" Target="https://m.media-amazon.com/images/W/WEBP_402378-T1/images/I/41SqfLI2FuL._SX300_SY300_QL70_FMwebp_.jpg" TargetMode="External"/><Relationship Id="rId913" Type="http://schemas.openxmlformats.org/officeDocument/2006/relationships/hyperlink" Target="https://m.media-amazon.com/images/W/WEBP_402378-T2/images/I/317pd1KDJpL._SX300_SY300_QL70_FMwebp_.jpg" TargetMode="External"/><Relationship Id="rId912" Type="http://schemas.openxmlformats.org/officeDocument/2006/relationships/hyperlink" Target="https://m.media-amazon.com/images/I/31flGUWUY9L._SX300_SY300_QL70_FMwebp_.jpg" TargetMode="External"/><Relationship Id="rId911" Type="http://schemas.openxmlformats.org/officeDocument/2006/relationships/hyperlink" Target="https://m.media-amazon.com/images/I/41YBVJ+UTxL._SY300_SX300_.jpg" TargetMode="External"/><Relationship Id="rId1213" Type="http://schemas.openxmlformats.org/officeDocument/2006/relationships/hyperlink" Target="https://m.media-amazon.com/images/I/31B24fjfiTL._SX300_SY300_QL70_FMwebp_.jpg" TargetMode="External"/><Relationship Id="rId1455" Type="http://schemas.openxmlformats.org/officeDocument/2006/relationships/hyperlink" Target="https://m.media-amazon.com/images/W/WEBP_402378-T2/images/I/51WNhYBloRL._SY300_SX300_QL70_FMwebp_.jpg" TargetMode="External"/><Relationship Id="rId1214" Type="http://schemas.openxmlformats.org/officeDocument/2006/relationships/hyperlink" Target="https://m.media-amazon.com/images/W/WEBP_402378-T2/images/I/418ML1Yn1cL._SX300_SY300_QL70_FMwebp_.jpg" TargetMode="External"/><Relationship Id="rId1456" Type="http://schemas.openxmlformats.org/officeDocument/2006/relationships/hyperlink" Target="https://m.media-amazon.com/images/W/WEBP_402378-T1/images/I/41lsUHKNfSL._SY300_SX300_QL70_FMwebp_.jpg" TargetMode="External"/><Relationship Id="rId1215" Type="http://schemas.openxmlformats.org/officeDocument/2006/relationships/hyperlink" Target="https://m.media-amazon.com/images/I/41+HYuF5ToL._SY300_SX300_.jpg" TargetMode="External"/><Relationship Id="rId1457" Type="http://schemas.openxmlformats.org/officeDocument/2006/relationships/hyperlink" Target="https://m.media-amazon.com/images/W/WEBP_402378-T1/images/I/41KMMCNMM1L._SX300_SY300_QL70_FMwebp_.jpg" TargetMode="External"/><Relationship Id="rId1216" Type="http://schemas.openxmlformats.org/officeDocument/2006/relationships/hyperlink" Target="https://m.media-amazon.com/images/I/41FTyQVamFL._SX300_SY300_QL70_FMwebp_.jpg" TargetMode="External"/><Relationship Id="rId1458" Type="http://schemas.openxmlformats.org/officeDocument/2006/relationships/hyperlink" Target="https://m.media-amazon.com/images/I/41JyZuDzDgL._SX300_SY300_QL70_FMwebp_.jpg" TargetMode="External"/><Relationship Id="rId1217" Type="http://schemas.openxmlformats.org/officeDocument/2006/relationships/hyperlink" Target="https://m.media-amazon.com/images/W/WEBP_402378-T2/images/I/51qZekzGLxL._SX300_SY300_QL70_FMwebp_.jpg" TargetMode="External"/><Relationship Id="rId1459" Type="http://schemas.openxmlformats.org/officeDocument/2006/relationships/hyperlink" Target="https://m.media-amazon.com/images/I/51GEjZAmNRL._SX300_SY300_QL70_FMwebp_.jpg" TargetMode="External"/><Relationship Id="rId1218" Type="http://schemas.openxmlformats.org/officeDocument/2006/relationships/hyperlink" Target="https://m.media-amazon.com/images/W/WEBP_402378-T1/images/I/41YlkgRwHVL._SX300_SY300_QL70_FMwebp_.jpg" TargetMode="External"/><Relationship Id="rId1219" Type="http://schemas.openxmlformats.org/officeDocument/2006/relationships/hyperlink" Target="https://m.media-amazon.com/images/I/41C6ocE26pL._SX300_SY300_QL70_FMwebp_.jpg" TargetMode="External"/><Relationship Id="rId629" Type="http://schemas.openxmlformats.org/officeDocument/2006/relationships/hyperlink" Target="https://m.media-amazon.com/images/W/WEBP_402378-T1/images/I/41V5FtEWPkL._SX300_SY300_QL70_FMwebp_.jpg" TargetMode="External"/><Relationship Id="rId624" Type="http://schemas.openxmlformats.org/officeDocument/2006/relationships/hyperlink" Target="https://m.media-amazon.com/images/W/WEBP_402378-T1/images/I/31IvNJZnmdL._SY445_SX342_QL70_FMwebp_.jpg" TargetMode="External"/><Relationship Id="rId866" Type="http://schemas.openxmlformats.org/officeDocument/2006/relationships/hyperlink" Target="https://m.media-amazon.com/images/W/WEBP_402378-T2/images/I/415mk3uip9L._SX300_SY300_QL70_FMwebp_.jpg" TargetMode="External"/><Relationship Id="rId623" Type="http://schemas.openxmlformats.org/officeDocument/2006/relationships/hyperlink" Target="https://m.media-amazon.com/images/W/WEBP_402378-T2/images/I/31zOsqQOAOL._SY445_SX342_QL70_FMwebp_.jpg" TargetMode="External"/><Relationship Id="rId865" Type="http://schemas.openxmlformats.org/officeDocument/2006/relationships/hyperlink" Target="https://m.media-amazon.com/images/W/WEBP_402378-T1/images/I/41x8yDAjWJL._SX300_SY300_QL70_FMwebp_.jpg" TargetMode="External"/><Relationship Id="rId622" Type="http://schemas.openxmlformats.org/officeDocument/2006/relationships/hyperlink" Target="https://m.media-amazon.com/images/W/WEBP_402378-T1/images/I/415yl0HeDQL._SY300_SX300_QL70_FMwebp_.jpg" TargetMode="External"/><Relationship Id="rId864" Type="http://schemas.openxmlformats.org/officeDocument/2006/relationships/hyperlink" Target="https://m.media-amazon.com/images/W/WEBP_402378-T1/images/I/41xQ7QVZMSL._SY300_SX300_QL70_FMwebp_.jpg" TargetMode="External"/><Relationship Id="rId621" Type="http://schemas.openxmlformats.org/officeDocument/2006/relationships/hyperlink" Target="https://m.media-amazon.com/images/I/41dNRo8Hu8L._SX300_SY300_QL70_FMwebp_.jpg" TargetMode="External"/><Relationship Id="rId863" Type="http://schemas.openxmlformats.org/officeDocument/2006/relationships/hyperlink" Target="https://m.media-amazon.com/images/W/WEBP_402378-T1/images/I/410jqIm0YoL._SX300_SY300_QL70_FMwebp_.jpg" TargetMode="External"/><Relationship Id="rId628" Type="http://schemas.openxmlformats.org/officeDocument/2006/relationships/hyperlink" Target="https://m.media-amazon.com/images/I/31HWJqJdtjL._SX300_SY300_QL70_FMwebp_.jpg" TargetMode="External"/><Relationship Id="rId627" Type="http://schemas.openxmlformats.org/officeDocument/2006/relationships/hyperlink" Target="https://m.media-amazon.com/images/W/WEBP_402378-T1/images/I/31XFxTn1DCL._SX300_SY300_QL70_FMwebp_.jpg" TargetMode="External"/><Relationship Id="rId869" Type="http://schemas.openxmlformats.org/officeDocument/2006/relationships/hyperlink" Target="https://m.media-amazon.com/images/W/WEBP_402378-T2/images/I/51fhn5ex+GL._SY300_SX300_.jpg" TargetMode="External"/><Relationship Id="rId626" Type="http://schemas.openxmlformats.org/officeDocument/2006/relationships/hyperlink" Target="https://m.media-amazon.com/images/I/41igriVLabS._SX300_SY300_QL70_FMwebp_.jpg" TargetMode="External"/><Relationship Id="rId868" Type="http://schemas.openxmlformats.org/officeDocument/2006/relationships/hyperlink" Target="https://m.media-amazon.com/images/W/WEBP_402378-T1/images/I/31nIcqmP0zL._SX300_SY300_QL70_FMwebp_.jpg" TargetMode="External"/><Relationship Id="rId625" Type="http://schemas.openxmlformats.org/officeDocument/2006/relationships/hyperlink" Target="https://m.media-amazon.com/images/I/413x7j3Z30L._SX300_SY300_QL70_FMwebp_.jpg" TargetMode="External"/><Relationship Id="rId867" Type="http://schemas.openxmlformats.org/officeDocument/2006/relationships/hyperlink" Target="https://m.media-amazon.com/images/I/31fORCrbSJL._SX300_SY300_QL70_FMwebp_.jpg" TargetMode="External"/><Relationship Id="rId1450" Type="http://schemas.openxmlformats.org/officeDocument/2006/relationships/hyperlink" Target="https://m.media-amazon.com/images/I/41n90w1dlJL._SY445_SX342_QL70_FMwebp_.jpg" TargetMode="External"/><Relationship Id="rId620" Type="http://schemas.openxmlformats.org/officeDocument/2006/relationships/hyperlink" Target="https://m.media-amazon.com/images/I/41r1d8a2WGL._SX300_SY300_QL70_FMwebp_.jpg" TargetMode="External"/><Relationship Id="rId862" Type="http://schemas.openxmlformats.org/officeDocument/2006/relationships/hyperlink" Target="https://m.media-amazon.com/images/W/WEBP_402378-T1/images/I/31I1oK5hM1L._SY300_SX300_QL70_FMwebp_.jpg" TargetMode="External"/><Relationship Id="rId1451" Type="http://schemas.openxmlformats.org/officeDocument/2006/relationships/hyperlink" Target="https://m.media-amazon.com/images/I/41wOaCtfCZL._SY300_SX300_QL70_FMwebp_.jpg" TargetMode="External"/><Relationship Id="rId861" Type="http://schemas.openxmlformats.org/officeDocument/2006/relationships/hyperlink" Target="https://m.media-amazon.com/images/W/WEBP_402378-T1/images/I/411dgEJpANL._SX300_SY300_QL70_FMwebp_.jpg" TargetMode="External"/><Relationship Id="rId1210" Type="http://schemas.openxmlformats.org/officeDocument/2006/relationships/hyperlink" Target="https://m.media-amazon.com/images/W/WEBP_402378-T2/images/I/411ZPXAMTlL._SY300_SX300_QL70_FMwebp_.jpg" TargetMode="External"/><Relationship Id="rId1452" Type="http://schemas.openxmlformats.org/officeDocument/2006/relationships/hyperlink" Target="https://m.media-amazon.com/images/W/WEBP_402378-T1/images/I/31gr8xzOhEL._SX300_SY300_QL70_FMwebp_.jpg" TargetMode="External"/><Relationship Id="rId860" Type="http://schemas.openxmlformats.org/officeDocument/2006/relationships/hyperlink" Target="https://m.media-amazon.com/images/W/WEBP_402378-T1/images/I/41akwKtryWL._SX300_SY300_QL70_FMwebp_.jpg" TargetMode="External"/><Relationship Id="rId1211" Type="http://schemas.openxmlformats.org/officeDocument/2006/relationships/hyperlink" Target="https://m.media-amazon.com/images/I/31Gulp0B-0L._SX300_SY300_QL70_FMwebp_.jpg" TargetMode="External"/><Relationship Id="rId1453" Type="http://schemas.openxmlformats.org/officeDocument/2006/relationships/hyperlink" Target="https://m.media-amazon.com/images/I/51HzkPoNUzL._SX300_SY300_QL70_FMwebp_.jpg" TargetMode="External"/><Relationship Id="rId1212" Type="http://schemas.openxmlformats.org/officeDocument/2006/relationships/hyperlink" Target="https://m.media-amazon.com/images/I/519LLyO+jtL._SY300_SX300_.jpg" TargetMode="External"/><Relationship Id="rId1454" Type="http://schemas.openxmlformats.org/officeDocument/2006/relationships/hyperlink" Target="https://m.media-amazon.com/images/W/WEBP_402378-T1/images/I/41UHdKluMBL._SY300_SX300_QL70_FMwebp_.jpg" TargetMode="External"/><Relationship Id="rId1202" Type="http://schemas.openxmlformats.org/officeDocument/2006/relationships/hyperlink" Target="https://m.media-amazon.com/images/W/WEBP_402378-T2/images/I/41t3WVUlRmL._SX300_SY300_QL70_FMwebp_.jpg" TargetMode="External"/><Relationship Id="rId1444" Type="http://schemas.openxmlformats.org/officeDocument/2006/relationships/hyperlink" Target="https://m.media-amazon.com/images/I/41d7YWtyLCL._SX300_SY300_QL70_FMwebp_.jpg" TargetMode="External"/><Relationship Id="rId1203" Type="http://schemas.openxmlformats.org/officeDocument/2006/relationships/hyperlink" Target="https://m.media-amazon.com/images/W/WEBP_402378-T2/images/I/21SHZOWOynL._SX300_SY300_QL70_FMwebp_.jpg" TargetMode="External"/><Relationship Id="rId1445" Type="http://schemas.openxmlformats.org/officeDocument/2006/relationships/hyperlink" Target="https://m.media-amazon.com/images/W/WEBP_402378-T2/images/I/51M0UevRosL._SY300_SX300_QL70_FMwebp_.jpg" TargetMode="External"/><Relationship Id="rId1204" Type="http://schemas.openxmlformats.org/officeDocument/2006/relationships/hyperlink" Target="https://m.media-amazon.com/images/I/419vF7uEFEL._SX300_SY300_QL70_FMwebp_.jpg" TargetMode="External"/><Relationship Id="rId1446" Type="http://schemas.openxmlformats.org/officeDocument/2006/relationships/hyperlink" Target="https://m.media-amazon.com/images/I/41zyYoNFiGL._SX300_SY300_QL70_FMwebp_.jpg" TargetMode="External"/><Relationship Id="rId1205" Type="http://schemas.openxmlformats.org/officeDocument/2006/relationships/hyperlink" Target="https://m.media-amazon.com/images/W/WEBP_402378-T1/images/I/41JnGOKI2dL._SX300_SY300_QL70_FMwebp_.jpg" TargetMode="External"/><Relationship Id="rId1447" Type="http://schemas.openxmlformats.org/officeDocument/2006/relationships/hyperlink" Target="https://m.media-amazon.com/images/W/WEBP_402378-T1/images/I/51eq6GwXn-L._SX300_SY300_QL70_FMwebp_.jpg" TargetMode="External"/><Relationship Id="rId1206" Type="http://schemas.openxmlformats.org/officeDocument/2006/relationships/hyperlink" Target="https://m.media-amazon.com/images/I/414JLnTlLnL._SY300_SX300_QL70_FMwebp_.jpg" TargetMode="External"/><Relationship Id="rId1448" Type="http://schemas.openxmlformats.org/officeDocument/2006/relationships/hyperlink" Target="https://m.media-amazon.com/images/W/WEBP_402378-T2/images/I/310sR2giQrL._SX300_SY300_QL70_FMwebp_.jpg" TargetMode="External"/><Relationship Id="rId1207" Type="http://schemas.openxmlformats.org/officeDocument/2006/relationships/hyperlink" Target="https://m.media-amazon.com/images/W/WEBP_402378-T1/images/I/41LKiR8QpwL._SX300_SY300_QL70_FMwebp_.jpg" TargetMode="External"/><Relationship Id="rId1449" Type="http://schemas.openxmlformats.org/officeDocument/2006/relationships/hyperlink" Target="https://m.media-amazon.com/images/W/WEBP_402378-T2/images/I/21JwUdnWL4L._SX300_SY300_QL70_FMwebp_.jpg" TargetMode="External"/><Relationship Id="rId1208" Type="http://schemas.openxmlformats.org/officeDocument/2006/relationships/hyperlink" Target="https://m.media-amazon.com/images/W/WEBP_402378-T1/images/I/41sKyiPWzAL._SX300_SY300_QL70_FMwebp_.jpg" TargetMode="External"/><Relationship Id="rId1209" Type="http://schemas.openxmlformats.org/officeDocument/2006/relationships/hyperlink" Target="https://m.media-amazon.com/images/I/41Dp3g8y8sL._SX300_SY300_QL70_FMwebp_.jpg" TargetMode="External"/><Relationship Id="rId619" Type="http://schemas.openxmlformats.org/officeDocument/2006/relationships/hyperlink" Target="https://m.media-amazon.com/images/I/31RiDkNjpjS._SX300_SY300_QL70_FMwebp_.jpg" TargetMode="External"/><Relationship Id="rId618" Type="http://schemas.openxmlformats.org/officeDocument/2006/relationships/hyperlink" Target="https://m.media-amazon.com/images/W/WEBP_402378-T2/images/I/41BeawIQB5L._SX300_SY300_QL70_FMwebp_.jpg" TargetMode="External"/><Relationship Id="rId613" Type="http://schemas.openxmlformats.org/officeDocument/2006/relationships/hyperlink" Target="https://m.media-amazon.com/images/I/31z5b7RYc2L._SX300_SY300_QL70_FMwebp_.jpg" TargetMode="External"/><Relationship Id="rId855" Type="http://schemas.openxmlformats.org/officeDocument/2006/relationships/hyperlink" Target="https://m.media-amazon.com/images/I/41q7jfLMl3L._SY300_SX300_QL70_FMwebp_.jpg" TargetMode="External"/><Relationship Id="rId612" Type="http://schemas.openxmlformats.org/officeDocument/2006/relationships/hyperlink" Target="https://m.media-amazon.com/images/I/41Mce3f9faL._SX300_SY300_QL70_FMwebp_.jpg" TargetMode="External"/><Relationship Id="rId854" Type="http://schemas.openxmlformats.org/officeDocument/2006/relationships/hyperlink" Target="https://m.media-amazon.com/images/I/31DstM4dQ8L._SX300_SY300_QL70_FMwebp_.jpg" TargetMode="External"/><Relationship Id="rId611" Type="http://schemas.openxmlformats.org/officeDocument/2006/relationships/hyperlink" Target="https://m.media-amazon.com/images/W/WEBP_402378-T1/images/I/4178Hx01kZL._SY300_SX300_QL70_FMwebp_.jpg" TargetMode="External"/><Relationship Id="rId853" Type="http://schemas.openxmlformats.org/officeDocument/2006/relationships/hyperlink" Target="https://m.media-amazon.com/images/I/4101vlzySzL._SY300_SX300_QL70_FMwebp_.jpg" TargetMode="External"/><Relationship Id="rId610" Type="http://schemas.openxmlformats.org/officeDocument/2006/relationships/hyperlink" Target="https://m.media-amazon.com/images/I/31DbAD6EoCL._SX300_SY300_QL70_FMwebp_.jpg" TargetMode="External"/><Relationship Id="rId852" Type="http://schemas.openxmlformats.org/officeDocument/2006/relationships/hyperlink" Target="https://m.media-amazon.com/images/I/41v5BQZzfAL._SX300_SY300_QL70_FMwebp_.jpg" TargetMode="External"/><Relationship Id="rId617" Type="http://schemas.openxmlformats.org/officeDocument/2006/relationships/hyperlink" Target="https://m.media-amazon.com/images/W/WEBP_402378-T2/images/I/414BHyTttvL._SX300_SY300_QL70_FMwebp_.jpg" TargetMode="External"/><Relationship Id="rId859" Type="http://schemas.openxmlformats.org/officeDocument/2006/relationships/hyperlink" Target="https://m.media-amazon.com/images/I/31pJvN8OkSL._SX300_SY300_QL70_FMwebp_.jpg" TargetMode="External"/><Relationship Id="rId616" Type="http://schemas.openxmlformats.org/officeDocument/2006/relationships/hyperlink" Target="https://m.media-amazon.com/images/W/WEBP_402378-T2/images/I/415nVOD7bWL._SX300_SY300_QL70_FMwebp_.jpg" TargetMode="External"/><Relationship Id="rId858" Type="http://schemas.openxmlformats.org/officeDocument/2006/relationships/hyperlink" Target="https://m.media-amazon.com/images/W/WEBP_402378-T2/images/I/41CnR1WhD3L._SX300_SY300_QL70_FMwebp_.jpg" TargetMode="External"/><Relationship Id="rId615" Type="http://schemas.openxmlformats.org/officeDocument/2006/relationships/hyperlink" Target="https://m.media-amazon.com/images/W/WEBP_402378-T2/images/I/51UsScvHQNL._SX300_SY300_QL70_FMwebp_.jpg" TargetMode="External"/><Relationship Id="rId857" Type="http://schemas.openxmlformats.org/officeDocument/2006/relationships/hyperlink" Target="https://m.media-amazon.com/images/W/WEBP_402378-T2/images/I/31MDFikz-wL._SX300_SY300_QL70_FMwebp_.jpg" TargetMode="External"/><Relationship Id="rId614" Type="http://schemas.openxmlformats.org/officeDocument/2006/relationships/hyperlink" Target="https://m.media-amazon.com/images/I/41UYenF+lnL._SX300_SY300_.jpg" TargetMode="External"/><Relationship Id="rId856" Type="http://schemas.openxmlformats.org/officeDocument/2006/relationships/hyperlink" Target="https://m.media-amazon.com/images/I/31aJNyKmGHL._SX300_SY300_QL70_FMwebp_.jpg" TargetMode="External"/><Relationship Id="rId851" Type="http://schemas.openxmlformats.org/officeDocument/2006/relationships/hyperlink" Target="https://m.media-amazon.com/images/I/410DCX0vt4L._SX300_SY300_QL70_FMwebp_.jpg" TargetMode="External"/><Relationship Id="rId1440" Type="http://schemas.openxmlformats.org/officeDocument/2006/relationships/hyperlink" Target="https://m.media-amazon.com/images/I/418vOzm6DZL._SX300_SY300_QL70_FMwebp_.jpg" TargetMode="External"/><Relationship Id="rId850" Type="http://schemas.openxmlformats.org/officeDocument/2006/relationships/hyperlink" Target="https://m.media-amazon.com/images/I/51LTAUNKg9L._SX300_SY300_QL70_FMwebp_.jpg" TargetMode="External"/><Relationship Id="rId1441" Type="http://schemas.openxmlformats.org/officeDocument/2006/relationships/hyperlink" Target="https://m.media-amazon.com/images/I/310wgAGevYL._SY445_SX342_QL70_FMwebp_.jpg" TargetMode="External"/><Relationship Id="rId1200" Type="http://schemas.openxmlformats.org/officeDocument/2006/relationships/hyperlink" Target="https://m.media-amazon.com/images/I/51YNXPOgNML._SX300_SY300_QL70_FMwebp_.jpg" TargetMode="External"/><Relationship Id="rId1442" Type="http://schemas.openxmlformats.org/officeDocument/2006/relationships/hyperlink" Target="https://m.media-amazon.com/images/W/WEBP_402378-T2/images/I/414WPLTqm0L._SX300_SY300_QL70_FMwebp_.jpg" TargetMode="External"/><Relationship Id="rId1201" Type="http://schemas.openxmlformats.org/officeDocument/2006/relationships/hyperlink" Target="https://m.media-amazon.com/images/W/WEBP_402378-T1/images/I/41V4DpKc7sL._SX300_SY300_QL70_FMwebp_.jpg" TargetMode="External"/><Relationship Id="rId1443" Type="http://schemas.openxmlformats.org/officeDocument/2006/relationships/hyperlink" Target="https://m.media-amazon.com/images/W/WEBP_402378-T2/images/I/31RpzeqSq3L._SX300_SY300_QL70_FMwebp_.jpg" TargetMode="External"/><Relationship Id="rId1235" Type="http://schemas.openxmlformats.org/officeDocument/2006/relationships/hyperlink" Target="https://m.media-amazon.com/images/W/WEBP_402378-T2/images/I/317ja9m3iHL._SX300_SY300_QL70_FMwebp_.jpg" TargetMode="External"/><Relationship Id="rId1236" Type="http://schemas.openxmlformats.org/officeDocument/2006/relationships/hyperlink" Target="https://m.media-amazon.com/images/W/WEBP_402378-T2/images/I/41svI04SS1L._SX300_SY300_QL70_FMwebp_.jpg" TargetMode="External"/><Relationship Id="rId1237" Type="http://schemas.openxmlformats.org/officeDocument/2006/relationships/hyperlink" Target="https://m.media-amazon.com/images/I/31rniMTmdkL._SX300_SY300_QL70_FMwebp_.jpg" TargetMode="External"/><Relationship Id="rId1238" Type="http://schemas.openxmlformats.org/officeDocument/2006/relationships/hyperlink" Target="https://m.media-amazon.com/images/I/41EQwIB-rKL._SX300_SY300_QL70_FMwebp_.jpg" TargetMode="External"/><Relationship Id="rId1239" Type="http://schemas.openxmlformats.org/officeDocument/2006/relationships/hyperlink" Target="https://m.media-amazon.com/images/I/318JzFxYqtL._SX300_SY300_QL70_FMwebp_.jpg" TargetMode="External"/><Relationship Id="rId409" Type="http://schemas.openxmlformats.org/officeDocument/2006/relationships/hyperlink" Target="https://m.media-amazon.com/images/I/41EnFjIAoaL._SX300_SY300_QL70_ML2_.jpg" TargetMode="External"/><Relationship Id="rId404" Type="http://schemas.openxmlformats.org/officeDocument/2006/relationships/hyperlink" Target="https://m.media-amazon.com/images/I/31wOPjcSxlL._SX300_SY300_QL70_ML2_.jpg" TargetMode="External"/><Relationship Id="rId646" Type="http://schemas.openxmlformats.org/officeDocument/2006/relationships/hyperlink" Target="https://m.media-amazon.com/images/I/51YPXDh78VL._SX300_SY300_QL70_FMwebp_.jpg" TargetMode="External"/><Relationship Id="rId888" Type="http://schemas.openxmlformats.org/officeDocument/2006/relationships/hyperlink" Target="https://m.media-amazon.com/images/I/51UTH-oHa9L._SY300_SX300_QL70_FMwebp_.jpg" TargetMode="External"/><Relationship Id="rId403" Type="http://schemas.openxmlformats.org/officeDocument/2006/relationships/hyperlink" Target="https://m.media-amazon.com/images/I/51vHAEYKeWL._SX300_SY300_QL70_ML2_.jpg" TargetMode="External"/><Relationship Id="rId645" Type="http://schemas.openxmlformats.org/officeDocument/2006/relationships/hyperlink" Target="https://m.media-amazon.com/images/I/41nf9n-v3pL._SX300_SY300_QL70_FMwebp_.jpg" TargetMode="External"/><Relationship Id="rId887" Type="http://schemas.openxmlformats.org/officeDocument/2006/relationships/hyperlink" Target="https://m.media-amazon.com/images/W/WEBP_402378-T2/images/I/31+Svp6IjpL._SY300_SX300_.jpg" TargetMode="External"/><Relationship Id="rId402" Type="http://schemas.openxmlformats.org/officeDocument/2006/relationships/hyperlink" Target="https://m.media-amazon.com/images/I/41iVkyHeTUL._SX300_SY300_QL70_ML2_.jpg" TargetMode="External"/><Relationship Id="rId644" Type="http://schemas.openxmlformats.org/officeDocument/2006/relationships/hyperlink" Target="https://m.media-amazon.com/images/W/WEBP_402378-T1/images/I/41ZraPJKHYL._SY300_SX300_QL70_FMwebp_.jpg" TargetMode="External"/><Relationship Id="rId886" Type="http://schemas.openxmlformats.org/officeDocument/2006/relationships/hyperlink" Target="https://m.media-amazon.com/images/W/WEBP_402378-T1/images/I/31nrDWDT8+L._SX300_SY300_.jpg" TargetMode="External"/><Relationship Id="rId401" Type="http://schemas.openxmlformats.org/officeDocument/2006/relationships/hyperlink" Target="https://m.media-amazon.com/images/I/31qVddHyy5L._SX300_SY300_QL70_ML2_.jpg" TargetMode="External"/><Relationship Id="rId643" Type="http://schemas.openxmlformats.org/officeDocument/2006/relationships/hyperlink" Target="https://m.media-amazon.com/images/I/31wOPjcSxlL._SX300_SY300_QL70_FMwebp_.jpg" TargetMode="External"/><Relationship Id="rId885" Type="http://schemas.openxmlformats.org/officeDocument/2006/relationships/hyperlink" Target="https://m.media-amazon.com/images/W/WEBP_402378-T2/images/I/31tpRKyv0yL._SY300_SX300_QL70_FMwebp_.jpg" TargetMode="External"/><Relationship Id="rId408" Type="http://schemas.openxmlformats.org/officeDocument/2006/relationships/hyperlink" Target="https://m.media-amazon.com/images/I/41nf9n-v3pL._SX300_SY300_QL70_ML2_.jpg" TargetMode="External"/><Relationship Id="rId407" Type="http://schemas.openxmlformats.org/officeDocument/2006/relationships/hyperlink" Target="https://m.media-amazon.com/images/I/41iEc0hf6TL._SX300_SY300_QL70_ML2_.jpg" TargetMode="External"/><Relationship Id="rId649" Type="http://schemas.openxmlformats.org/officeDocument/2006/relationships/hyperlink" Target="https://m.media-amazon.com/images/I/31959YGwwiL._SX300_SY300_QL70_FMwebp_.jpg" TargetMode="External"/><Relationship Id="rId406" Type="http://schemas.openxmlformats.org/officeDocument/2006/relationships/hyperlink" Target="https://m.media-amazon.com/images/I/31Sx7+mu+vL._SY300_SX300_.jpg" TargetMode="External"/><Relationship Id="rId648" Type="http://schemas.openxmlformats.org/officeDocument/2006/relationships/hyperlink" Target="https://m.media-amazon.com/images/I/31-1GGUrjUL._SX300_SY300_QL70_FMwebp_.jpg" TargetMode="External"/><Relationship Id="rId405" Type="http://schemas.openxmlformats.org/officeDocument/2006/relationships/hyperlink" Target="https://m.media-amazon.com/images/I/31iE517+NFL._SY300_SX300_.jpg" TargetMode="External"/><Relationship Id="rId647" Type="http://schemas.openxmlformats.org/officeDocument/2006/relationships/hyperlink" Target="https://m.media-amazon.com/images/I/31YFd-LQ8rL._SY300_SX300_QL70_FMwebp_.jpg" TargetMode="External"/><Relationship Id="rId889" Type="http://schemas.openxmlformats.org/officeDocument/2006/relationships/hyperlink" Target="https://m.media-amazon.com/images/W/WEBP_402378-T1/images/I/41PeQz-jDSL._SX300_SY300_QL70_FMwebp_.jpg" TargetMode="External"/><Relationship Id="rId880" Type="http://schemas.openxmlformats.org/officeDocument/2006/relationships/hyperlink" Target="https://m.media-amazon.com/images/I/31lF-FdlrHL._SX300_SY300_QL70_FMwebp_.jpg" TargetMode="External"/><Relationship Id="rId1230" Type="http://schemas.openxmlformats.org/officeDocument/2006/relationships/hyperlink" Target="https://m.media-amazon.com/images/W/WEBP_402378-T1/images/I/31991seDfcL._SY300_SX300_QL70_FMwebp_.jpg" TargetMode="External"/><Relationship Id="rId400" Type="http://schemas.openxmlformats.org/officeDocument/2006/relationships/hyperlink" Target="https://m.media-amazon.com/images/I/413sCRKobNL._SX300_SY300_QL70_ML2_.jpg" TargetMode="External"/><Relationship Id="rId642" Type="http://schemas.openxmlformats.org/officeDocument/2006/relationships/hyperlink" Target="https://m.media-amazon.com/images/I/31R6RP26dzL._SY300_SX300_QL70_FMwebp_.jpg" TargetMode="External"/><Relationship Id="rId884" Type="http://schemas.openxmlformats.org/officeDocument/2006/relationships/hyperlink" Target="https://m.media-amazon.com/images/I/41-U6BdQrcL._SX300_SY300_QL70_FMwebp_.jpg" TargetMode="External"/><Relationship Id="rId1231" Type="http://schemas.openxmlformats.org/officeDocument/2006/relationships/hyperlink" Target="https://m.media-amazon.com/images/W/WEBP_402378-T2/images/I/41LLX-A7eTL._SX300_SY300_QL70_FMwebp_.jpg" TargetMode="External"/><Relationship Id="rId641" Type="http://schemas.openxmlformats.org/officeDocument/2006/relationships/hyperlink" Target="https://m.media-amazon.com/images/W/WEBP_402378-T1/images/I/41jOKzw6-EL._SX300_SY300_QL70_FMwebp_.jpg" TargetMode="External"/><Relationship Id="rId883" Type="http://schemas.openxmlformats.org/officeDocument/2006/relationships/hyperlink" Target="https://m.media-amazon.com/images/I/41i35PCzzaL._SX300_SY300_QL70_FMwebp_.jpg" TargetMode="External"/><Relationship Id="rId1232" Type="http://schemas.openxmlformats.org/officeDocument/2006/relationships/hyperlink" Target="https://m.media-amazon.com/images/I/41OXzplcjtL._SX300_SY300_QL70_FMwebp_.jpg" TargetMode="External"/><Relationship Id="rId640" Type="http://schemas.openxmlformats.org/officeDocument/2006/relationships/hyperlink" Target="https://m.media-amazon.com/images/W/WEBP_402378-T1/images/I/41nGG6kJr9L._SX300_SY300_QL70_FMwebp_.jpg" TargetMode="External"/><Relationship Id="rId882" Type="http://schemas.openxmlformats.org/officeDocument/2006/relationships/hyperlink" Target="https://m.media-amazon.com/images/W/WEBP_402378-T2/images/I/31+NwZ8gb1L._SX300_SY300_.jpg" TargetMode="External"/><Relationship Id="rId1233" Type="http://schemas.openxmlformats.org/officeDocument/2006/relationships/hyperlink" Target="https://m.media-amazon.com/images/I/4153SQc2VYL._SX300_SY300_QL70_FMwebp_.jpg" TargetMode="External"/><Relationship Id="rId881" Type="http://schemas.openxmlformats.org/officeDocument/2006/relationships/hyperlink" Target="https://m.media-amazon.com/images/I/31yI+SWuRzL._SY300_SX300_.jpg" TargetMode="External"/><Relationship Id="rId1234" Type="http://schemas.openxmlformats.org/officeDocument/2006/relationships/hyperlink" Target="https://m.media-amazon.com/images/W/WEBP_402378-T1/images/I/21UJ6oKwnoL._SY300_SX300_QL70_FMwebp_.jpg" TargetMode="External"/><Relationship Id="rId1224" Type="http://schemas.openxmlformats.org/officeDocument/2006/relationships/hyperlink" Target="https://m.media-amazon.com/images/I/51oN+8Zs5YL._SY300_SX300_.jpg" TargetMode="External"/><Relationship Id="rId1466" Type="http://schemas.openxmlformats.org/officeDocument/2006/relationships/drawing" Target="../drawings/drawing4.xml"/><Relationship Id="rId1225" Type="http://schemas.openxmlformats.org/officeDocument/2006/relationships/hyperlink" Target="https://m.media-amazon.com/images/W/WEBP_402378-T2/images/I/41+pYgFJpBL._SY300_SX300_.jpg" TargetMode="External"/><Relationship Id="rId1226" Type="http://schemas.openxmlformats.org/officeDocument/2006/relationships/hyperlink" Target="https://m.media-amazon.com/images/W/WEBP_402378-T2/images/I/418x3St8EAL._SX300_SY300_QL70_FMwebp_.jpg" TargetMode="External"/><Relationship Id="rId1227" Type="http://schemas.openxmlformats.org/officeDocument/2006/relationships/hyperlink" Target="https://m.media-amazon.com/images/I/41714O1hnmS._SY300_SX300_QL70_FMwebp_.jpg" TargetMode="External"/><Relationship Id="rId1228" Type="http://schemas.openxmlformats.org/officeDocument/2006/relationships/hyperlink" Target="https://m.media-amazon.com/images/I/41a-huLVEIL._SX300_SY300_QL70_FMwebp_.jpg" TargetMode="External"/><Relationship Id="rId1229" Type="http://schemas.openxmlformats.org/officeDocument/2006/relationships/hyperlink" Target="https://m.media-amazon.com/images/W/WEBP_402378-T1/images/I/31RwSnyZZ+L._SY300_SX300_.jpg" TargetMode="External"/><Relationship Id="rId635" Type="http://schemas.openxmlformats.org/officeDocument/2006/relationships/hyperlink" Target="https://m.media-amazon.com/images/W/WEBP_402378-T1/images/I/41lQan54SPL._SX300_SY300_QL70_FMwebp_.jpg" TargetMode="External"/><Relationship Id="rId877" Type="http://schemas.openxmlformats.org/officeDocument/2006/relationships/hyperlink" Target="https://m.media-amazon.com/images/W/WEBP_402378-T2/images/I/411UTnBl2TL._SX300_SY300_QL70_FMwebp_.jpg" TargetMode="External"/><Relationship Id="rId634" Type="http://schemas.openxmlformats.org/officeDocument/2006/relationships/hyperlink" Target="https://m.media-amazon.com/images/I/317KlchuxeL._SY300_SX300_QL70_FMwebp_.jpg" TargetMode="External"/><Relationship Id="rId876" Type="http://schemas.openxmlformats.org/officeDocument/2006/relationships/hyperlink" Target="https://m.media-amazon.com/images/W/WEBP_402378-T2/images/I/41J8nz5uEUL._SX300_SY300_QL70_FMwebp_.jpg" TargetMode="External"/><Relationship Id="rId633" Type="http://schemas.openxmlformats.org/officeDocument/2006/relationships/hyperlink" Target="https://m.media-amazon.com/images/I/31VzNhhqifL._SX300_SY300_QL70_FMwebp_.jpg" TargetMode="External"/><Relationship Id="rId875" Type="http://schemas.openxmlformats.org/officeDocument/2006/relationships/hyperlink" Target="https://m.media-amazon.com/images/W/WEBP_402378-T1/images/I/31c6zDmtEnL._SY300_SX300_QL70_FMwebp_.jpg" TargetMode="External"/><Relationship Id="rId632" Type="http://schemas.openxmlformats.org/officeDocument/2006/relationships/hyperlink" Target="https://m.media-amazon.com/images/I/31Hjf7KD75L._SY300_SX300_.jpg" TargetMode="External"/><Relationship Id="rId874" Type="http://schemas.openxmlformats.org/officeDocument/2006/relationships/hyperlink" Target="https://m.media-amazon.com/images/I/31df-HkJJ7L._SX300_SY300_QL70_FMwebp_.jpg" TargetMode="External"/><Relationship Id="rId639" Type="http://schemas.openxmlformats.org/officeDocument/2006/relationships/hyperlink" Target="https://m.media-amazon.com/images/I/312J9hg8ypL._SX300_SY300_QL70_FMwebp_.jpg" TargetMode="External"/><Relationship Id="rId638" Type="http://schemas.openxmlformats.org/officeDocument/2006/relationships/hyperlink" Target="https://m.media-amazon.com/images/W/WEBP_402378-T1/images/I/41PDEAuwT3L._SX300_SY300_QL70_FMwebp_.jpg" TargetMode="External"/><Relationship Id="rId637" Type="http://schemas.openxmlformats.org/officeDocument/2006/relationships/hyperlink" Target="https://m.media-amazon.com/images/I/31gzRr9mIaS._SX300_SY300_QL70_FMwebp_.jpg" TargetMode="External"/><Relationship Id="rId879" Type="http://schemas.openxmlformats.org/officeDocument/2006/relationships/hyperlink" Target="https://m.media-amazon.com/images/I/41ds2zVHE4L._SX300_SY300_QL70_FMwebp_.jpg" TargetMode="External"/><Relationship Id="rId636" Type="http://schemas.openxmlformats.org/officeDocument/2006/relationships/hyperlink" Target="https://m.media-amazon.com/images/I/41MmsYTi06L._SX300_SY300_QL70_FMwebp_.jpg" TargetMode="External"/><Relationship Id="rId878" Type="http://schemas.openxmlformats.org/officeDocument/2006/relationships/hyperlink" Target="https://m.media-amazon.com/images/W/WEBP_402378-T1/images/I/31psvbJkfOL._SY300_SX300_QL70_FMwebp_.jpg" TargetMode="External"/><Relationship Id="rId1460" Type="http://schemas.openxmlformats.org/officeDocument/2006/relationships/hyperlink" Target="https://m.media-amazon.com/images/W/WEBP_402378-T1/images/I/519f6z2dnPL._SY300_SX300_QL70_FMwebp_.jpg" TargetMode="External"/><Relationship Id="rId1461" Type="http://schemas.openxmlformats.org/officeDocument/2006/relationships/hyperlink" Target="https://m.media-amazon.com/images/I/41fDdRtjfxL._SY445_SX342_QL70_FMwebp_.jpg" TargetMode="External"/><Relationship Id="rId631" Type="http://schemas.openxmlformats.org/officeDocument/2006/relationships/hyperlink" Target="https://m.media-amazon.com/images/I/41Fm0YcrDqL._SX300_SY300_QL70_FMwebp_.jpg" TargetMode="External"/><Relationship Id="rId873" Type="http://schemas.openxmlformats.org/officeDocument/2006/relationships/hyperlink" Target="https://m.media-amazon.com/images/I/21o8KsIQqRL._SY300_SX300_QL70_FMwebp_.jpg" TargetMode="External"/><Relationship Id="rId1220" Type="http://schemas.openxmlformats.org/officeDocument/2006/relationships/hyperlink" Target="https://m.media-amazon.com/images/I/31XPVmD8gUL._SX300_SY300_QL70_FMwebp_.jpg" TargetMode="External"/><Relationship Id="rId1462" Type="http://schemas.openxmlformats.org/officeDocument/2006/relationships/hyperlink" Target="https://m.media-amazon.com/images/I/41gzDxk4+kL._SY300_SX300_.jpg" TargetMode="External"/><Relationship Id="rId630" Type="http://schemas.openxmlformats.org/officeDocument/2006/relationships/hyperlink" Target="https://m.media-amazon.com/images/I/41UUBwBt05S._SX300_SY300_QL70_FMwebp_.jpg" TargetMode="External"/><Relationship Id="rId872" Type="http://schemas.openxmlformats.org/officeDocument/2006/relationships/hyperlink" Target="https://m.media-amazon.com/images/W/WEBP_402378-T2/images/I/41KYzWomjVL._SX300_SY300_QL70_FMwebp_.jpg" TargetMode="External"/><Relationship Id="rId1221" Type="http://schemas.openxmlformats.org/officeDocument/2006/relationships/hyperlink" Target="https://m.media-amazon.com/images/W/WEBP_402378-T1/images/I/31qZm3DyDhL._SX300_SY300_QL70_FMwebp_.jpg" TargetMode="External"/><Relationship Id="rId1463" Type="http://schemas.openxmlformats.org/officeDocument/2006/relationships/hyperlink" Target="https://m.media-amazon.com/images/W/WEBP_402378-T1/images/I/41qmt2a159L._SX300_SY300_QL70_FMwebp_.jpg" TargetMode="External"/><Relationship Id="rId871" Type="http://schemas.openxmlformats.org/officeDocument/2006/relationships/hyperlink" Target="https://m.media-amazon.com/images/I/51tBwj7I8GL._SX300_SY300_QL70_FMwebp_.jpg" TargetMode="External"/><Relationship Id="rId1222" Type="http://schemas.openxmlformats.org/officeDocument/2006/relationships/hyperlink" Target="https://m.media-amazon.com/images/W/WEBP_402378-T2/images/I/31-jt474B1L._SX300_SY300_QL70_FMwebp_.jpg" TargetMode="External"/><Relationship Id="rId1464" Type="http://schemas.openxmlformats.org/officeDocument/2006/relationships/hyperlink" Target="https://m.media-amazon.com/images/W/WEBP_402378-T1/images/I/51pNg1Zy4+L._SX300_SY300_.jpg" TargetMode="External"/><Relationship Id="rId870" Type="http://schemas.openxmlformats.org/officeDocument/2006/relationships/hyperlink" Target="https://m.media-amazon.com/images/I/31EHCPHbSlL._SX300_SY300_QL70_FMwebp_.jpg" TargetMode="External"/><Relationship Id="rId1223" Type="http://schemas.openxmlformats.org/officeDocument/2006/relationships/hyperlink" Target="https://m.media-amazon.com/images/I/319gn5l2NSL._SX300_SY300_QL70_FMwebp_.jpg" TargetMode="External"/><Relationship Id="rId1465" Type="http://schemas.openxmlformats.org/officeDocument/2006/relationships/hyperlink" Target="https://m.media-amazon.com/images/W/WEBP_402378-T1/images/I/51J2Wk-+c+L._SY300_SX300_.jpg" TargetMode="External"/><Relationship Id="rId1411" Type="http://schemas.openxmlformats.org/officeDocument/2006/relationships/hyperlink" Target="https://m.media-amazon.com/images/I/41wCglxg9qL._SX300_SY300_QL70_FMwebp_.jpg" TargetMode="External"/><Relationship Id="rId1412" Type="http://schemas.openxmlformats.org/officeDocument/2006/relationships/hyperlink" Target="https://m.media-amazon.com/images/I/31HohsWo-+L._SY445_SX342_.jpg" TargetMode="External"/><Relationship Id="rId1413" Type="http://schemas.openxmlformats.org/officeDocument/2006/relationships/hyperlink" Target="https://m.media-amazon.com/images/W/WEBP_402378-T2/images/I/31B7DwG79FL._SY445_SX342_QL70_FMwebp_.jpg" TargetMode="External"/><Relationship Id="rId1414" Type="http://schemas.openxmlformats.org/officeDocument/2006/relationships/hyperlink" Target="https://m.media-amazon.com/images/W/WEBP_402378-T1/images/I/31uBcZhDMjL._SX300_SY300_QL70_FMwebp_.jpg" TargetMode="External"/><Relationship Id="rId1415" Type="http://schemas.openxmlformats.org/officeDocument/2006/relationships/hyperlink" Target="https://m.media-amazon.com/images/W/WEBP_402378-T1/images/I/41XtCfScreS._SX300_SY300_QL70_FMwebp_.jpg" TargetMode="External"/><Relationship Id="rId1416" Type="http://schemas.openxmlformats.org/officeDocument/2006/relationships/hyperlink" Target="https://m.media-amazon.com/images/I/41jv4fqU1EL._SY300_SX300_QL70_FMwebp_.jpg" TargetMode="External"/><Relationship Id="rId1417" Type="http://schemas.openxmlformats.org/officeDocument/2006/relationships/hyperlink" Target="https://m.media-amazon.com/images/W/WEBP_402378-T2/images/I/41NSz+RdSoL._SX342_SY445_.jpg" TargetMode="External"/><Relationship Id="rId1418" Type="http://schemas.openxmlformats.org/officeDocument/2006/relationships/hyperlink" Target="https://m.media-amazon.com/images/I/416VJv+z7CL._SY300_SX300_.jpg" TargetMode="External"/><Relationship Id="rId1419" Type="http://schemas.openxmlformats.org/officeDocument/2006/relationships/hyperlink" Target="https://m.media-amazon.com/images/I/41Mm2LXiZrL._SX300_SY300_QL70_FMwebp_.jpg" TargetMode="External"/><Relationship Id="rId829" Type="http://schemas.openxmlformats.org/officeDocument/2006/relationships/hyperlink" Target="https://m.media-amazon.com/images/W/WEBP_402378-T2/images/I/31pnooau8vS._SX300_SY300_QL70_FMwebp_.jpg" TargetMode="External"/><Relationship Id="rId828" Type="http://schemas.openxmlformats.org/officeDocument/2006/relationships/hyperlink" Target="https://m.media-amazon.com/images/W/WEBP_402378-T2/images/I/41W4O2H532L._SX300_SY300_QL70_FMwebp_.jpg" TargetMode="External"/><Relationship Id="rId827" Type="http://schemas.openxmlformats.org/officeDocument/2006/relationships/hyperlink" Target="https://m.media-amazon.com/images/W/WEBP_402378-T1/images/I/41tWgm56a0L._SX300_SY300_QL70_FMwebp_.jpg" TargetMode="External"/><Relationship Id="rId822" Type="http://schemas.openxmlformats.org/officeDocument/2006/relationships/hyperlink" Target="https://m.media-amazon.com/images/W/WEBP_402378-T2/images/I/31C+JNS-7PL._SY300_SX300_.jpg" TargetMode="External"/><Relationship Id="rId821" Type="http://schemas.openxmlformats.org/officeDocument/2006/relationships/hyperlink" Target="https://m.media-amazon.com/images/W/WEBP_402378-T1/images/I/41NYfAbBY2L._SX300_SY300_QL70_FMwebp_.jpg" TargetMode="External"/><Relationship Id="rId820" Type="http://schemas.openxmlformats.org/officeDocument/2006/relationships/hyperlink" Target="https://m.media-amazon.com/images/I/31YZ2ZYT66L._SX300_SY300_QL70_FMwebp_.jpg" TargetMode="External"/><Relationship Id="rId826" Type="http://schemas.openxmlformats.org/officeDocument/2006/relationships/hyperlink" Target="https://m.media-amazon.com/images/W/WEBP_402378-T2/images/I/41yNejBMf+L._SY300_SX300_.jpg" TargetMode="External"/><Relationship Id="rId825" Type="http://schemas.openxmlformats.org/officeDocument/2006/relationships/hyperlink" Target="https://m.media-amazon.com/images/W/WEBP_402378-T1/images/I/318egjvJ0mL._SX300_SY300_QL70_FMwebp_.jpg" TargetMode="External"/><Relationship Id="rId824" Type="http://schemas.openxmlformats.org/officeDocument/2006/relationships/hyperlink" Target="https://m.media-amazon.com/images/W/WEBP_402378-T2/images/I/419QKVTxaSL._SX300_SY300_QL70_FMwebp_.jpg" TargetMode="External"/><Relationship Id="rId823" Type="http://schemas.openxmlformats.org/officeDocument/2006/relationships/hyperlink" Target="https://m.media-amazon.com/images/I/41hzQslWQlL._SX300_SY300_QL70_FMwebp_.jpg" TargetMode="External"/><Relationship Id="rId1410" Type="http://schemas.openxmlformats.org/officeDocument/2006/relationships/hyperlink" Target="https://m.media-amazon.com/images/I/31Y+l9J1nYL._SY300_SX300_.jpg" TargetMode="External"/><Relationship Id="rId1400" Type="http://schemas.openxmlformats.org/officeDocument/2006/relationships/hyperlink" Target="https://m.media-amazon.com/images/W/WEBP_402378-T2/images/I/31YEW0-SNcL._SX300_SY300_QL70_FMwebp_.jpg" TargetMode="External"/><Relationship Id="rId1401" Type="http://schemas.openxmlformats.org/officeDocument/2006/relationships/hyperlink" Target="https://m.media-amazon.com/images/W/WEBP_402378-T1/images/I/51IMz58igdL._SX300_SY300_QL70_FMwebp_.jpg" TargetMode="External"/><Relationship Id="rId1402" Type="http://schemas.openxmlformats.org/officeDocument/2006/relationships/hyperlink" Target="https://m.media-amazon.com/images/I/21NKf-n3WdL._SX300_SY300_QL70_FMwebp_.jpg" TargetMode="External"/><Relationship Id="rId1403" Type="http://schemas.openxmlformats.org/officeDocument/2006/relationships/hyperlink" Target="https://m.media-amazon.com/images/I/4108k4zDdOL._SY300_SX300_QL70_FMwebp_.jpg" TargetMode="External"/><Relationship Id="rId1404" Type="http://schemas.openxmlformats.org/officeDocument/2006/relationships/hyperlink" Target="https://m.media-amazon.com/images/I/41hBHbn0KFL._SX300_SY300_QL70_FMwebp_.jpg" TargetMode="External"/><Relationship Id="rId1405" Type="http://schemas.openxmlformats.org/officeDocument/2006/relationships/hyperlink" Target="https://m.media-amazon.com/images/I/41QKvmjpVFL._SX300_SY300_QL70_FMwebp_.jpg" TargetMode="External"/><Relationship Id="rId1406" Type="http://schemas.openxmlformats.org/officeDocument/2006/relationships/hyperlink" Target="https://m.media-amazon.com/images/W/WEBP_402378-T1/images/I/413b+0JACfL._SX300_SY300_.jpg" TargetMode="External"/><Relationship Id="rId1407" Type="http://schemas.openxmlformats.org/officeDocument/2006/relationships/hyperlink" Target="https://m.media-amazon.com/images/I/41XXDlWCBDL._SX300_SY300_QL70_FMwebp_.jpg" TargetMode="External"/><Relationship Id="rId819" Type="http://schemas.openxmlformats.org/officeDocument/2006/relationships/hyperlink" Target="https://m.media-amazon.com/images/W/WEBP_402378-T1/images/I/41cCZ5EPnvL._SX300_SY300_QL70_FMwebp_.jpg" TargetMode="External"/><Relationship Id="rId1408" Type="http://schemas.openxmlformats.org/officeDocument/2006/relationships/hyperlink" Target="https://m.media-amazon.com/images/I/31hQyi26uAL._SX300_SY300_QL70_FMwebp_.jpg" TargetMode="External"/><Relationship Id="rId818" Type="http://schemas.openxmlformats.org/officeDocument/2006/relationships/hyperlink" Target="https://m.media-amazon.com/images/I/518mUXLlFZS._SX300_SY300_QL70_FMwebp_.jpg" TargetMode="External"/><Relationship Id="rId1409" Type="http://schemas.openxmlformats.org/officeDocument/2006/relationships/hyperlink" Target="https://m.media-amazon.com/images/W/WEBP_402378-T2/images/I/51wxUA6-CBL._SX300_SY300_QL70_FMwebp_.jpg" TargetMode="External"/><Relationship Id="rId817" Type="http://schemas.openxmlformats.org/officeDocument/2006/relationships/hyperlink" Target="https://m.media-amazon.com/images/W/WEBP_402378-T2/images/I/51X7oG9862L._SX300_SY300_QL70_FMwebp_.jpg" TargetMode="External"/><Relationship Id="rId816" Type="http://schemas.openxmlformats.org/officeDocument/2006/relationships/hyperlink" Target="https://m.media-amazon.com/images/I/41BWhztt6EL._SX300_SY300_QL70_FMwebp_.jpg" TargetMode="External"/><Relationship Id="rId811" Type="http://schemas.openxmlformats.org/officeDocument/2006/relationships/hyperlink" Target="https://m.media-amazon.com/images/I/31foPNxmwsL._SX300_SY300_QL70_FMwebp_.jpg" TargetMode="External"/><Relationship Id="rId810" Type="http://schemas.openxmlformats.org/officeDocument/2006/relationships/hyperlink" Target="https://m.media-amazon.com/images/W/WEBP_402378-T2/images/I/31VtFl2O33L._SX300_SY300_QL70_FMwebp_.jpg" TargetMode="External"/><Relationship Id="rId815" Type="http://schemas.openxmlformats.org/officeDocument/2006/relationships/hyperlink" Target="https://m.media-amazon.com/images/W/WEBP_402378-T2/images/I/41ep+i03RsL._SX300_SY300_.jpg" TargetMode="External"/><Relationship Id="rId814" Type="http://schemas.openxmlformats.org/officeDocument/2006/relationships/hyperlink" Target="https://m.media-amazon.com/images/I/31gZM-XkOtL._SX300_SY300_QL70_FMwebp_.jpg" TargetMode="External"/><Relationship Id="rId813" Type="http://schemas.openxmlformats.org/officeDocument/2006/relationships/hyperlink" Target="https://m.media-amazon.com/images/W/WEBP_402378-T1/images/I/41lS2bd15fL._SX300_SY300_QL70_FMwebp_.jpg" TargetMode="External"/><Relationship Id="rId812" Type="http://schemas.openxmlformats.org/officeDocument/2006/relationships/hyperlink" Target="https://m.media-amazon.com/images/W/WEBP_402378-T1/images/I/51o0rLZiIjL._SX300_SY300_QL70_FMwebp_.jpg" TargetMode="External"/><Relationship Id="rId1433" Type="http://schemas.openxmlformats.org/officeDocument/2006/relationships/hyperlink" Target="https://m.media-amazon.com/images/I/41hYZPZaWfS._SX300_SY300_QL70_FMwebp_.jpg" TargetMode="External"/><Relationship Id="rId1434" Type="http://schemas.openxmlformats.org/officeDocument/2006/relationships/hyperlink" Target="https://m.media-amazon.com/images/I/31rcvrnc1RL._SX300_SY300_QL70_FMwebp_.jpg" TargetMode="External"/><Relationship Id="rId1435" Type="http://schemas.openxmlformats.org/officeDocument/2006/relationships/hyperlink" Target="https://m.media-amazon.com/images/W/WEBP_402378-T1/images/I/414fV+i+rcL._SY300_SX300_.jpg" TargetMode="External"/><Relationship Id="rId1436" Type="http://schemas.openxmlformats.org/officeDocument/2006/relationships/hyperlink" Target="https://m.media-amazon.com/images/W/WEBP_402378-T1/images/I/51rf2161JNL._SX300_SY300_QL70_FMwebp_.jpg" TargetMode="External"/><Relationship Id="rId1437" Type="http://schemas.openxmlformats.org/officeDocument/2006/relationships/hyperlink" Target="https://m.media-amazon.com/images/W/WEBP_402378-T1/images/I/51ey0zzictL._SX300_SY300_QL70_FMwebp_.jpg" TargetMode="External"/><Relationship Id="rId1438" Type="http://schemas.openxmlformats.org/officeDocument/2006/relationships/hyperlink" Target="https://m.media-amazon.com/images/I/41CAIlYtE+L._SY300_SX300_.jpg" TargetMode="External"/><Relationship Id="rId1439" Type="http://schemas.openxmlformats.org/officeDocument/2006/relationships/hyperlink" Target="https://m.media-amazon.com/images/W/WEBP_402378-T2/images/I/41vooC+8vUL._SY300_SX300_.jpg" TargetMode="External"/><Relationship Id="rId609" Type="http://schemas.openxmlformats.org/officeDocument/2006/relationships/hyperlink" Target="https://m.media-amazon.com/images/W/WEBP_402378-T2/images/I/41ApzUQQFVL._SX300_SY300_QL70_FMwebp_.jpg" TargetMode="External"/><Relationship Id="rId608" Type="http://schemas.openxmlformats.org/officeDocument/2006/relationships/hyperlink" Target="https://m.media-amazon.com/images/W/WEBP_402378-T1/images/I/41qqmdUWnhL._SX300_SY300_QL70_FMwebp_.jpg" TargetMode="External"/><Relationship Id="rId607" Type="http://schemas.openxmlformats.org/officeDocument/2006/relationships/hyperlink" Target="https://m.media-amazon.com/images/W/WEBP_402378-T1/images/I/218fOqSir3L._SX300_SY300_QL70_FMwebp_.jpg" TargetMode="External"/><Relationship Id="rId849" Type="http://schemas.openxmlformats.org/officeDocument/2006/relationships/hyperlink" Target="https://m.media-amazon.com/images/W/WEBP_402378-T1/images/I/31bMTTJF1xL._SY300_SX300_QL70_FMwebp_.jpg" TargetMode="External"/><Relationship Id="rId602" Type="http://schemas.openxmlformats.org/officeDocument/2006/relationships/hyperlink" Target="https://m.media-amazon.com/images/I/31rmf+p45oL._SY300_SX300_.jpg" TargetMode="External"/><Relationship Id="rId844" Type="http://schemas.openxmlformats.org/officeDocument/2006/relationships/hyperlink" Target="https://m.media-amazon.com/images/W/WEBP_402378-T2/images/I/41qTZXl3KaL._SX300_SY300_QL70_FMwebp_.jpg" TargetMode="External"/><Relationship Id="rId601" Type="http://schemas.openxmlformats.org/officeDocument/2006/relationships/hyperlink" Target="https://m.media-amazon.com/images/W/WEBP_402378-T1/images/I/41rxRY5TDSL._SX300_SY300_QL70_FMwebp_.jpg" TargetMode="External"/><Relationship Id="rId843" Type="http://schemas.openxmlformats.org/officeDocument/2006/relationships/hyperlink" Target="https://m.media-amazon.com/images/W/WEBP_402378-T2/images/I/41t4-FpawsL._SX300_SY300_QL70_FMwebp_.jpg" TargetMode="External"/><Relationship Id="rId600" Type="http://schemas.openxmlformats.org/officeDocument/2006/relationships/hyperlink" Target="https://m.media-amazon.com/images/W/WEBP_402378-T2/images/I/315vj6oj-FL._SX300_SY300_QL70_FMwebp_.jpg" TargetMode="External"/><Relationship Id="rId842" Type="http://schemas.openxmlformats.org/officeDocument/2006/relationships/hyperlink" Target="https://m.media-amazon.com/images/I/41Cdc4mU7RL._SX300_SY300_QL70_FMwebp_.jpg" TargetMode="External"/><Relationship Id="rId841" Type="http://schemas.openxmlformats.org/officeDocument/2006/relationships/hyperlink" Target="https://m.media-amazon.com/images/I/41P2EdQI1ZL._SY445_SX342_QL70_FMwebp_.jpg" TargetMode="External"/><Relationship Id="rId606" Type="http://schemas.openxmlformats.org/officeDocument/2006/relationships/hyperlink" Target="https://m.media-amazon.com/images/I/31plkeAvAQL._SX300_SY300_QL70_FMwebp_.jpg" TargetMode="External"/><Relationship Id="rId848" Type="http://schemas.openxmlformats.org/officeDocument/2006/relationships/hyperlink" Target="https://m.media-amazon.com/images/W/WEBP_402378-T1/images/I/31Dj+5AQcJL._SY300_SX300_.jpg" TargetMode="External"/><Relationship Id="rId605" Type="http://schemas.openxmlformats.org/officeDocument/2006/relationships/hyperlink" Target="https://m.media-amazon.com/images/I/31febYa30qL._SX300_SY300_QL70_FMwebp_.jpg" TargetMode="External"/><Relationship Id="rId847" Type="http://schemas.openxmlformats.org/officeDocument/2006/relationships/hyperlink" Target="https://m.media-amazon.com/images/I/51ucu0nCeSL._SX300_SY300_QL70_FMwebp_.jpg" TargetMode="External"/><Relationship Id="rId604" Type="http://schemas.openxmlformats.org/officeDocument/2006/relationships/hyperlink" Target="https://m.media-amazon.com/images/W/WEBP_402378-T2/images/I/41LZP1CmYRL._SX300_SY300_QL70_FMwebp_.jpg" TargetMode="External"/><Relationship Id="rId846" Type="http://schemas.openxmlformats.org/officeDocument/2006/relationships/hyperlink" Target="https://m.media-amazon.com/images/I/214VmJYxx9L._SX300_SY300_QL70_FMwebp_.jpg" TargetMode="External"/><Relationship Id="rId603" Type="http://schemas.openxmlformats.org/officeDocument/2006/relationships/hyperlink" Target="https://m.media-amazon.com/images/W/WEBP_402378-T2/images/I/41oSVnJMFKL._SX300_SY300_QL70_FMwebp_.jpg" TargetMode="External"/><Relationship Id="rId845" Type="http://schemas.openxmlformats.org/officeDocument/2006/relationships/hyperlink" Target="https://m.media-amazon.com/images/W/WEBP_402378-T1/images/I/31ikDjsSOML._SX300_SY300_QL70_FMwebp_.jpg" TargetMode="External"/><Relationship Id="rId840" Type="http://schemas.openxmlformats.org/officeDocument/2006/relationships/hyperlink" Target="https://m.media-amazon.com/images/W/WEBP_402378-T2/images/I/3183iGEWksL._SX300_SY300_QL70_FMwebp_.jpg" TargetMode="External"/><Relationship Id="rId1430" Type="http://schemas.openxmlformats.org/officeDocument/2006/relationships/hyperlink" Target="https://m.media-amazon.com/images/W/WEBP_402378-T1/images/I/41YFjcEIwWL._SX300_SY300_QL70_FMwebp_.jpg" TargetMode="External"/><Relationship Id="rId1431" Type="http://schemas.openxmlformats.org/officeDocument/2006/relationships/hyperlink" Target="https://m.media-amazon.com/images/I/31grDt8hrBS._SX300_SY300_QL70_FMwebp_.jpg" TargetMode="External"/><Relationship Id="rId1432" Type="http://schemas.openxmlformats.org/officeDocument/2006/relationships/hyperlink" Target="https://m.media-amazon.com/images/I/41+zSXivpML._SY300_SX300_.jpg" TargetMode="External"/><Relationship Id="rId1422" Type="http://schemas.openxmlformats.org/officeDocument/2006/relationships/hyperlink" Target="https://m.media-amazon.com/images/W/WEBP_402378-T1/images/I/51B4Ea7gRCL._SX300_SY300_QL70_FMwebp_.jpg" TargetMode="External"/><Relationship Id="rId1423" Type="http://schemas.openxmlformats.org/officeDocument/2006/relationships/hyperlink" Target="https://m.media-amazon.com/images/I/41xjCi0e7GL._SX300_SY300_QL70_FMwebp_.jpg" TargetMode="External"/><Relationship Id="rId1424" Type="http://schemas.openxmlformats.org/officeDocument/2006/relationships/hyperlink" Target="https://m.media-amazon.com/images/I/41mZWS7bb+L._SX342_SY445_.jpg" TargetMode="External"/><Relationship Id="rId1425" Type="http://schemas.openxmlformats.org/officeDocument/2006/relationships/hyperlink" Target="https://m.media-amazon.com/images/I/41ugz3c3G1L._SY300_SX300_QL70_FMwebp_.jpg" TargetMode="External"/><Relationship Id="rId1426" Type="http://schemas.openxmlformats.org/officeDocument/2006/relationships/hyperlink" Target="https://m.media-amazon.com/images/W/WEBP_402378-T1/images/I/31QVpoSYsrL._SX300_SY300_QL70_FMwebp_.jpg" TargetMode="External"/><Relationship Id="rId1427" Type="http://schemas.openxmlformats.org/officeDocument/2006/relationships/hyperlink" Target="https://m.media-amazon.com/images/W/WEBP_402378-T1/images/I/41VOCgvMKJL._SX300_SY300_QL70_FMwebp_.jpg" TargetMode="External"/><Relationship Id="rId1428" Type="http://schemas.openxmlformats.org/officeDocument/2006/relationships/hyperlink" Target="https://m.media-amazon.com/images/I/41Peadim8bL._SX300_SY300_QL70_FMwebp_.jpg" TargetMode="External"/><Relationship Id="rId1429" Type="http://schemas.openxmlformats.org/officeDocument/2006/relationships/hyperlink" Target="https://m.media-amazon.com/images/I/415634DtKfL._SX300_SY300_QL70_FMwebp_.jpg" TargetMode="External"/><Relationship Id="rId839" Type="http://schemas.openxmlformats.org/officeDocument/2006/relationships/hyperlink" Target="https://m.media-amazon.com/images/W/WEBP_402378-T1/images/I/31CndDabh2L._SX300_SY300_QL70_FMwebp_.jpg" TargetMode="External"/><Relationship Id="rId838" Type="http://schemas.openxmlformats.org/officeDocument/2006/relationships/hyperlink" Target="https://m.media-amazon.com/images/I/41tcZ6fcJML._SX300_SY300_QL70_FMwebp_.jpg" TargetMode="External"/><Relationship Id="rId833" Type="http://schemas.openxmlformats.org/officeDocument/2006/relationships/hyperlink" Target="https://m.media-amazon.com/images/I/51jNo4QNTNL._SY445_SX342_QL70_FMwebp_.jpg" TargetMode="External"/><Relationship Id="rId832" Type="http://schemas.openxmlformats.org/officeDocument/2006/relationships/hyperlink" Target="https://m.media-amazon.com/images/W/WEBP_402378-T1/images/I/31Vt3iyEaIL._SX300_SY300_QL70_FMwebp_.jpg" TargetMode="External"/><Relationship Id="rId831" Type="http://schemas.openxmlformats.org/officeDocument/2006/relationships/hyperlink" Target="https://m.media-amazon.com/images/W/WEBP_402378-T2/images/I/41X6hey-ExL._SX300_SY300_QL70_FMwebp_.jpg" TargetMode="External"/><Relationship Id="rId830" Type="http://schemas.openxmlformats.org/officeDocument/2006/relationships/hyperlink" Target="https://m.media-amazon.com/images/I/41nub-26HfL._SX300_SY300_QL70_FMwebp_.jpg" TargetMode="External"/><Relationship Id="rId837" Type="http://schemas.openxmlformats.org/officeDocument/2006/relationships/hyperlink" Target="https://m.media-amazon.com/images/I/41wN7jooz0L._SX300_SY300_QL70_FMwebp_.jpg" TargetMode="External"/><Relationship Id="rId836" Type="http://schemas.openxmlformats.org/officeDocument/2006/relationships/hyperlink" Target="https://m.media-amazon.com/images/I/41PBiq0KGUL._SX300_SY300_QL70_FMwebp_.jpg" TargetMode="External"/><Relationship Id="rId835" Type="http://schemas.openxmlformats.org/officeDocument/2006/relationships/hyperlink" Target="https://m.media-amazon.com/images/W/WEBP_402378-T1/images/I/21e4IoLXBFL._SY300_SX300_QL70_FMwebp_.jpg" TargetMode="External"/><Relationship Id="rId834" Type="http://schemas.openxmlformats.org/officeDocument/2006/relationships/hyperlink" Target="https://m.media-amazon.com/images/I/11ICusapw3L._SY300_SX300_QL70_FMwebp_.jpg" TargetMode="External"/><Relationship Id="rId1420" Type="http://schemas.openxmlformats.org/officeDocument/2006/relationships/hyperlink" Target="https://m.media-amazon.com/images/I/31afXBXOUVL._SX300_SY300_QL70_FMwebp_.jpg" TargetMode="External"/><Relationship Id="rId1421" Type="http://schemas.openxmlformats.org/officeDocument/2006/relationships/hyperlink" Target="https://m.media-amazon.com/images/W/WEBP_402378-T2/images/I/41BMEYjkguL._SY300_SX300_QL70_FMwebp_.jpg" TargetMode="External"/><Relationship Id="rId1059" Type="http://schemas.openxmlformats.org/officeDocument/2006/relationships/hyperlink" Target="https://m.media-amazon.com/images/W/WEBP_402378-T1/images/I/4171TGwCHvL._SX300_SY300_QL70_FMwebp_.jpg" TargetMode="External"/><Relationship Id="rId228" Type="http://schemas.openxmlformats.org/officeDocument/2006/relationships/hyperlink" Target="https://m.media-amazon.com/images/I/41+H-BiHBlS._SX300_SY300_.jpg" TargetMode="External"/><Relationship Id="rId227" Type="http://schemas.openxmlformats.org/officeDocument/2006/relationships/hyperlink" Target="https://m.media-amazon.com/images/W/WEBP_402378-T1/images/I/31h559f7EaL._SX300_SY300_QL70_FMwebp_.jpg" TargetMode="External"/><Relationship Id="rId469" Type="http://schemas.openxmlformats.org/officeDocument/2006/relationships/hyperlink" Target="https://m.media-amazon.com/images/I/51R2kfyMW5L._SX300_SY300_QL70_ML2_.jpg" TargetMode="External"/><Relationship Id="rId226" Type="http://schemas.openxmlformats.org/officeDocument/2006/relationships/hyperlink" Target="https://m.media-amazon.com/images/W/WEBP_402378-T1/images/I/31KL5uYqVRL._SX300_SY300_QL70_FMwebp_.jpg" TargetMode="External"/><Relationship Id="rId468" Type="http://schemas.openxmlformats.org/officeDocument/2006/relationships/hyperlink" Target="https://m.media-amazon.com/images/I/41TZJiPRRwL._SX300_SY300_QL70_ML2_.jpg" TargetMode="External"/><Relationship Id="rId225" Type="http://schemas.openxmlformats.org/officeDocument/2006/relationships/hyperlink" Target="https://m.media-amazon.com/images/I/31J3pwT7i4L._SY300_SX300_QL70_FMwebp_.jpg" TargetMode="External"/><Relationship Id="rId467" Type="http://schemas.openxmlformats.org/officeDocument/2006/relationships/hyperlink" Target="https://m.media-amazon.com/images/I/31FzYVC62wL._SX300_SY300_QL70_ML2_.jpg" TargetMode="External"/><Relationship Id="rId1290" Type="http://schemas.openxmlformats.org/officeDocument/2006/relationships/hyperlink" Target="https://m.media-amazon.com/images/W/WEBP_402378-T1/images/I/41ZvKRULvDL._SY445_SX342_QL70_FMwebp_.jpg" TargetMode="External"/><Relationship Id="rId1291" Type="http://schemas.openxmlformats.org/officeDocument/2006/relationships/hyperlink" Target="https://m.media-amazon.com/images/I/41EuzetRjTL._SX300_SY300_QL70_FMwebp_.jpg" TargetMode="External"/><Relationship Id="rId229" Type="http://schemas.openxmlformats.org/officeDocument/2006/relationships/hyperlink" Target="https://m.media-amazon.com/images/I/41VKU5Lkg3L._SX300_SY300_QL70_FMwebp_.jpg" TargetMode="External"/><Relationship Id="rId1050" Type="http://schemas.openxmlformats.org/officeDocument/2006/relationships/hyperlink" Target="https://m.media-amazon.com/images/I/51DxyRgcEdL._SX300_SY300_QL70_FMwebp_.jpg" TargetMode="External"/><Relationship Id="rId1292" Type="http://schemas.openxmlformats.org/officeDocument/2006/relationships/hyperlink" Target="https://m.media-amazon.com/images/I/31vL9-jaaJL._SX300_SY300_QL70_FMwebp_.jpg" TargetMode="External"/><Relationship Id="rId220" Type="http://schemas.openxmlformats.org/officeDocument/2006/relationships/hyperlink" Target="https://m.media-amazon.com/images/I/41ovRStbxUL._SX300_SY300_QL70_FMwebp_.jpg" TargetMode="External"/><Relationship Id="rId462" Type="http://schemas.openxmlformats.org/officeDocument/2006/relationships/hyperlink" Target="https://m.media-amazon.com/images/I/31AGkV82sES._SX300_SY300_QL70_ML2_.jpg" TargetMode="External"/><Relationship Id="rId1051" Type="http://schemas.openxmlformats.org/officeDocument/2006/relationships/hyperlink" Target="https://m.media-amazon.com/images/I/51oPN7WqUwL._SY300_SX300_QL70_FMwebp_.jpg" TargetMode="External"/><Relationship Id="rId1293" Type="http://schemas.openxmlformats.org/officeDocument/2006/relationships/hyperlink" Target="https://m.media-amazon.com/images/I/41OZjIUftuL._SX300_SY300_QL70_FMwebp_.jpg" TargetMode="External"/><Relationship Id="rId461" Type="http://schemas.openxmlformats.org/officeDocument/2006/relationships/hyperlink" Target="https://m.media-amazon.com/images/I/31jgUvSar0L._SX300_SY300_QL70_ML2_.jpg" TargetMode="External"/><Relationship Id="rId1052" Type="http://schemas.openxmlformats.org/officeDocument/2006/relationships/hyperlink" Target="https://m.media-amazon.com/images/W/WEBP_402378-T2/images/I/31Q16tE2voL._SX300_SY300_QL70_FMwebp_.jpg" TargetMode="External"/><Relationship Id="rId1294" Type="http://schemas.openxmlformats.org/officeDocument/2006/relationships/hyperlink" Target="https://m.media-amazon.com/images/I/41xLjSyJtYL._SX300_SY300_QL70_FMwebp_.jpg" TargetMode="External"/><Relationship Id="rId460" Type="http://schemas.openxmlformats.org/officeDocument/2006/relationships/hyperlink" Target="https://m.media-amazon.com/images/I/51EiPNlJDgL._SX300_SY300_QL70_ML2_.jpg" TargetMode="External"/><Relationship Id="rId1053" Type="http://schemas.openxmlformats.org/officeDocument/2006/relationships/hyperlink" Target="https://m.media-amazon.com/images/W/WEBP_402378-T1/images/I/317ws2QblnL._SX300_SY300_QL70_FMwebp_.jpg" TargetMode="External"/><Relationship Id="rId1295" Type="http://schemas.openxmlformats.org/officeDocument/2006/relationships/hyperlink" Target="https://m.media-amazon.com/images/I/51CyJ9dUiWL._SX300_SY300_QL70_FMwebp_.jpg" TargetMode="External"/><Relationship Id="rId1054" Type="http://schemas.openxmlformats.org/officeDocument/2006/relationships/hyperlink" Target="https://m.media-amazon.com/images/I/41Y8kHM144L._SY300_SX300_QL70_FMwebp_.jpg" TargetMode="External"/><Relationship Id="rId1296" Type="http://schemas.openxmlformats.org/officeDocument/2006/relationships/hyperlink" Target="https://m.media-amazon.com/images/I/31hXo964hqL._SY300_SX300_QL70_FMwebp_.jpg" TargetMode="External"/><Relationship Id="rId224" Type="http://schemas.openxmlformats.org/officeDocument/2006/relationships/hyperlink" Target="https://m.media-amazon.com/images/W/WEBP_402378-T1/images/I/41ngtt1EmoL._SX300_SY300_QL70_FMwebp_.jpg" TargetMode="External"/><Relationship Id="rId466" Type="http://schemas.openxmlformats.org/officeDocument/2006/relationships/hyperlink" Target="https://m.media-amazon.com/images/I/41S7tnENirL._SX300_SY300_QL70_ML2_.jpg" TargetMode="External"/><Relationship Id="rId1055" Type="http://schemas.openxmlformats.org/officeDocument/2006/relationships/hyperlink" Target="https://m.media-amazon.com/images/I/31Jad8ITgaL._SX300_SY300_QL70_FMwebp_.jpg" TargetMode="External"/><Relationship Id="rId1297" Type="http://schemas.openxmlformats.org/officeDocument/2006/relationships/hyperlink" Target="https://m.media-amazon.com/images/I/51RQbF6ZuLL._SX300_SY300_QL70_FMwebp_.jpg" TargetMode="External"/><Relationship Id="rId223" Type="http://schemas.openxmlformats.org/officeDocument/2006/relationships/hyperlink" Target="https://m.media-amazon.com/images/I/41yMQskyzFL._SX300_SY300_QL70_FMwebp_.jpg" TargetMode="External"/><Relationship Id="rId465" Type="http://schemas.openxmlformats.org/officeDocument/2006/relationships/hyperlink" Target="https://m.media-amazon.com/images/I/31gaP7qpBNL._SX300_SY300_QL70_ML2_.jpg" TargetMode="External"/><Relationship Id="rId1056" Type="http://schemas.openxmlformats.org/officeDocument/2006/relationships/hyperlink" Target="https://m.media-amazon.com/images/I/41oxCycQ4BL._SX300_SY300_QL70_FMwebp_.jpg" TargetMode="External"/><Relationship Id="rId1298" Type="http://schemas.openxmlformats.org/officeDocument/2006/relationships/hyperlink" Target="https://m.media-amazon.com/images/W/WEBP_402378-T1/images/I/41tcKYuBPSL._SX300_SY300_QL70_FMwebp_.jpg" TargetMode="External"/><Relationship Id="rId222" Type="http://schemas.openxmlformats.org/officeDocument/2006/relationships/hyperlink" Target="https://m.media-amazon.com/images/I/31U-gk8FwsL._SX300_SY300_QL70_FMwebp_.jpg" TargetMode="External"/><Relationship Id="rId464" Type="http://schemas.openxmlformats.org/officeDocument/2006/relationships/hyperlink" Target="https://m.media-amazon.com/images/I/41k-VlGbYnL._SX300_SY300_QL70_ML2_.jpg" TargetMode="External"/><Relationship Id="rId1057" Type="http://schemas.openxmlformats.org/officeDocument/2006/relationships/hyperlink" Target="https://m.media-amazon.com/images/W/WEBP_402378-T1/images/I/41Xp77o+-YL._SX300_SY300_.jpg" TargetMode="External"/><Relationship Id="rId1299" Type="http://schemas.openxmlformats.org/officeDocument/2006/relationships/hyperlink" Target="https://m.media-amazon.com/images/W/WEBP_402378-T1/images/I/41Xg2TPKwyL._SX300_SY300_QL70_FMwebp_.jpg" TargetMode="External"/><Relationship Id="rId221" Type="http://schemas.openxmlformats.org/officeDocument/2006/relationships/hyperlink" Target="https://m.media-amazon.com/images/I/41eHLj-wfGL._SX300_SY300_QL70_FMwebp_.jpg" TargetMode="External"/><Relationship Id="rId463" Type="http://schemas.openxmlformats.org/officeDocument/2006/relationships/hyperlink" Target="https://m.media-amazon.com/images/I/41fXq5ZKACL._SX300_SY300_QL70_ML2_.jpg" TargetMode="External"/><Relationship Id="rId1058" Type="http://schemas.openxmlformats.org/officeDocument/2006/relationships/hyperlink" Target="https://m.media-amazon.com/images/I/31flPimoFpL._SX300_SY300_QL70_FMwebp_.jpg" TargetMode="External"/><Relationship Id="rId1048" Type="http://schemas.openxmlformats.org/officeDocument/2006/relationships/hyperlink" Target="https://m.media-amazon.com/images/W/WEBP_402378-T1/images/I/31rucE-db2L._SX300_SY300_QL70_FMwebp_.jpg" TargetMode="External"/><Relationship Id="rId1049" Type="http://schemas.openxmlformats.org/officeDocument/2006/relationships/hyperlink" Target="https://m.media-amazon.com/images/W/WEBP_402378-T1/images/I/41h9kA2Tt7S._SX300_SY300_QL70_FMwebp_.jpg" TargetMode="External"/><Relationship Id="rId217" Type="http://schemas.openxmlformats.org/officeDocument/2006/relationships/hyperlink" Target="https://m.media-amazon.com/images/I/41BaZZ48wjS._SX300_SY300_QL70_FMwebp_.jpg" TargetMode="External"/><Relationship Id="rId459" Type="http://schemas.openxmlformats.org/officeDocument/2006/relationships/hyperlink" Target="https://m.media-amazon.com/images/I/4141l8ZBWXL._SX300_SY300_QL70_ML2_.jpg" TargetMode="External"/><Relationship Id="rId216" Type="http://schemas.openxmlformats.org/officeDocument/2006/relationships/hyperlink" Target="https://m.media-amazon.com/images/I/41YDz0uQZaL._SY300_SX300_QL70_FMwebp_.jpg" TargetMode="External"/><Relationship Id="rId458" Type="http://schemas.openxmlformats.org/officeDocument/2006/relationships/hyperlink" Target="https://m.media-amazon.com/images/I/41fjUA7leTL._SX300_SY300_QL70_ML2_.jpg" TargetMode="External"/><Relationship Id="rId215" Type="http://schemas.openxmlformats.org/officeDocument/2006/relationships/hyperlink" Target="https://m.media-amazon.com/images/I/31QdoA5bJAL._SX300_SY300_QL70_FMwebp_.jpg" TargetMode="External"/><Relationship Id="rId457" Type="http://schemas.openxmlformats.org/officeDocument/2006/relationships/hyperlink" Target="https://m.media-amazon.com/images/I/41R08zLK69L._SX300_SY300_QL70_ML2_.jpg" TargetMode="External"/><Relationship Id="rId699" Type="http://schemas.openxmlformats.org/officeDocument/2006/relationships/hyperlink" Target="https://m.media-amazon.com/images/I/41NJeh+qQRL._SY300_SX300_.jpg" TargetMode="External"/><Relationship Id="rId214" Type="http://schemas.openxmlformats.org/officeDocument/2006/relationships/hyperlink" Target="https://m.media-amazon.com/images/I/31f4cZdDnJL._SX300_SY300_QL70_FMwebp_.jpg" TargetMode="External"/><Relationship Id="rId456" Type="http://schemas.openxmlformats.org/officeDocument/2006/relationships/hyperlink" Target="https://m.media-amazon.com/images/I/41MOWVL2YNL._SX300_SY300_QL70_ML2_.jpg" TargetMode="External"/><Relationship Id="rId698" Type="http://schemas.openxmlformats.org/officeDocument/2006/relationships/hyperlink" Target="https://m.media-amazon.com/images/W/WEBP_402378-T1/images/I/31puHGasbOL._SX300_SY300_QL70_FMwebp_.jpg" TargetMode="External"/><Relationship Id="rId219" Type="http://schemas.openxmlformats.org/officeDocument/2006/relationships/hyperlink" Target="https://m.media-amazon.com/images/W/WEBP_402378-T1/images/I/417qayz2nNL._SX300_SY300_QL70_FMwebp_.jpg" TargetMode="External"/><Relationship Id="rId1280" Type="http://schemas.openxmlformats.org/officeDocument/2006/relationships/hyperlink" Target="https://m.media-amazon.com/images/W/WEBP_402378-T1/images/I/41lZEy8e9DL._SX300_SY300_QL70_FMwebp_.jpg" TargetMode="External"/><Relationship Id="rId218" Type="http://schemas.openxmlformats.org/officeDocument/2006/relationships/hyperlink" Target="https://m.media-amazon.com/images/W/WEBP_402378-T2/images/I/41-VkhORGAL._SX300_SY300_QL70_FMwebp_.jpg" TargetMode="External"/><Relationship Id="rId1281" Type="http://schemas.openxmlformats.org/officeDocument/2006/relationships/hyperlink" Target="https://m.media-amazon.com/images/W/WEBP_402378-T2/images/I/41mtYvY3VdS._SX300_SY300_QL70_FMwebp_.jpg" TargetMode="External"/><Relationship Id="rId451" Type="http://schemas.openxmlformats.org/officeDocument/2006/relationships/hyperlink" Target="https://m.media-amazon.com/images/I/41XtHlbmOHL._SX300_SY300_QL70_ML2_.jpg" TargetMode="External"/><Relationship Id="rId693" Type="http://schemas.openxmlformats.org/officeDocument/2006/relationships/hyperlink" Target="https://m.media-amazon.com/images/W/WEBP_402378-T2/images/I/41R08zLK69L._SX300_SY300_QL70_FMwebp_.jpg" TargetMode="External"/><Relationship Id="rId1040" Type="http://schemas.openxmlformats.org/officeDocument/2006/relationships/hyperlink" Target="https://m.media-amazon.com/images/W/WEBP_402378-T1/images/I/31991seDfcL._SY300_SX300_QL70_FMwebp_.jpg" TargetMode="External"/><Relationship Id="rId1282" Type="http://schemas.openxmlformats.org/officeDocument/2006/relationships/hyperlink" Target="https://m.media-amazon.com/images/I/41IJvfYMaZL._SY300_SX300_QL70_FMwebp_.jpg" TargetMode="External"/><Relationship Id="rId450" Type="http://schemas.openxmlformats.org/officeDocument/2006/relationships/hyperlink" Target="https://m.media-amazon.com/images/I/31-hWNXDxiL._SX300_SY300_QL70_ML2_.jpg" TargetMode="External"/><Relationship Id="rId692" Type="http://schemas.openxmlformats.org/officeDocument/2006/relationships/hyperlink" Target="https://m.media-amazon.com/images/W/WEBP_402378-T1/images/I/31TZq2dY-hL._SX300_SY300_QL70_FMwebp_.jpg" TargetMode="External"/><Relationship Id="rId1041" Type="http://schemas.openxmlformats.org/officeDocument/2006/relationships/hyperlink" Target="https://m.media-amazon.com/images/W/WEBP_402378-T1/images/I/31HzCDKv6ZL._SX300_SY300_QL70_FMwebp_.jpg" TargetMode="External"/><Relationship Id="rId1283" Type="http://schemas.openxmlformats.org/officeDocument/2006/relationships/hyperlink" Target="https://m.media-amazon.com/images/W/WEBP_402378-T2/images/I/411uVIJr+QL._SY300_SX300_.jpg" TargetMode="External"/><Relationship Id="rId691" Type="http://schemas.openxmlformats.org/officeDocument/2006/relationships/hyperlink" Target="https://m.media-amazon.com/images/I/314g1W9h2rL._SX300_SY300_QL70_FMwebp_.jpg" TargetMode="External"/><Relationship Id="rId1042" Type="http://schemas.openxmlformats.org/officeDocument/2006/relationships/hyperlink" Target="https://m.media-amazon.com/images/I/31S74o1sCSS._SY300_SX300_QL70_FMwebp_.jpg" TargetMode="External"/><Relationship Id="rId1284" Type="http://schemas.openxmlformats.org/officeDocument/2006/relationships/hyperlink" Target="https://m.media-amazon.com/images/I/21TQo2rZRbL._SX300_SY300_QL70_FMwebp_.jpg" TargetMode="External"/><Relationship Id="rId690" Type="http://schemas.openxmlformats.org/officeDocument/2006/relationships/hyperlink" Target="https://m.media-amazon.com/images/I/31J6qGhAL9L._SX300_SY300_QL70_FMwebp_.jpg" TargetMode="External"/><Relationship Id="rId1043" Type="http://schemas.openxmlformats.org/officeDocument/2006/relationships/hyperlink" Target="https://m.media-amazon.com/images/W/WEBP_402378-T2/images/I/31zh7GQSkfL._SX300_SY300_QL70_FMwebp_.jpg" TargetMode="External"/><Relationship Id="rId1285" Type="http://schemas.openxmlformats.org/officeDocument/2006/relationships/hyperlink" Target="https://m.media-amazon.com/images/I/41iHB-nmy8L._SX300_SY300_QL70_FMwebp_.jpg" TargetMode="External"/><Relationship Id="rId213" Type="http://schemas.openxmlformats.org/officeDocument/2006/relationships/hyperlink" Target="https://m.media-amazon.com/images/I/41WuKPTQhTL._SY300_SX300_QL70_FMwebp_.jpg" TargetMode="External"/><Relationship Id="rId455" Type="http://schemas.openxmlformats.org/officeDocument/2006/relationships/hyperlink" Target="https://m.media-amazon.com/images/I/31J6qGhAL9L._SX300_SY300_QL70_ML2_.jpg" TargetMode="External"/><Relationship Id="rId697" Type="http://schemas.openxmlformats.org/officeDocument/2006/relationships/hyperlink" Target="https://m.media-amazon.com/images/I/4152kKO7W8L._SY300_SX300_QL70_FMwebp_.jpg" TargetMode="External"/><Relationship Id="rId1044" Type="http://schemas.openxmlformats.org/officeDocument/2006/relationships/hyperlink" Target="https://m.media-amazon.com/images/I/4150hW2kHwL._SX300_SY300_QL70_FMwebp_.jpg" TargetMode="External"/><Relationship Id="rId1286" Type="http://schemas.openxmlformats.org/officeDocument/2006/relationships/hyperlink" Target="https://m.media-amazon.com/images/W/WEBP_402378-T1/images/I/414PLTPvJBL._SX300_SY300_QL70_FMwebp_.jpg" TargetMode="External"/><Relationship Id="rId212" Type="http://schemas.openxmlformats.org/officeDocument/2006/relationships/hyperlink" Target="https://m.media-amazon.com/images/W/WEBP_402378-T1/images/I/317Uu2STldL._SX300_SY300_QL70_FMwebp_.jpg" TargetMode="External"/><Relationship Id="rId454" Type="http://schemas.openxmlformats.org/officeDocument/2006/relationships/hyperlink" Target="https://m.media-amazon.com/images/I/41OaM+9ZHXL._SY300_SX300_.jpg" TargetMode="External"/><Relationship Id="rId696" Type="http://schemas.openxmlformats.org/officeDocument/2006/relationships/hyperlink" Target="https://m.media-amazon.com/images/W/WEBP_402378-T2/images/I/3172BJyynBS._SY300_SX300_QL70_FMwebp_.jpg" TargetMode="External"/><Relationship Id="rId1045" Type="http://schemas.openxmlformats.org/officeDocument/2006/relationships/hyperlink" Target="https://m.media-amazon.com/images/I/31U-ACCgQ1L._SX300_SY300_QL70_FMwebp_.jpg" TargetMode="External"/><Relationship Id="rId1287" Type="http://schemas.openxmlformats.org/officeDocument/2006/relationships/hyperlink" Target="https://m.media-amazon.com/images/I/51pFS9lDzML._SY300_SX300_QL70_FMwebp_.jpg" TargetMode="External"/><Relationship Id="rId211" Type="http://schemas.openxmlformats.org/officeDocument/2006/relationships/hyperlink" Target="https://m.media-amazon.com/images/I/41p+lllC3HL._SY300_SX300_.jpg" TargetMode="External"/><Relationship Id="rId453" Type="http://schemas.openxmlformats.org/officeDocument/2006/relationships/hyperlink" Target="https://m.media-amazon.com/images/I/41OBf52bnOL._SX300_SY300_QL70_ML2_.jpg" TargetMode="External"/><Relationship Id="rId695" Type="http://schemas.openxmlformats.org/officeDocument/2006/relationships/hyperlink" Target="https://m.media-amazon.com/images/W/WEBP_402378-T1/images/I/41XH-IpxCQL._SX300_SY300_QL70_FMwebp_.jpg" TargetMode="External"/><Relationship Id="rId1046" Type="http://schemas.openxmlformats.org/officeDocument/2006/relationships/hyperlink" Target="https://m.media-amazon.com/images/I/413sK6yat-L._SX300_SY300_QL70_FMwebp_.jpg" TargetMode="External"/><Relationship Id="rId1288" Type="http://schemas.openxmlformats.org/officeDocument/2006/relationships/hyperlink" Target="https://m.media-amazon.com/images/W/WEBP_402378-T2/images/I/31uAkMaOShS._SX300_SY300_QL70_FMwebp_.jpg" TargetMode="External"/><Relationship Id="rId210" Type="http://schemas.openxmlformats.org/officeDocument/2006/relationships/hyperlink" Target="https://m.media-amazon.com/images/W/WEBP_402378-T2/images/I/416A01cyQYL._SX300_SY300_QL70_FMwebp_.jpg" TargetMode="External"/><Relationship Id="rId452" Type="http://schemas.openxmlformats.org/officeDocument/2006/relationships/hyperlink" Target="https://m.media-amazon.com/images/I/21Z1HsPvyTL._SX300_SY300_QL70_ML2_.jpg" TargetMode="External"/><Relationship Id="rId694" Type="http://schemas.openxmlformats.org/officeDocument/2006/relationships/hyperlink" Target="https://m.media-amazon.com/images/W/WEBP_402378-T2/images/I/41IZ3JvOvwL._SX300_SY300_QL70_FMwebp_.jpg" TargetMode="External"/><Relationship Id="rId1047" Type="http://schemas.openxmlformats.org/officeDocument/2006/relationships/hyperlink" Target="https://m.media-amazon.com/images/W/WEBP_402378-T1/images/I/41jBJfPQFwL._SY300_SX300_QL70_FMwebp_.jpg" TargetMode="External"/><Relationship Id="rId1289" Type="http://schemas.openxmlformats.org/officeDocument/2006/relationships/hyperlink" Target="https://m.media-amazon.com/images/I/41yPeG8kXxL._SX300_SY300_QL70_FMwebp_.jpg" TargetMode="External"/><Relationship Id="rId491" Type="http://schemas.openxmlformats.org/officeDocument/2006/relationships/hyperlink" Target="https://m.media-amazon.com/images/I/41gQbaGlXrL._SX300_SY300_QL70_ML2_.jpg" TargetMode="External"/><Relationship Id="rId490" Type="http://schemas.openxmlformats.org/officeDocument/2006/relationships/hyperlink" Target="https://m.media-amazon.com/images/I/41Lif4YWC2L._SX300_SY300_QL70_ML2_.jpg" TargetMode="External"/><Relationship Id="rId249" Type="http://schemas.openxmlformats.org/officeDocument/2006/relationships/hyperlink" Target="https://m.media-amazon.com/images/I/31qs7auuBKL._SY445_SX342_QL70_FMwebp_.jpg" TargetMode="External"/><Relationship Id="rId248" Type="http://schemas.openxmlformats.org/officeDocument/2006/relationships/hyperlink" Target="https://m.media-amazon.com/images/W/WEBP_402378-T1/images/I/41pOYlC-U8L._SX300_SY300_QL70_FMwebp_.jpg" TargetMode="External"/><Relationship Id="rId247" Type="http://schemas.openxmlformats.org/officeDocument/2006/relationships/hyperlink" Target="https://m.media-amazon.com/images/I/317rlQQXhYL._SX300_SY300_QL70_FMwebp_.jpg" TargetMode="External"/><Relationship Id="rId489" Type="http://schemas.openxmlformats.org/officeDocument/2006/relationships/hyperlink" Target="https://m.media-amazon.com/images/I/318Pgjl1wqL._SX300_SY300_QL70_ML2_.jpg" TargetMode="External"/><Relationship Id="rId1070" Type="http://schemas.openxmlformats.org/officeDocument/2006/relationships/hyperlink" Target="https://m.media-amazon.com/images/I/31zTQCdL35S._SX300_SY300_QL70_FMwebp_.jpg" TargetMode="External"/><Relationship Id="rId1071" Type="http://schemas.openxmlformats.org/officeDocument/2006/relationships/hyperlink" Target="https://m.media-amazon.com/images/W/WEBP_402378-T1/images/I/41e3A7YKxeL._SX300_SY300_QL70_FMwebp_.jpg" TargetMode="External"/><Relationship Id="rId1072" Type="http://schemas.openxmlformats.org/officeDocument/2006/relationships/hyperlink" Target="https://m.media-amazon.com/images/I/41twHEBU-LL._SX300_SY300_QL70_FMwebp_.jpg" TargetMode="External"/><Relationship Id="rId242" Type="http://schemas.openxmlformats.org/officeDocument/2006/relationships/hyperlink" Target="https://m.media-amazon.com/images/I/41etMsrKqTL._SX300_SY300_QL70_FMwebp_.jpg" TargetMode="External"/><Relationship Id="rId484" Type="http://schemas.openxmlformats.org/officeDocument/2006/relationships/hyperlink" Target="https://m.media-amazon.com/images/I/31H8AoDYAYL._SX300_SY300_QL70_ML2_.jpg" TargetMode="External"/><Relationship Id="rId1073" Type="http://schemas.openxmlformats.org/officeDocument/2006/relationships/hyperlink" Target="https://m.media-amazon.com/images/I/41LFdROYICL._SX300_SY300_QL70_FMwebp_.jpg" TargetMode="External"/><Relationship Id="rId241" Type="http://schemas.openxmlformats.org/officeDocument/2006/relationships/hyperlink" Target="https://m.media-amazon.com/images/W/WEBP_402378-T2/images/I/31VemHkewfL._SX300_SY300_QL70_FMwebp_.jpg" TargetMode="External"/><Relationship Id="rId483" Type="http://schemas.openxmlformats.org/officeDocument/2006/relationships/hyperlink" Target="https://m.media-amazon.com/images/I/3187gPkT6GL._SX300_SY300_QL70_ML2_.jpg" TargetMode="External"/><Relationship Id="rId1074" Type="http://schemas.openxmlformats.org/officeDocument/2006/relationships/hyperlink" Target="https://m.media-amazon.com/images/W/WEBP_402378-T1/images/I/31VoHcKK5ZL._SX300_SY300_QL70_FMwebp_.jpg" TargetMode="External"/><Relationship Id="rId240" Type="http://schemas.openxmlformats.org/officeDocument/2006/relationships/hyperlink" Target="https://m.media-amazon.com/images/W/WEBP_402378-T2/images/I/41vJcrdr5mL._SY300_SX300_QL70_FMwebp_.jpg" TargetMode="External"/><Relationship Id="rId482" Type="http://schemas.openxmlformats.org/officeDocument/2006/relationships/hyperlink" Target="https://m.media-amazon.com/images/I/413sCRKobNL._SX300_SY300_QL70_ML2_.jpg" TargetMode="External"/><Relationship Id="rId1075" Type="http://schemas.openxmlformats.org/officeDocument/2006/relationships/hyperlink" Target="https://images-na.ssl-images-amazon.com/images/W/WEBP_402378-T1/images/I/41d17oVYVeL._SX300_SY300_QL70_FMwebp_.jpg" TargetMode="External"/><Relationship Id="rId481" Type="http://schemas.openxmlformats.org/officeDocument/2006/relationships/hyperlink" Target="https://m.media-amazon.com/images/I/31bKIZtFGWL._SX300_SY300_QL70_ML2_.jpg" TargetMode="External"/><Relationship Id="rId1076" Type="http://schemas.openxmlformats.org/officeDocument/2006/relationships/hyperlink" Target="https://m.media-amazon.com/images/I/41SkG6Puq5L._SX300_SY300_QL70_FMwebp_.jpg" TargetMode="External"/><Relationship Id="rId246" Type="http://schemas.openxmlformats.org/officeDocument/2006/relationships/hyperlink" Target="https://m.media-amazon.com/images/I/412XfBAEikL._SX300_SY300_QL70_FMwebp_.jpg" TargetMode="External"/><Relationship Id="rId488" Type="http://schemas.openxmlformats.org/officeDocument/2006/relationships/hyperlink" Target="https://m.media-amazon.com/images/I/4123OnLZCFL._SX300_SY300_QL70_ML2_.jpg" TargetMode="External"/><Relationship Id="rId1077" Type="http://schemas.openxmlformats.org/officeDocument/2006/relationships/hyperlink" Target="https://m.media-amazon.com/images/I/41KeuNgJDiL._SX300_SY300_QL70_FMwebp_.jpg" TargetMode="External"/><Relationship Id="rId245" Type="http://schemas.openxmlformats.org/officeDocument/2006/relationships/hyperlink" Target="https://m.media-amazon.com/images/W/WEBP_402378-T2/images/I/41rEpW57SyL._SX300_SY300_QL70_FMwebp_.jpg" TargetMode="External"/><Relationship Id="rId487" Type="http://schemas.openxmlformats.org/officeDocument/2006/relationships/hyperlink" Target="https://m.media-amazon.com/images/I/31tWzHMz6vL._SY445_SX342_QL70_ML2_.jpg" TargetMode="External"/><Relationship Id="rId1078" Type="http://schemas.openxmlformats.org/officeDocument/2006/relationships/hyperlink" Target="https://m.media-amazon.com/images/I/31DA6bcvbfL._SY300_SX300_QL70_FMwebp_.jpg" TargetMode="External"/><Relationship Id="rId244" Type="http://schemas.openxmlformats.org/officeDocument/2006/relationships/hyperlink" Target="https://m.media-amazon.com/images/W/WEBP_402378-T2/images/I/31dENZ1gQVL._SX300_SY300_QL70_FMwebp_.jpg" TargetMode="External"/><Relationship Id="rId486" Type="http://schemas.openxmlformats.org/officeDocument/2006/relationships/hyperlink" Target="https://m.media-amazon.com/images/I/31SKRsp7Y1L._SX300_SY300_QL70_ML2_.jpg" TargetMode="External"/><Relationship Id="rId1079" Type="http://schemas.openxmlformats.org/officeDocument/2006/relationships/hyperlink" Target="https://m.media-amazon.com/images/W/WEBP_402378-T1/images/I/31YrFqskR7L._SX300_SY300_QL70_FMwebp_.jpg" TargetMode="External"/><Relationship Id="rId243" Type="http://schemas.openxmlformats.org/officeDocument/2006/relationships/hyperlink" Target="https://m.media-amazon.com/images/I/41js3ITzVHL._SY300_SX300_QL70_FMwebp_.jpg" TargetMode="External"/><Relationship Id="rId485" Type="http://schemas.openxmlformats.org/officeDocument/2006/relationships/hyperlink" Target="https://m.media-amazon.com/images/I/41vMaBVWDjL._SX300_SY300_QL70_ML2_.jpg" TargetMode="External"/><Relationship Id="rId480" Type="http://schemas.openxmlformats.org/officeDocument/2006/relationships/hyperlink" Target="https://m.media-amazon.com/images/I/31kLQHU5pdL._SX300_SY300_QL70_ML2_.jpg" TargetMode="External"/><Relationship Id="rId239" Type="http://schemas.openxmlformats.org/officeDocument/2006/relationships/hyperlink" Target="https://m.media-amazon.com/images/W/WEBP_402378-T2/images/I/41FQPJ+s61L._SX342_SY445_.jpg" TargetMode="External"/><Relationship Id="rId238" Type="http://schemas.openxmlformats.org/officeDocument/2006/relationships/hyperlink" Target="https://m.media-amazon.com/images/W/WEBP_402378-T2/images/I/31MQ2YXMb4L._SY445_SX342_QL70_FMwebp_.jpg" TargetMode="External"/><Relationship Id="rId237" Type="http://schemas.openxmlformats.org/officeDocument/2006/relationships/hyperlink" Target="https://m.media-amazon.com/images/I/31DRQ+kgWaL._SY300_SX300_.jpg" TargetMode="External"/><Relationship Id="rId479" Type="http://schemas.openxmlformats.org/officeDocument/2006/relationships/hyperlink" Target="https://m.media-amazon.com/images/I/31qGpf8uzuL._SY445_SX342_QL70_ML2_.jpg" TargetMode="External"/><Relationship Id="rId236" Type="http://schemas.openxmlformats.org/officeDocument/2006/relationships/hyperlink" Target="https://m.media-amazon.com/images/I/21DySoa1X+L._SY300_SX300_.jpg" TargetMode="External"/><Relationship Id="rId478" Type="http://schemas.openxmlformats.org/officeDocument/2006/relationships/hyperlink" Target="https://m.media-amazon.com/images/I/41PNVbmQdfL._SX300_SY300_QL70_ML2_.jpg" TargetMode="External"/><Relationship Id="rId1060" Type="http://schemas.openxmlformats.org/officeDocument/2006/relationships/hyperlink" Target="https://m.media-amazon.com/images/I/41HqmhflMWL._SX300_SY300_QL70_FMwebp_.jpg" TargetMode="External"/><Relationship Id="rId1061" Type="http://schemas.openxmlformats.org/officeDocument/2006/relationships/hyperlink" Target="https://m.media-amazon.com/images/W/WEBP_402378-T1/images/I/41TUgf0W8uL._SX300_SY300_QL70_FMwebp_.jpg" TargetMode="External"/><Relationship Id="rId231" Type="http://schemas.openxmlformats.org/officeDocument/2006/relationships/hyperlink" Target="https://m.media-amazon.com/images/W/WEBP_402378-T2/images/I/41AcG6PavXL._SX300_SY300_QL70_FMwebp_.jpg" TargetMode="External"/><Relationship Id="rId473" Type="http://schemas.openxmlformats.org/officeDocument/2006/relationships/hyperlink" Target="https://m.media-amazon.com/images/I/41xwPQLxTML._SX300_SY300_QL70_ML2_.jpg" TargetMode="External"/><Relationship Id="rId1062" Type="http://schemas.openxmlformats.org/officeDocument/2006/relationships/hyperlink" Target="https://m.media-amazon.com/images/I/41E0TjbPBAL._SX300_SY300_QL70_FMwebp_.jpg" TargetMode="External"/><Relationship Id="rId230" Type="http://schemas.openxmlformats.org/officeDocument/2006/relationships/hyperlink" Target="https://m.media-amazon.com/images/W/WEBP_402378-T2/images/I/41rDN2Ylj1L._SX300_SY300_QL70_FMwebp_.jpg" TargetMode="External"/><Relationship Id="rId472" Type="http://schemas.openxmlformats.org/officeDocument/2006/relationships/hyperlink" Target="https://m.media-amazon.com/images/I/41pQWwAzVyL._SY300_SX300_QL70_ML2_.jpg" TargetMode="External"/><Relationship Id="rId1063" Type="http://schemas.openxmlformats.org/officeDocument/2006/relationships/hyperlink" Target="https://m.media-amazon.com/images/W/WEBP_402378-T2/images/I/410H+3lohIL._SX300_SY300_.jpg" TargetMode="External"/><Relationship Id="rId471" Type="http://schemas.openxmlformats.org/officeDocument/2006/relationships/hyperlink" Target="https://m.media-amazon.com/images/I/41d84o5-M-L._SY445_SX342_QL70_ML2_.jpg" TargetMode="External"/><Relationship Id="rId1064" Type="http://schemas.openxmlformats.org/officeDocument/2006/relationships/hyperlink" Target="https://m.media-amazon.com/images/W/WEBP_402378-T1/images/I/41IymCXFA7L._SX300_SY300_QL70_FMwebp_.jpg" TargetMode="External"/><Relationship Id="rId470" Type="http://schemas.openxmlformats.org/officeDocument/2006/relationships/hyperlink" Target="https://m.media-amazon.com/images/I/41kg-+XWoxL._SY300_SX300_.jpg" TargetMode="External"/><Relationship Id="rId1065" Type="http://schemas.openxmlformats.org/officeDocument/2006/relationships/hyperlink" Target="https://m.media-amazon.com/images/I/41Bnylq337S._SX300_SY300_QL70_FMwebp_.jpg" TargetMode="External"/><Relationship Id="rId235" Type="http://schemas.openxmlformats.org/officeDocument/2006/relationships/hyperlink" Target="https://m.media-amazon.com/images/W/WEBP_402378-T2/images/I/31q4l5k9uOL._SX300_SY300_QL70_FMwebp_.jpg" TargetMode="External"/><Relationship Id="rId477" Type="http://schemas.openxmlformats.org/officeDocument/2006/relationships/hyperlink" Target="https://m.media-amazon.com/images/I/31hDWwY8iWL._SX300_SY300_QL70_ML2_.jpg" TargetMode="External"/><Relationship Id="rId1066" Type="http://schemas.openxmlformats.org/officeDocument/2006/relationships/hyperlink" Target="https://m.media-amazon.com/images/W/WEBP_402378-T2/images/I/41xXipZ7vjL._SX300_SY300_QL70_FMwebp_.jpg" TargetMode="External"/><Relationship Id="rId234" Type="http://schemas.openxmlformats.org/officeDocument/2006/relationships/hyperlink" Target="https://m.media-amazon.com/images/I/4173mQ7F-mL._SX300_SY300_QL70_FMwebp_.jpg" TargetMode="External"/><Relationship Id="rId476" Type="http://schemas.openxmlformats.org/officeDocument/2006/relationships/hyperlink" Target="https://m.media-amazon.com/images/I/41cYSMom9TL._SX300_SY300_QL70_ML2_.jpg" TargetMode="External"/><Relationship Id="rId1067" Type="http://schemas.openxmlformats.org/officeDocument/2006/relationships/hyperlink" Target="https://m.media-amazon.com/images/I/41NW-vJum5L._SX300_SY300_QL70_FMwebp_.jpg" TargetMode="External"/><Relationship Id="rId233" Type="http://schemas.openxmlformats.org/officeDocument/2006/relationships/hyperlink" Target="https://m.media-amazon.com/images/I/51TJwbyAtNL._SX300_SY300_QL70_FMwebp_.jpg" TargetMode="External"/><Relationship Id="rId475" Type="http://schemas.openxmlformats.org/officeDocument/2006/relationships/hyperlink" Target="https://m.media-amazon.com/images/I/41ziJKWj9LL._SX300_SY300_QL70_ML2_.jpg" TargetMode="External"/><Relationship Id="rId1068" Type="http://schemas.openxmlformats.org/officeDocument/2006/relationships/hyperlink" Target="https://m.media-amazon.com/images/W/WEBP_402378-T1/images/I/41B-iX4Pf5L._SX300_SY300_QL70_FMwebp_.jpg" TargetMode="External"/><Relationship Id="rId232" Type="http://schemas.openxmlformats.org/officeDocument/2006/relationships/hyperlink" Target="https://images-na.ssl-images-amazon.com/images/W/WEBP_402378-T2/images/I/51Y4ApH7emL._SX300_SY300_QL70_FMwebp_.jpg" TargetMode="External"/><Relationship Id="rId474" Type="http://schemas.openxmlformats.org/officeDocument/2006/relationships/hyperlink" Target="https://m.media-amazon.com/images/I/41P4Al+S3zL._SY300_SX300_.jpg" TargetMode="External"/><Relationship Id="rId1069" Type="http://schemas.openxmlformats.org/officeDocument/2006/relationships/hyperlink" Target="https://m.media-amazon.com/images/I/41vK2c5b-lL._SX300_SY300_QL70_FMwebp_.jpg" TargetMode="External"/><Relationship Id="rId1015" Type="http://schemas.openxmlformats.org/officeDocument/2006/relationships/hyperlink" Target="https://m.media-amazon.com/images/I/41PnIUzyYML._SX300_SY300_QL70_FMwebp_.jpg" TargetMode="External"/><Relationship Id="rId1257" Type="http://schemas.openxmlformats.org/officeDocument/2006/relationships/hyperlink" Target="https://m.media-amazon.com/images/W/WEBP_402378-T1/images/I/51mvimcd7EL._SY445_SX342_QL70_FMwebp_.jpg" TargetMode="External"/><Relationship Id="rId1016" Type="http://schemas.openxmlformats.org/officeDocument/2006/relationships/hyperlink" Target="https://m.media-amazon.com/images/W/WEBP_402378-T1/images/I/41ZeJ53ij3L._SX300_SY300_QL70_FMwebp_.jpg" TargetMode="External"/><Relationship Id="rId1258" Type="http://schemas.openxmlformats.org/officeDocument/2006/relationships/hyperlink" Target="https://m.media-amazon.com/images/I/41zqeckaQtS._SY300_SX300_QL70_FMwebp_.jpg" TargetMode="External"/><Relationship Id="rId1017" Type="http://schemas.openxmlformats.org/officeDocument/2006/relationships/hyperlink" Target="https://m.media-amazon.com/images/I/41uoxHxPDaL._SX300_SY300_QL70_FMwebp_.jpg" TargetMode="External"/><Relationship Id="rId1259" Type="http://schemas.openxmlformats.org/officeDocument/2006/relationships/hyperlink" Target="https://m.media-amazon.com/images/W/WEBP_402378-T2/images/I/41AQNOLe6GL._SX300_SY300_QL70_FMwebp_.jpg" TargetMode="External"/><Relationship Id="rId1018" Type="http://schemas.openxmlformats.org/officeDocument/2006/relationships/hyperlink" Target="https://m.media-amazon.com/images/I/217Lv1D3bHL._SX300_SY300_QL70_FMwebp_.jpg" TargetMode="External"/><Relationship Id="rId1019" Type="http://schemas.openxmlformats.org/officeDocument/2006/relationships/hyperlink" Target="https://m.media-amazon.com/images/W/WEBP_402378-T2/images/I/3135yilFsfL._SY445_SX342_QL70_FMwebp_.jpg" TargetMode="External"/><Relationship Id="rId426" Type="http://schemas.openxmlformats.org/officeDocument/2006/relationships/hyperlink" Target="https://m.media-amazon.com/images/I/413sCRKobNL._SX300_SY300_QL70_ML2_.jpg" TargetMode="External"/><Relationship Id="rId668" Type="http://schemas.openxmlformats.org/officeDocument/2006/relationships/hyperlink" Target="https://m.media-amazon.com/images/I/41XQP3N-SdL._SX300_SY300_QL70_FMwebp_.jpg" TargetMode="External"/><Relationship Id="rId425" Type="http://schemas.openxmlformats.org/officeDocument/2006/relationships/hyperlink" Target="https://m.media-amazon.com/images/I/21df1gnW1SL._SX300_SY300_QL70_ML2_.jpg" TargetMode="External"/><Relationship Id="rId667" Type="http://schemas.openxmlformats.org/officeDocument/2006/relationships/hyperlink" Target="https://m.media-amazon.com/images/I/51JF5xTgNhL._SX300_SY300_QL70_FMwebp_.jpg" TargetMode="External"/><Relationship Id="rId424" Type="http://schemas.openxmlformats.org/officeDocument/2006/relationships/hyperlink" Target="https://m.media-amazon.com/images/I/31kj3q4SepL._SY445_SX342_QL70_ML2_.jpg" TargetMode="External"/><Relationship Id="rId666" Type="http://schemas.openxmlformats.org/officeDocument/2006/relationships/hyperlink" Target="https://m.media-amazon.com/images/I/31Rn5CAJDBL._SX300_SY300_QL70_FMwebp_.jpg" TargetMode="External"/><Relationship Id="rId423" Type="http://schemas.openxmlformats.org/officeDocument/2006/relationships/hyperlink" Target="https://m.media-amazon.com/images/I/31XO-wfGGGL._SX300_SY300_QL70_ML2_.jpg" TargetMode="External"/><Relationship Id="rId665" Type="http://schemas.openxmlformats.org/officeDocument/2006/relationships/hyperlink" Target="https://m.media-amazon.com/images/W/WEBP_402378-T2/images/I/41PlZjYsy-L._SX300_SY300_QL70_FMwebp_.jpg" TargetMode="External"/><Relationship Id="rId429" Type="http://schemas.openxmlformats.org/officeDocument/2006/relationships/hyperlink" Target="https://m.media-amazon.com/images/I/31dJ+lXJq3L._SY300_SX300_.jpg" TargetMode="External"/><Relationship Id="rId428" Type="http://schemas.openxmlformats.org/officeDocument/2006/relationships/hyperlink" Target="https://m.media-amazon.com/images/I/411yU+n3UkL._SY300_SX300_.jpg" TargetMode="External"/><Relationship Id="rId427" Type="http://schemas.openxmlformats.org/officeDocument/2006/relationships/hyperlink" Target="https://m.media-amazon.com/images/I/511g3fIVsqL._SY300_SX300_QL70_ML2_.jpg" TargetMode="External"/><Relationship Id="rId669" Type="http://schemas.openxmlformats.org/officeDocument/2006/relationships/hyperlink" Target="https://m.media-amazon.com/images/I/31XO-wfGGGL._SX300_SY300_QL70_FMwebp_.jpg" TargetMode="External"/><Relationship Id="rId660" Type="http://schemas.openxmlformats.org/officeDocument/2006/relationships/hyperlink" Target="https://m.media-amazon.com/images/I/41LcHKyVl9L._SX300_SY300_QL70_FMwebp_.jpg" TargetMode="External"/><Relationship Id="rId1250" Type="http://schemas.openxmlformats.org/officeDocument/2006/relationships/hyperlink" Target="https://m.media-amazon.com/images/W/WEBP_402378-T2/images/I/41--5lc96UL._SX300_SY300_QL70_FMwebp_.jpg" TargetMode="External"/><Relationship Id="rId1251" Type="http://schemas.openxmlformats.org/officeDocument/2006/relationships/hyperlink" Target="https://m.media-amazon.com/images/W/WEBP_402378-T2/images/I/41QEK7WRJbL._SX300_SY300_QL70_FMwebp_.jpg" TargetMode="External"/><Relationship Id="rId1010" Type="http://schemas.openxmlformats.org/officeDocument/2006/relationships/hyperlink" Target="https://m.media-amazon.com/images/W/WEBP_402378-T2/images/I/318lV0rfJoL._SY300_SX300_QL70_FMwebp_.jpg" TargetMode="External"/><Relationship Id="rId1252" Type="http://schemas.openxmlformats.org/officeDocument/2006/relationships/hyperlink" Target="https://m.media-amazon.com/images/I/519Sexv76CL._SY300_SX300_QL70_FMwebp_.jpg" TargetMode="External"/><Relationship Id="rId422" Type="http://schemas.openxmlformats.org/officeDocument/2006/relationships/hyperlink" Target="https://m.media-amazon.com/images/I/41R9fDKo6iL._SX300_SY300_QL70_ML2_.jpg" TargetMode="External"/><Relationship Id="rId664" Type="http://schemas.openxmlformats.org/officeDocument/2006/relationships/hyperlink" Target="https://m.media-amazon.com/images/I/41VDUqScJFL._SX300_SY300_QL70_FMwebp_.jpg" TargetMode="External"/><Relationship Id="rId1011" Type="http://schemas.openxmlformats.org/officeDocument/2006/relationships/hyperlink" Target="https://m.media-amazon.com/images/I/41J6oGU8w5L._SX300_SY300_QL70_FMwebp_.jpg" TargetMode="External"/><Relationship Id="rId1253" Type="http://schemas.openxmlformats.org/officeDocument/2006/relationships/hyperlink" Target="https://m.media-amazon.com/images/I/41iBNm2ivFL._SX300_SY300_QL70_FMwebp_.jpg" TargetMode="External"/><Relationship Id="rId421" Type="http://schemas.openxmlformats.org/officeDocument/2006/relationships/hyperlink" Target="https://m.media-amazon.com/images/I/41pfjyUPZLL._SX300_SY300_QL70_ML2_.jpg" TargetMode="External"/><Relationship Id="rId663" Type="http://schemas.openxmlformats.org/officeDocument/2006/relationships/hyperlink" Target="https://m.media-amazon.com/images/W/WEBP_402378-T2/images/I/31PfpEPlg-L._SX300_SY300_QL70_FMwebp_.jpg" TargetMode="External"/><Relationship Id="rId1012" Type="http://schemas.openxmlformats.org/officeDocument/2006/relationships/hyperlink" Target="https://m.media-amazon.com/images/I/31cOcZC4n7L._SX300_SY300_QL70_FMwebp_.jpg" TargetMode="External"/><Relationship Id="rId1254" Type="http://schemas.openxmlformats.org/officeDocument/2006/relationships/hyperlink" Target="https://m.media-amazon.com/images/I/413w7idJYKL._SX300_SY300_QL70_FMwebp_.jpg" TargetMode="External"/><Relationship Id="rId420" Type="http://schemas.openxmlformats.org/officeDocument/2006/relationships/hyperlink" Target="https://m.media-amazon.com/images/I/41Vj+8XWIQL._SY300_SX300_.jpg" TargetMode="External"/><Relationship Id="rId662" Type="http://schemas.openxmlformats.org/officeDocument/2006/relationships/hyperlink" Target="https://m.media-amazon.com/images/I/21psCtgM5BL._SX300_SY300_QL70_FMwebp_.jpg" TargetMode="External"/><Relationship Id="rId1013" Type="http://schemas.openxmlformats.org/officeDocument/2006/relationships/hyperlink" Target="https://m.media-amazon.com/images/I/51BGUyveMfL._SX300_SY300_QL70_FMwebp_.jpg" TargetMode="External"/><Relationship Id="rId1255" Type="http://schemas.openxmlformats.org/officeDocument/2006/relationships/hyperlink" Target="https://m.media-amazon.com/images/W/WEBP_402378-T1/images/I/41MJ2hsq4LL._SX300_SY300_QL70_FMwebp_.jpg" TargetMode="External"/><Relationship Id="rId661" Type="http://schemas.openxmlformats.org/officeDocument/2006/relationships/hyperlink" Target="https://m.media-amazon.com/images/I/412CjF5u2iL._SX300_SY300_QL70_FMwebp_.jpg" TargetMode="External"/><Relationship Id="rId1014" Type="http://schemas.openxmlformats.org/officeDocument/2006/relationships/hyperlink" Target="https://m.media-amazon.com/images/W/WEBP_402378-T2/images/I/41sK3J5ZQIL._SX300_SY300_QL70_FMwebp_.jpg" TargetMode="External"/><Relationship Id="rId1256" Type="http://schemas.openxmlformats.org/officeDocument/2006/relationships/hyperlink" Target="https://m.media-amazon.com/images/I/31nbqS8FhKL._SX300_SY300_QL70_FMwebp_.jpg" TargetMode="External"/><Relationship Id="rId1004" Type="http://schemas.openxmlformats.org/officeDocument/2006/relationships/hyperlink" Target="https://m.media-amazon.com/images/W/WEBP_402378-T1/images/I/414js-21FqL._SX300_SY300_QL70_FMwebp_.jpg" TargetMode="External"/><Relationship Id="rId1246" Type="http://schemas.openxmlformats.org/officeDocument/2006/relationships/hyperlink" Target="https://m.media-amazon.com/images/I/31Anei7Di0L._SX300_SY300_QL70_FMwebp_.jpg" TargetMode="External"/><Relationship Id="rId1005" Type="http://schemas.openxmlformats.org/officeDocument/2006/relationships/hyperlink" Target="https://m.media-amazon.com/images/W/WEBP_402378-T1/images/I/31-wcLwDaBL._SX300_SY300_QL70_FMwebp_.jpg" TargetMode="External"/><Relationship Id="rId1247" Type="http://schemas.openxmlformats.org/officeDocument/2006/relationships/hyperlink" Target="https://m.media-amazon.com/images/I/31vN7I58EHL._SX300_SY300_QL70_FMwebp_.jpg" TargetMode="External"/><Relationship Id="rId1006" Type="http://schemas.openxmlformats.org/officeDocument/2006/relationships/hyperlink" Target="https://m.media-amazon.com/images/W/WEBP_402378-T2/images/I/21C8ziy-IJL._SX300_SY300_QL70_FMwebp_.jpg" TargetMode="External"/><Relationship Id="rId1248" Type="http://schemas.openxmlformats.org/officeDocument/2006/relationships/hyperlink" Target="https://m.media-amazon.com/images/I/41csvHnDvES._SX300_SY300_QL70_FMwebp_.jpg" TargetMode="External"/><Relationship Id="rId1007" Type="http://schemas.openxmlformats.org/officeDocument/2006/relationships/hyperlink" Target="https://m.media-amazon.com/images/W/WEBP_402378-T1/images/I/51ca6eZ+j3L._SY300_SX300_.jpg" TargetMode="External"/><Relationship Id="rId1249" Type="http://schemas.openxmlformats.org/officeDocument/2006/relationships/hyperlink" Target="https://m.media-amazon.com/images/W/WEBP_402378-T1/images/I/31qaROshXhL._SX300_SY300_QL70_FMwebp_.jpg" TargetMode="External"/><Relationship Id="rId1008" Type="http://schemas.openxmlformats.org/officeDocument/2006/relationships/hyperlink" Target="https://m.media-amazon.com/images/I/41fDM4QUfvL._SX300_SY300_QL70_FMwebp_.jpg" TargetMode="External"/><Relationship Id="rId1009" Type="http://schemas.openxmlformats.org/officeDocument/2006/relationships/hyperlink" Target="https://m.media-amazon.com/images/W/WEBP_402378-T1/images/I/31AZelC8URL._SX300_SY300_QL70_FMwebp_.jpg" TargetMode="External"/><Relationship Id="rId415" Type="http://schemas.openxmlformats.org/officeDocument/2006/relationships/hyperlink" Target="https://m.media-amazon.com/images/I/41w5fk8Vl6L._SX300_SY300_QL70_ML2_.jpg" TargetMode="External"/><Relationship Id="rId657" Type="http://schemas.openxmlformats.org/officeDocument/2006/relationships/hyperlink" Target="https://m.media-amazon.com/images/I/31nI3BzOXwL._SX300_SY300_QL70_FMwebp_.jpg" TargetMode="External"/><Relationship Id="rId899" Type="http://schemas.openxmlformats.org/officeDocument/2006/relationships/hyperlink" Target="https://m.media-amazon.com/images/W/WEBP_402378-T2/images/I/31kw1RgU5yL._SX300_SY300_QL70_FMwebp_.jpg" TargetMode="External"/><Relationship Id="rId414" Type="http://schemas.openxmlformats.org/officeDocument/2006/relationships/hyperlink" Target="https://m.media-amazon.com/images/I/21e5ZrIutKS._SX300_SY300_QL70_ML2_.jpg" TargetMode="External"/><Relationship Id="rId656" Type="http://schemas.openxmlformats.org/officeDocument/2006/relationships/hyperlink" Target="https://m.media-amazon.com/images/W/WEBP_402378-T1/images/I/31bX1-ypLSL._SX300_SY300_QL70_FMwebp_.jpg" TargetMode="External"/><Relationship Id="rId898" Type="http://schemas.openxmlformats.org/officeDocument/2006/relationships/hyperlink" Target="https://m.media-amazon.com/images/W/WEBP_402378-T2/images/I/41zEY42v1tL._SX300_SY300_QL70_FMwebp_.jpg" TargetMode="External"/><Relationship Id="rId413" Type="http://schemas.openxmlformats.org/officeDocument/2006/relationships/hyperlink" Target="https://m.media-amazon.com/images/I/41-oxsVh7nL._SX300_SY300_QL70_ML2_.jpg" TargetMode="External"/><Relationship Id="rId655" Type="http://schemas.openxmlformats.org/officeDocument/2006/relationships/hyperlink" Target="https://m.media-amazon.com/images/I/31KpmfiYmeL._SX300_SY300_QL70_FMwebp_.jpg" TargetMode="External"/><Relationship Id="rId897" Type="http://schemas.openxmlformats.org/officeDocument/2006/relationships/hyperlink" Target="https://m.media-amazon.com/images/I/414zbaw52sL._SX300_SY300_QL70_FMwebp_.jpg" TargetMode="External"/><Relationship Id="rId412" Type="http://schemas.openxmlformats.org/officeDocument/2006/relationships/hyperlink" Target="https://m.media-amazon.com/images/I/419KF2t1nML._SX300_SY300_QL70_ML2_.jpg" TargetMode="External"/><Relationship Id="rId654" Type="http://schemas.openxmlformats.org/officeDocument/2006/relationships/hyperlink" Target="https://m.media-amazon.com/images/W/WEBP_402378-T1/images/I/41FMV7m5bZL._SX300_SY300_QL70_FMwebp_.jpg" TargetMode="External"/><Relationship Id="rId896" Type="http://schemas.openxmlformats.org/officeDocument/2006/relationships/hyperlink" Target="https://m.media-amazon.com/images/W/WEBP_402378-T2/images/I/51zIKeCjN-L._SX300_SY300_QL70_FMwebp_.jpg" TargetMode="External"/><Relationship Id="rId419" Type="http://schemas.openxmlformats.org/officeDocument/2006/relationships/hyperlink" Target="https://m.media-amazon.com/images/I/41jlwEZpa5L._SX300_SY300_QL70_ML2_.jpg" TargetMode="External"/><Relationship Id="rId418" Type="http://schemas.openxmlformats.org/officeDocument/2006/relationships/hyperlink" Target="https://m.media-amazon.com/images/I/31RktQKvhoL._SX300_SY300_QL70_ML2_.jpg" TargetMode="External"/><Relationship Id="rId417" Type="http://schemas.openxmlformats.org/officeDocument/2006/relationships/hyperlink" Target="https://m.media-amazon.com/images/I/31P2d7102lL._SY300_SX300_QL70_ML2_.jpg" TargetMode="External"/><Relationship Id="rId659" Type="http://schemas.openxmlformats.org/officeDocument/2006/relationships/hyperlink" Target="https://m.media-amazon.com/images/W/WEBP_402378-T2/images/I/41jlwEZpa5L._SX300_SY300_QL70_FMwebp_.jpg" TargetMode="External"/><Relationship Id="rId416" Type="http://schemas.openxmlformats.org/officeDocument/2006/relationships/hyperlink" Target="https://m.media-amazon.com/images/I/41qhEf58vbL._SX300_SY300_QL70_ML2_.jpg" TargetMode="External"/><Relationship Id="rId658" Type="http://schemas.openxmlformats.org/officeDocument/2006/relationships/hyperlink" Target="https://m.media-amazon.com/images/W/WEBP_402378-T1/images/I/31RktQKvhoL._SX300_SY300_QL70_FMwebp_.jpg" TargetMode="External"/><Relationship Id="rId891" Type="http://schemas.openxmlformats.org/officeDocument/2006/relationships/hyperlink" Target="https://m.media-amazon.com/images/I/51seYZqgz5L._SX300_SY300_QL70_FMwebp_.jpg" TargetMode="External"/><Relationship Id="rId890" Type="http://schemas.openxmlformats.org/officeDocument/2006/relationships/hyperlink" Target="https://m.media-amazon.com/images/I/41bX3o-ZHqL._SX300_SY300_QL70_FMwebp_.jpg" TargetMode="External"/><Relationship Id="rId1240" Type="http://schemas.openxmlformats.org/officeDocument/2006/relationships/hyperlink" Target="https://m.media-amazon.com/images/I/31GXpZTtghL._SX300_SY300_QL70_FMwebp_.jpg" TargetMode="External"/><Relationship Id="rId1241" Type="http://schemas.openxmlformats.org/officeDocument/2006/relationships/hyperlink" Target="https://m.media-amazon.com/images/I/51i84+E-LgL._SY300_SX300_.jpg" TargetMode="External"/><Relationship Id="rId411" Type="http://schemas.openxmlformats.org/officeDocument/2006/relationships/hyperlink" Target="https://m.media-amazon.com/images/I/41pQ4gJMwEL._SX300_SY300_QL70_ML2_.jpg" TargetMode="External"/><Relationship Id="rId653" Type="http://schemas.openxmlformats.org/officeDocument/2006/relationships/hyperlink" Target="https://m.media-amazon.com/images/W/WEBP_402378-T1/images/I/4136eo-yWlL._SX300_SY300_QL70_FMwebp_.jpg" TargetMode="External"/><Relationship Id="rId895" Type="http://schemas.openxmlformats.org/officeDocument/2006/relationships/hyperlink" Target="https://m.media-amazon.com/images/I/216Q4FqmZVL._SX300_SY300_QL70_FMwebp_.jpg" TargetMode="External"/><Relationship Id="rId1000" Type="http://schemas.openxmlformats.org/officeDocument/2006/relationships/hyperlink" Target="https://m.media-amazon.com/images/I/51J45DcgktL._SX300_SY300_QL70_FMwebp_.jpg" TargetMode="External"/><Relationship Id="rId1242" Type="http://schemas.openxmlformats.org/officeDocument/2006/relationships/hyperlink" Target="https://m.media-amazon.com/images/W/WEBP_402378-T1/images/I/417iICYt3IL._SX300_SY300_QL70_FMwebp_.jpg" TargetMode="External"/><Relationship Id="rId410" Type="http://schemas.openxmlformats.org/officeDocument/2006/relationships/hyperlink" Target="https://m.media-amazon.com/images/I/41op1vdp-UL._SX300_SY300_QL70_ML2_.jpg" TargetMode="External"/><Relationship Id="rId652" Type="http://schemas.openxmlformats.org/officeDocument/2006/relationships/hyperlink" Target="https://m.media-amazon.com/images/W/WEBP_402378-T1/images/I/41I-azRJBLL._SX300_SY300_QL70_FMwebp_.jpg" TargetMode="External"/><Relationship Id="rId894" Type="http://schemas.openxmlformats.org/officeDocument/2006/relationships/hyperlink" Target="https://m.media-amazon.com/images/W/WEBP_402378-T2/images/I/41rm-mc937L._SX300_SY300_QL70_FMwebp_.jpg" TargetMode="External"/><Relationship Id="rId1001" Type="http://schemas.openxmlformats.org/officeDocument/2006/relationships/hyperlink" Target="https://m.media-amazon.com/images/I/41KmCJuybRL._SX300_SY300_QL70_FMwebp_.jpg" TargetMode="External"/><Relationship Id="rId1243" Type="http://schemas.openxmlformats.org/officeDocument/2006/relationships/hyperlink" Target="https://m.media-amazon.com/images/I/41CsMm+ZCgL._SY300_SX300_.jpg" TargetMode="External"/><Relationship Id="rId651" Type="http://schemas.openxmlformats.org/officeDocument/2006/relationships/hyperlink" Target="https://m.media-amazon.com/images/W/WEBP_402378-T2/images/I/51MA5PwP6xL._SX300_SY300_QL70_FMwebp_.jpg" TargetMode="External"/><Relationship Id="rId893" Type="http://schemas.openxmlformats.org/officeDocument/2006/relationships/hyperlink" Target="https://m.media-amazon.com/images/W/WEBP_402378-T2/images/I/31kFRC4fP6L._SY300_SX300_QL70_FMwebp_.jpg" TargetMode="External"/><Relationship Id="rId1002" Type="http://schemas.openxmlformats.org/officeDocument/2006/relationships/hyperlink" Target="https://m.media-amazon.com/images/I/31dnZ234ZOL._SY300_SX300_QL70_FMwebp_.jpg" TargetMode="External"/><Relationship Id="rId1244" Type="http://schemas.openxmlformats.org/officeDocument/2006/relationships/hyperlink" Target="https://m.media-amazon.com/images/I/417TQs3uroL._SX300_SY300_QL70_FMwebp_.jpg" TargetMode="External"/><Relationship Id="rId650" Type="http://schemas.openxmlformats.org/officeDocument/2006/relationships/hyperlink" Target="https://m.media-amazon.com/images/I/41vEB+mY55L._SY300_SX300_.jpg" TargetMode="External"/><Relationship Id="rId892" Type="http://schemas.openxmlformats.org/officeDocument/2006/relationships/hyperlink" Target="https://m.media-amazon.com/images/W/WEBP_402378-T2/images/I/31i5nmWFmhL._SX300_SY300_QL70_FMwebp_.jpg" TargetMode="External"/><Relationship Id="rId1003" Type="http://schemas.openxmlformats.org/officeDocument/2006/relationships/hyperlink" Target="https://m.media-amazon.com/images/W/WEBP_402378-T2/images/I/41KFL-3kiUL._SX300_SY300_QL70_FMwebp_.jpg" TargetMode="External"/><Relationship Id="rId1245" Type="http://schemas.openxmlformats.org/officeDocument/2006/relationships/hyperlink" Target="https://m.media-amazon.com/images/W/WEBP_402378-T1/images/I/413KQ6Ch61L._SX300_SY300_QL70_FMwebp_.jpg" TargetMode="External"/><Relationship Id="rId1037" Type="http://schemas.openxmlformats.org/officeDocument/2006/relationships/hyperlink" Target="https://m.media-amazon.com/images/I/31MmLP6awML._SX300_SY300_QL70_FMwebp_.jpg" TargetMode="External"/><Relationship Id="rId1279" Type="http://schemas.openxmlformats.org/officeDocument/2006/relationships/hyperlink" Target="https://m.media-amazon.com/images/W/WEBP_402378-T2/images/I/31RWtNDo6EL._SX300_SY300_QL70_FMwebp_.jpg" TargetMode="External"/><Relationship Id="rId1038" Type="http://schemas.openxmlformats.org/officeDocument/2006/relationships/hyperlink" Target="https://m.media-amazon.com/images/W/WEBP_402378-T2/images/I/31ke2NdHJ-L._SY300_SX300_QL70_FMwebp_.jpg" TargetMode="External"/><Relationship Id="rId1039" Type="http://schemas.openxmlformats.org/officeDocument/2006/relationships/hyperlink" Target="https://m.media-amazon.com/images/I/41i1uzCEyWL._SX300_SY300_QL70_FMwebp_.jpg" TargetMode="External"/><Relationship Id="rId206" Type="http://schemas.openxmlformats.org/officeDocument/2006/relationships/hyperlink" Target="https://m.media-amazon.com/images/I/31Lqjmed98L._SX300_SY300_QL70_FMwebp_.jpg" TargetMode="External"/><Relationship Id="rId448" Type="http://schemas.openxmlformats.org/officeDocument/2006/relationships/hyperlink" Target="https://m.media-amazon.com/images/I/41Usew0lrWL._SX300_SY300_QL70_ML2_.jpg" TargetMode="External"/><Relationship Id="rId205" Type="http://schemas.openxmlformats.org/officeDocument/2006/relationships/hyperlink" Target="https://m.media-amazon.com/images/W/WEBP_402378-T2/images/I/41k0WxE3sKS._SY445_SX342_QL70_FMwebp_.jpg" TargetMode="External"/><Relationship Id="rId447" Type="http://schemas.openxmlformats.org/officeDocument/2006/relationships/hyperlink" Target="https://m.media-amazon.com/images/I/41iHN9Y07cS._SX300_SY300_QL70_ML2_.jpg" TargetMode="External"/><Relationship Id="rId689" Type="http://schemas.openxmlformats.org/officeDocument/2006/relationships/hyperlink" Target="https://m.media-amazon.com/images/I/51pZRhR1wWL._SX300_SY300_QL70_FMwebp_.jpg" TargetMode="External"/><Relationship Id="rId204" Type="http://schemas.openxmlformats.org/officeDocument/2006/relationships/hyperlink" Target="https://m.media-amazon.com/images/W/WEBP_402378-T1/images/I/413aXXtr4CL._SX300_SY300_QL70_FMwebp_.jpg" TargetMode="External"/><Relationship Id="rId446" Type="http://schemas.openxmlformats.org/officeDocument/2006/relationships/hyperlink" Target="https://m.media-amazon.com/images/I/41fNkwj-vnL._SX300_SY300_QL70_ML2_.jpg" TargetMode="External"/><Relationship Id="rId688" Type="http://schemas.openxmlformats.org/officeDocument/2006/relationships/hyperlink" Target="https://m.media-amazon.com/images/I/21ci6bwxtdL._SX300_SY300_QL70_FMwebp_.jpg" TargetMode="External"/><Relationship Id="rId203" Type="http://schemas.openxmlformats.org/officeDocument/2006/relationships/hyperlink" Target="https://m.media-amazon.com/images/W/WEBP_402378-T2/images/I/41qMoS4lfRL._SX300_SY300_QL70_FMwebp_.jpg" TargetMode="External"/><Relationship Id="rId445" Type="http://schemas.openxmlformats.org/officeDocument/2006/relationships/hyperlink" Target="https://m.media-amazon.com/images/I/31oA0-q5UzL._SX300_SY300_QL70_ML2_.jpg" TargetMode="External"/><Relationship Id="rId687" Type="http://schemas.openxmlformats.org/officeDocument/2006/relationships/hyperlink" Target="https://m.media-amazon.com/images/I/41z7FRqEerL._SX300_SY300_QL70_FMwebp_.jpg" TargetMode="External"/><Relationship Id="rId209" Type="http://schemas.openxmlformats.org/officeDocument/2006/relationships/hyperlink" Target="https://m.media-amazon.com/images/W/WEBP_402378-T2/images/I/31xucq3GGyL._SX300_SY300_QL70_FMwebp_.jpg" TargetMode="External"/><Relationship Id="rId208" Type="http://schemas.openxmlformats.org/officeDocument/2006/relationships/hyperlink" Target="https://m.media-amazon.com/images/I/31wPIFxnDaL._SY445_SX342_QL70_FMwebp_.jpg" TargetMode="External"/><Relationship Id="rId207" Type="http://schemas.openxmlformats.org/officeDocument/2006/relationships/hyperlink" Target="https://m.media-amazon.com/images/I/51lDlqmDxQL._SY300_SX300_QL70_FMwebp_.jpg" TargetMode="External"/><Relationship Id="rId449" Type="http://schemas.openxmlformats.org/officeDocument/2006/relationships/hyperlink" Target="https://m.media-amazon.com/images/I/41XH-IpxCQL._SX300_SY300_QL70_ML2_.jpg" TargetMode="External"/><Relationship Id="rId1270" Type="http://schemas.openxmlformats.org/officeDocument/2006/relationships/hyperlink" Target="https://m.media-amazon.com/images/I/41nfxayjM9L._SX300_SY300_QL70_FMwebp_.jpg" TargetMode="External"/><Relationship Id="rId440" Type="http://schemas.openxmlformats.org/officeDocument/2006/relationships/hyperlink" Target="https://m.media-amazon.com/images/I/4147W6koDNL._SX300_SY300_QL70_ML2_.jpg" TargetMode="External"/><Relationship Id="rId682" Type="http://schemas.openxmlformats.org/officeDocument/2006/relationships/hyperlink" Target="https://m.media-amazon.com/images/I/41y181oD7ZL._SX300_SY300_QL70_FMwebp_.jpg" TargetMode="External"/><Relationship Id="rId1271" Type="http://schemas.openxmlformats.org/officeDocument/2006/relationships/hyperlink" Target="https://m.media-amazon.com/images/I/21OPu5-M3qL._SX300_SY300_QL70_FMwebp_.jpg" TargetMode="External"/><Relationship Id="rId681" Type="http://schemas.openxmlformats.org/officeDocument/2006/relationships/hyperlink" Target="https://m.media-amazon.com/images/I/41AP5QV2M0L._SX300_SY300_QL70_FMwebp_.jpg" TargetMode="External"/><Relationship Id="rId1030" Type="http://schemas.openxmlformats.org/officeDocument/2006/relationships/hyperlink" Target="https://m.media-amazon.com/images/W/WEBP_402378-T1/images/I/41JCf4kTKgL._SX300_SY300_QL70_FMwebp_.jpg" TargetMode="External"/><Relationship Id="rId1272" Type="http://schemas.openxmlformats.org/officeDocument/2006/relationships/hyperlink" Target="https://m.media-amazon.com/images/W/WEBP_402378-T2/images/I/4145oJH-y0L._SX300_SY300_QL70_FMwebp_.jpg" TargetMode="External"/><Relationship Id="rId680" Type="http://schemas.openxmlformats.org/officeDocument/2006/relationships/hyperlink" Target="https://m.media-amazon.com/images/W/WEBP_402378-T1/images/I/41PcrlfQ2iL._SX300_SY300_QL70_FMwebp_.jpg" TargetMode="External"/><Relationship Id="rId1031" Type="http://schemas.openxmlformats.org/officeDocument/2006/relationships/hyperlink" Target="https://m.media-amazon.com/images/I/519JHuNt1RL._SX300_SY300_QL70_FMwebp_.jpg" TargetMode="External"/><Relationship Id="rId1273" Type="http://schemas.openxmlformats.org/officeDocument/2006/relationships/hyperlink" Target="https://m.media-amazon.com/images/W/WEBP_402378-T2/images/I/31U-ACCgQ1L._SX300_SY300_QL70_FMwebp_.jpg" TargetMode="External"/><Relationship Id="rId1032" Type="http://schemas.openxmlformats.org/officeDocument/2006/relationships/hyperlink" Target="https://m.media-amazon.com/images/I/41XXjVSLyGL._SX300_SY300_QL70_FMwebp_.jpg" TargetMode="External"/><Relationship Id="rId1274" Type="http://schemas.openxmlformats.org/officeDocument/2006/relationships/hyperlink" Target="https://m.media-amazon.com/images/I/31t6ATbG1jL._SX300_SY300_QL70_FMwebp_.jpg" TargetMode="External"/><Relationship Id="rId202" Type="http://schemas.openxmlformats.org/officeDocument/2006/relationships/hyperlink" Target="https://m.media-amazon.com/images/W/WEBP_402378-T2/images/I/41oK+rXtssS._SY300_SX300_.jpg" TargetMode="External"/><Relationship Id="rId444" Type="http://schemas.openxmlformats.org/officeDocument/2006/relationships/hyperlink" Target="https://m.media-amazon.com/images/I/41SDfuK7L2L._SX300_SY300_QL70_ML2_.jpg" TargetMode="External"/><Relationship Id="rId686" Type="http://schemas.openxmlformats.org/officeDocument/2006/relationships/hyperlink" Target="https://m.media-amazon.com/images/I/419KXo-7kDL._SX300_SY300_QL70_FMwebp_.jpg" TargetMode="External"/><Relationship Id="rId1033" Type="http://schemas.openxmlformats.org/officeDocument/2006/relationships/hyperlink" Target="https://m.media-amazon.com/images/W/WEBP_402378-T1/images/I/411pUp4t0OL._SX300_SY300_QL70_FMwebp_.jpg" TargetMode="External"/><Relationship Id="rId1275" Type="http://schemas.openxmlformats.org/officeDocument/2006/relationships/hyperlink" Target="https://m.media-amazon.com/images/W/WEBP_402378-T2/images/I/21Kb8kWuKTL._SX300_SY300_QL70_FMwebp_.jpg" TargetMode="External"/><Relationship Id="rId201" Type="http://schemas.openxmlformats.org/officeDocument/2006/relationships/hyperlink" Target="https://m.media-amazon.com/images/I/41LwSJdthGL._SX300_SY300_QL70_FMwebp_.jpg" TargetMode="External"/><Relationship Id="rId443" Type="http://schemas.openxmlformats.org/officeDocument/2006/relationships/hyperlink" Target="https://m.media-amazon.com/images/I/41Lif4YWC2L._SX300_SY300_QL70_ML2_.jpg" TargetMode="External"/><Relationship Id="rId685" Type="http://schemas.openxmlformats.org/officeDocument/2006/relationships/hyperlink" Target="https://m.media-amazon.com/images/I/41nPYaWA+ML._SY300_SX300_.jpg" TargetMode="External"/><Relationship Id="rId1034" Type="http://schemas.openxmlformats.org/officeDocument/2006/relationships/hyperlink" Target="https://m.media-amazon.com/images/W/WEBP_402378-T1/images/I/41J3yWKhnxL._SX300_SY300_QL70_FMwebp_.jpg" TargetMode="External"/><Relationship Id="rId1276" Type="http://schemas.openxmlformats.org/officeDocument/2006/relationships/hyperlink" Target="https://m.media-amazon.com/images/W/WEBP_402378-T1/images/I/51IE+nI0KGL._SY300_SX300_.jpg" TargetMode="External"/><Relationship Id="rId200" Type="http://schemas.openxmlformats.org/officeDocument/2006/relationships/hyperlink" Target="https://m.media-amazon.com/images/W/WEBP_402378-T2/images/I/313wnMF+cVL._SX342_SY445_.jpg" TargetMode="External"/><Relationship Id="rId442" Type="http://schemas.openxmlformats.org/officeDocument/2006/relationships/hyperlink" Target="https://m.media-amazon.com/images/I/41o7qy-j6KL._SX300_SY300_QL70_ML2_.jpg" TargetMode="External"/><Relationship Id="rId684" Type="http://schemas.openxmlformats.org/officeDocument/2006/relationships/hyperlink" Target="https://m.media-amazon.com/images/I/31ROHZJMEUL._SX300_SY300_QL70_FMwebp_.jpg" TargetMode="External"/><Relationship Id="rId1035" Type="http://schemas.openxmlformats.org/officeDocument/2006/relationships/hyperlink" Target="https://m.media-amazon.com/images/W/WEBP_402378-T1/images/I/51MWh9t3Z2L._SX300_SY300_QL70_FMwebp_.jpg" TargetMode="External"/><Relationship Id="rId1277" Type="http://schemas.openxmlformats.org/officeDocument/2006/relationships/hyperlink" Target="https://m.media-amazon.com/images/I/41XrOa1+-PL._SY300_SX300_.jpg" TargetMode="External"/><Relationship Id="rId441" Type="http://schemas.openxmlformats.org/officeDocument/2006/relationships/hyperlink" Target="https://m.media-amazon.com/images/I/31YFSh7g63L._SX300_SY300_QL70_ML2_.jpg" TargetMode="External"/><Relationship Id="rId683" Type="http://schemas.openxmlformats.org/officeDocument/2006/relationships/hyperlink" Target="https://m.media-amazon.com/images/I/319cuUVHCwL._SY300_SX300_QL70_FMwebp_.jpg" TargetMode="External"/><Relationship Id="rId1036" Type="http://schemas.openxmlformats.org/officeDocument/2006/relationships/hyperlink" Target="https://m.media-amazon.com/images/W/WEBP_402378-T1/images/I/41DwZuxPCaL._SY300_SX300_QL70_FMwebp_.jpg" TargetMode="External"/><Relationship Id="rId1278" Type="http://schemas.openxmlformats.org/officeDocument/2006/relationships/hyperlink" Target="https://m.media-amazon.com/images/I/41VM+D8AGWL._SY300_SX300_.jpg" TargetMode="External"/><Relationship Id="rId1026" Type="http://schemas.openxmlformats.org/officeDocument/2006/relationships/hyperlink" Target="https://m.media-amazon.com/images/I/415CYtympZL._SX300_SY300_QL70_FMwebp_.jpg" TargetMode="External"/><Relationship Id="rId1268" Type="http://schemas.openxmlformats.org/officeDocument/2006/relationships/hyperlink" Target="https://m.media-amazon.com/images/W/WEBP_402378-T1/images/I/61Vt5Egqf4L._SY445_SX342_QL70_FMwebp_.jpg" TargetMode="External"/><Relationship Id="rId1027" Type="http://schemas.openxmlformats.org/officeDocument/2006/relationships/hyperlink" Target="https://m.media-amazon.com/images/I/414Cwv2guxL._SX300_SY300_QL70_FMwebp_.jpg" TargetMode="External"/><Relationship Id="rId1269" Type="http://schemas.openxmlformats.org/officeDocument/2006/relationships/hyperlink" Target="https://m.media-amazon.com/images/I/51G5KRUKOgL._SX300_SY300_QL70_FMwebp_.jpg" TargetMode="External"/><Relationship Id="rId1028" Type="http://schemas.openxmlformats.org/officeDocument/2006/relationships/hyperlink" Target="https://m.media-amazon.com/images/W/WEBP_402378-T1/images/I/31p014p14mL._SX342_SY445_QL70_FMwebp_.jpg" TargetMode="External"/><Relationship Id="rId1029" Type="http://schemas.openxmlformats.org/officeDocument/2006/relationships/hyperlink" Target="https://m.media-amazon.com/images/I/41cVgYgAKpL._SX300_SY300_QL70_FMwebp_.jpg" TargetMode="External"/><Relationship Id="rId437" Type="http://schemas.openxmlformats.org/officeDocument/2006/relationships/hyperlink" Target="https://m.media-amazon.com/images/I/41iEZV6nKbL._SX300_SY300_QL70_ML2_.jpg" TargetMode="External"/><Relationship Id="rId679" Type="http://schemas.openxmlformats.org/officeDocument/2006/relationships/hyperlink" Target="https://m.media-amazon.com/images/W/WEBP_402378-T2/images/I/51SzLWO7e+L._SY300_SX300_.jpg" TargetMode="External"/><Relationship Id="rId436" Type="http://schemas.openxmlformats.org/officeDocument/2006/relationships/hyperlink" Target="https://m.media-amazon.com/images/I/41Yylo75u7L._SX300_SY300_QL70_ML2_.jpg" TargetMode="External"/><Relationship Id="rId678" Type="http://schemas.openxmlformats.org/officeDocument/2006/relationships/hyperlink" Target="https://m.media-amazon.com/images/I/41pfjyUPZLL._SX300_SY300_QL70_FMwebp_.jpg" TargetMode="External"/><Relationship Id="rId435" Type="http://schemas.openxmlformats.org/officeDocument/2006/relationships/hyperlink" Target="https://m.media-amazon.com/images/I/41iVkyHeTUL._SX300_SY300_QL70_ML2_.jpg" TargetMode="External"/><Relationship Id="rId677" Type="http://schemas.openxmlformats.org/officeDocument/2006/relationships/hyperlink" Target="https://m.media-amazon.com/images/W/WEBP_402378-T1/images/I/410l0pKc2OL._SX300_SY300_QL70_FMwebp_.jpg" TargetMode="External"/><Relationship Id="rId434" Type="http://schemas.openxmlformats.org/officeDocument/2006/relationships/hyperlink" Target="https://m.media-amazon.com/images/I/41z7FRqEerL._SX300_SY300_QL70_ML2_.jpg" TargetMode="External"/><Relationship Id="rId676" Type="http://schemas.openxmlformats.org/officeDocument/2006/relationships/hyperlink" Target="https://m.media-amazon.com/images/I/51EJirBX6bL._SY300_SX300_QL70_FMwebp_.jpg" TargetMode="External"/><Relationship Id="rId439" Type="http://schemas.openxmlformats.org/officeDocument/2006/relationships/hyperlink" Target="https://m.media-amazon.com/images/I/31mbyi7ocJL._SX300_SY300_QL70_ML2_.jpg" TargetMode="External"/><Relationship Id="rId438" Type="http://schemas.openxmlformats.org/officeDocument/2006/relationships/hyperlink" Target="https://m.media-amazon.com/images/I/41OVH5kIQhL._SX300_SY300_QL70_ML2_.jpg" TargetMode="External"/><Relationship Id="rId671" Type="http://schemas.openxmlformats.org/officeDocument/2006/relationships/hyperlink" Target="https://m.media-amazon.com/images/W/WEBP_402378-T2/images/I/41Beq4WLggL._SX300_SY300_QL70_FMwebp_.jpg" TargetMode="External"/><Relationship Id="rId1260" Type="http://schemas.openxmlformats.org/officeDocument/2006/relationships/hyperlink" Target="https://m.media-amazon.com/images/W/WEBP_402378-T1/images/I/31i-KNZeKML._SX300_SY300_QL70_FMwebp_.jpg" TargetMode="External"/><Relationship Id="rId670" Type="http://schemas.openxmlformats.org/officeDocument/2006/relationships/hyperlink" Target="https://m.media-amazon.com/images/I/31vS-1ot-HL._SX300_SY300_QL70_FMwebp_.jpg" TargetMode="External"/><Relationship Id="rId1261" Type="http://schemas.openxmlformats.org/officeDocument/2006/relationships/hyperlink" Target="https://m.media-amazon.com/images/W/WEBP_402378-T1/images/I/31M+TYWPdQL._SY300_SX300_.jpg" TargetMode="External"/><Relationship Id="rId1020" Type="http://schemas.openxmlformats.org/officeDocument/2006/relationships/hyperlink" Target="https://m.media-amazon.com/images/W/WEBP_402378-T2/images/I/31mgo4D-kPL._SX300_SY300_QL70_FMwebp_.jpg" TargetMode="External"/><Relationship Id="rId1262" Type="http://schemas.openxmlformats.org/officeDocument/2006/relationships/hyperlink" Target="https://m.media-amazon.com/images/W/WEBP_402378-T1/images/I/41q7gsgB+gL._SY300_SX300_.jpg" TargetMode="External"/><Relationship Id="rId1021" Type="http://schemas.openxmlformats.org/officeDocument/2006/relationships/hyperlink" Target="https://m.media-amazon.com/images/I/41d-eh65JLS._SX300_SY300_QL70_FMwebp_.jpg" TargetMode="External"/><Relationship Id="rId1263" Type="http://schemas.openxmlformats.org/officeDocument/2006/relationships/hyperlink" Target="https://m.media-amazon.com/images/I/41VG2A4BrbL._SX300_SY300_QL70_FMwebp_.jpg" TargetMode="External"/><Relationship Id="rId433" Type="http://schemas.openxmlformats.org/officeDocument/2006/relationships/hyperlink" Target="https://m.media-amazon.com/images/I/41fkuZKjGCL._SX300_SY300_QL70_ML2_.jpg" TargetMode="External"/><Relationship Id="rId675" Type="http://schemas.openxmlformats.org/officeDocument/2006/relationships/hyperlink" Target="https://m.media-amazon.com/images/W/WEBP_402378-T1/images/I/5145vqMSaTL._SY300_SX300_QL70_FMwebp_.jpg" TargetMode="External"/><Relationship Id="rId1022" Type="http://schemas.openxmlformats.org/officeDocument/2006/relationships/hyperlink" Target="https://m.media-amazon.com/images/W/WEBP_402378-T1/images/I/51UH57Cs5hL._SX300_SY300_QL70_FMwebp_.jpg" TargetMode="External"/><Relationship Id="rId1264" Type="http://schemas.openxmlformats.org/officeDocument/2006/relationships/hyperlink" Target="https://m.media-amazon.com/images/I/51OQUmSwngL._SX300_SY300_QL70_FMwebp_.jpg" TargetMode="External"/><Relationship Id="rId432" Type="http://schemas.openxmlformats.org/officeDocument/2006/relationships/hyperlink" Target="https://m.media-amazon.com/images/I/31MmkM8HTiL._SY300_SX300_QL70_ML2_.jpg" TargetMode="External"/><Relationship Id="rId674" Type="http://schemas.openxmlformats.org/officeDocument/2006/relationships/hyperlink" Target="https://m.media-amazon.com/images/W/WEBP_402378-T2/images/I/31dJ+lXJq3L._SY300_SX300_.jpg" TargetMode="External"/><Relationship Id="rId1023" Type="http://schemas.openxmlformats.org/officeDocument/2006/relationships/hyperlink" Target="https://m.media-amazon.com/images/W/WEBP_402378-T1/images/I/31na34LxwmL._SX300_SY300_QL70_FMwebp_.jpg" TargetMode="External"/><Relationship Id="rId1265" Type="http://schemas.openxmlformats.org/officeDocument/2006/relationships/hyperlink" Target="https://m.media-amazon.com/images/I/31TSknJ2JbL._SY300_SX300_QL70_FMwebp_.jpg" TargetMode="External"/><Relationship Id="rId431" Type="http://schemas.openxmlformats.org/officeDocument/2006/relationships/hyperlink" Target="https://m.media-amazon.com/images/I/41v82KfCUuL._SX300_SY300_QL70_ML2_.jpg" TargetMode="External"/><Relationship Id="rId673" Type="http://schemas.openxmlformats.org/officeDocument/2006/relationships/hyperlink" Target="https://m.media-amazon.com/images/W/WEBP_402378-T1/images/I/511g3fIVsqL._SY300_SX300_QL70_FMwebp_.jpg" TargetMode="External"/><Relationship Id="rId1024" Type="http://schemas.openxmlformats.org/officeDocument/2006/relationships/hyperlink" Target="https://m.media-amazon.com/images/I/514Zxz-eqKL._SX300_SY300_QL70_FMwebp_.jpg" TargetMode="External"/><Relationship Id="rId1266" Type="http://schemas.openxmlformats.org/officeDocument/2006/relationships/hyperlink" Target="https://m.media-amazon.com/images/I/313Cd59228L._SX300_SY300_QL70_FMwebp_.jpg" TargetMode="External"/><Relationship Id="rId430" Type="http://schemas.openxmlformats.org/officeDocument/2006/relationships/hyperlink" Target="https://m.media-amazon.com/images/I/410TBgL2KXL._SX300_SY300_QL70_ML2_.jpg" TargetMode="External"/><Relationship Id="rId672" Type="http://schemas.openxmlformats.org/officeDocument/2006/relationships/hyperlink" Target="https://m.media-amazon.com/images/W/WEBP_402378-T2/images/I/31ZMMGdh5nL._SX300_SY300_QL70_FMwebp_.jpg" TargetMode="External"/><Relationship Id="rId1025" Type="http://schemas.openxmlformats.org/officeDocument/2006/relationships/hyperlink" Target="https://m.media-amazon.com/images/I/41ITfQhGHfL._SX300_SY300_QL70_FMwebp_.jpg" TargetMode="External"/><Relationship Id="rId1267" Type="http://schemas.openxmlformats.org/officeDocument/2006/relationships/hyperlink" Target="https://m.media-amazon.com/images/W/WEBP_402378-T2/images/I/41nYaR0z9fL._SX300_SY300_QL70_FMwebp_.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hidden="1" min="2" max="2" width="60.13"/>
    <col customWidth="1" min="3" max="3" width="74.0"/>
    <col customWidth="1" min="4" max="8" width="24.5"/>
    <col customWidth="1" min="11" max="11" width="15.38"/>
    <col customWidth="1" min="12" max="12" width="13.63"/>
    <col hidden="1" min="15" max="16" width="12.63"/>
    <col customWidth="1" min="21" max="21" width="13.25"/>
    <col customWidth="1" min="22" max="22" width="15.5"/>
  </cols>
  <sheetData>
    <row r="1" ht="22.5" customHeight="1">
      <c r="A1" s="1" t="s">
        <v>0</v>
      </c>
      <c r="B1" s="2" t="s">
        <v>1</v>
      </c>
      <c r="C1" s="2" t="s">
        <v>2</v>
      </c>
      <c r="D1" s="3" t="s">
        <v>3</v>
      </c>
      <c r="E1" s="4" t="s">
        <v>4</v>
      </c>
      <c r="F1" s="4" t="s">
        <v>5</v>
      </c>
      <c r="G1" s="4" t="s">
        <v>6</v>
      </c>
      <c r="H1" s="4" t="s">
        <v>7</v>
      </c>
      <c r="I1" s="1" t="s">
        <v>8</v>
      </c>
      <c r="J1" s="1" t="s">
        <v>9</v>
      </c>
      <c r="K1" s="1" t="s">
        <v>10</v>
      </c>
      <c r="L1" s="1" t="s">
        <v>11</v>
      </c>
      <c r="M1" s="1" t="s">
        <v>12</v>
      </c>
      <c r="N1" s="1" t="s">
        <v>13</v>
      </c>
      <c r="O1" s="5" t="s">
        <v>14</v>
      </c>
      <c r="P1" s="5" t="s">
        <v>15</v>
      </c>
      <c r="U1" s="6"/>
      <c r="V1" s="7"/>
      <c r="W1" s="8"/>
      <c r="X1" s="8"/>
      <c r="Y1" s="8"/>
    </row>
    <row r="2" ht="17.25" customHeight="1">
      <c r="A2" s="9" t="s">
        <v>16</v>
      </c>
      <c r="B2" s="10" t="s">
        <v>17</v>
      </c>
      <c r="C2" s="10" t="s">
        <v>18</v>
      </c>
      <c r="D2" s="10" t="s">
        <v>19</v>
      </c>
      <c r="E2" s="10" t="s">
        <v>20</v>
      </c>
      <c r="F2" s="10" t="s">
        <v>21</v>
      </c>
      <c r="G2" s="10" t="s">
        <v>22</v>
      </c>
      <c r="H2" s="10" t="s">
        <v>23</v>
      </c>
      <c r="I2" s="11">
        <v>399.0</v>
      </c>
      <c r="J2" s="11">
        <v>1099.0</v>
      </c>
      <c r="K2" s="12">
        <f t="shared" ref="K2:K1466" si="1">((I2-J2)/J2)*-1</f>
        <v>0.6369426752</v>
      </c>
      <c r="L2" s="13">
        <f>IFERROR(__xludf.DUMMYFUNCTION("GOOGLEFINANCE(""CURRENCY:INRBRL"") * I2
"),23.49378807762)</f>
        <v>23.49378808</v>
      </c>
      <c r="M2" s="9">
        <v>4.5</v>
      </c>
      <c r="N2" s="9">
        <v>24269.0</v>
      </c>
      <c r="O2" s="9" t="s">
        <v>24</v>
      </c>
      <c r="P2" s="14" t="s">
        <v>25</v>
      </c>
      <c r="U2" s="15"/>
      <c r="V2" s="15"/>
      <c r="W2" s="16"/>
      <c r="X2" s="16"/>
      <c r="Y2" s="16"/>
    </row>
    <row r="3">
      <c r="A3" s="9" t="s">
        <v>26</v>
      </c>
      <c r="B3" s="10" t="s">
        <v>27</v>
      </c>
      <c r="C3" s="10" t="s">
        <v>18</v>
      </c>
      <c r="D3" s="10" t="s">
        <v>19</v>
      </c>
      <c r="E3" s="10" t="s">
        <v>20</v>
      </c>
      <c r="F3" s="10" t="s">
        <v>21</v>
      </c>
      <c r="G3" s="10" t="s">
        <v>22</v>
      </c>
      <c r="H3" s="10" t="s">
        <v>23</v>
      </c>
      <c r="I3" s="11">
        <v>199.0</v>
      </c>
      <c r="J3" s="11">
        <v>349.0</v>
      </c>
      <c r="K3" s="12">
        <f t="shared" si="1"/>
        <v>0.4297994269</v>
      </c>
      <c r="L3" s="13">
        <f>IFERROR(__xludf.DUMMYFUNCTION("GOOGLEFINANCE(""CURRENCY:INRBRL"") * I3
"),11.71745320162)</f>
        <v>11.7174532</v>
      </c>
      <c r="M3" s="9">
        <v>4.0</v>
      </c>
      <c r="N3" s="9">
        <v>43994.0</v>
      </c>
      <c r="O3" s="9" t="s">
        <v>28</v>
      </c>
      <c r="P3" s="14" t="s">
        <v>29</v>
      </c>
      <c r="U3" s="17"/>
      <c r="V3" s="18"/>
      <c r="W3" s="16"/>
      <c r="X3" s="16"/>
      <c r="Y3" s="16"/>
    </row>
    <row r="4">
      <c r="A4" s="9" t="s">
        <v>30</v>
      </c>
      <c r="B4" s="10" t="s">
        <v>31</v>
      </c>
      <c r="C4" s="10" t="s">
        <v>18</v>
      </c>
      <c r="D4" s="10" t="s">
        <v>19</v>
      </c>
      <c r="E4" s="10" t="s">
        <v>20</v>
      </c>
      <c r="F4" s="10" t="s">
        <v>21</v>
      </c>
      <c r="G4" s="10" t="s">
        <v>22</v>
      </c>
      <c r="H4" s="10" t="s">
        <v>23</v>
      </c>
      <c r="I4" s="11">
        <v>199.0</v>
      </c>
      <c r="J4" s="11">
        <v>1899.0</v>
      </c>
      <c r="K4" s="12">
        <f t="shared" si="1"/>
        <v>0.8952080042</v>
      </c>
      <c r="L4" s="13">
        <f>IFERROR(__xludf.DUMMYFUNCTION("GOOGLEFINANCE(""CURRENCY:INRBRL"") * I4
"),11.71745320162)</f>
        <v>11.7174532</v>
      </c>
      <c r="M4" s="9">
        <v>4.52</v>
      </c>
      <c r="N4" s="9">
        <v>7928.0</v>
      </c>
      <c r="O4" s="9" t="s">
        <v>32</v>
      </c>
      <c r="P4" s="14" t="s">
        <v>33</v>
      </c>
      <c r="U4" s="17"/>
      <c r="V4" s="18"/>
      <c r="W4" s="16"/>
      <c r="X4" s="16"/>
      <c r="Y4" s="16"/>
    </row>
    <row r="5">
      <c r="A5" s="9" t="s">
        <v>34</v>
      </c>
      <c r="B5" s="10" t="s">
        <v>35</v>
      </c>
      <c r="C5" s="10" t="s">
        <v>18</v>
      </c>
      <c r="D5" s="10" t="s">
        <v>19</v>
      </c>
      <c r="E5" s="10" t="s">
        <v>20</v>
      </c>
      <c r="F5" s="10" t="s">
        <v>21</v>
      </c>
      <c r="G5" s="10" t="s">
        <v>22</v>
      </c>
      <c r="H5" s="10" t="s">
        <v>23</v>
      </c>
      <c r="I5" s="11">
        <v>329.0</v>
      </c>
      <c r="J5" s="11">
        <v>699.0</v>
      </c>
      <c r="K5" s="12">
        <f t="shared" si="1"/>
        <v>0.5293276109</v>
      </c>
      <c r="L5" s="13">
        <f>IFERROR(__xludf.DUMMYFUNCTION("GOOGLEFINANCE(""CURRENCY:INRBRL"") * I5
"),19.37207087102)</f>
        <v>19.37207087</v>
      </c>
      <c r="M5" s="9">
        <v>4.5</v>
      </c>
      <c r="N5" s="9">
        <v>94363.0</v>
      </c>
      <c r="O5" s="9" t="s">
        <v>36</v>
      </c>
      <c r="P5" s="14" t="s">
        <v>37</v>
      </c>
      <c r="U5" s="17"/>
      <c r="V5" s="18"/>
      <c r="W5" s="16"/>
      <c r="X5" s="16"/>
      <c r="Y5" s="16"/>
    </row>
    <row r="6">
      <c r="A6" s="9" t="s">
        <v>38</v>
      </c>
      <c r="B6" s="10" t="s">
        <v>39</v>
      </c>
      <c r="C6" s="10" t="s">
        <v>18</v>
      </c>
      <c r="D6" s="10" t="s">
        <v>19</v>
      </c>
      <c r="E6" s="10" t="s">
        <v>20</v>
      </c>
      <c r="F6" s="10" t="s">
        <v>21</v>
      </c>
      <c r="G6" s="10" t="s">
        <v>22</v>
      </c>
      <c r="H6" s="10" t="s">
        <v>23</v>
      </c>
      <c r="I6" s="11">
        <v>154.0</v>
      </c>
      <c r="J6" s="11">
        <v>399.0</v>
      </c>
      <c r="K6" s="12">
        <f t="shared" si="1"/>
        <v>0.6140350877</v>
      </c>
      <c r="L6" s="13">
        <f>IFERROR(__xludf.DUMMYFUNCTION("GOOGLEFINANCE(""CURRENCY:INRBRL"") * I6
"),9.06777785452)</f>
        <v>9.067777855</v>
      </c>
      <c r="M6" s="9">
        <v>4.5</v>
      </c>
      <c r="N6" s="9">
        <v>16905.0</v>
      </c>
      <c r="O6" s="9" t="s">
        <v>40</v>
      </c>
      <c r="P6" s="14" t="s">
        <v>41</v>
      </c>
      <c r="U6" s="17"/>
      <c r="V6" s="18"/>
      <c r="W6" s="16"/>
      <c r="X6" s="16"/>
      <c r="Y6" s="16"/>
    </row>
    <row r="7">
      <c r="A7" s="9" t="s">
        <v>42</v>
      </c>
      <c r="B7" s="10" t="s">
        <v>43</v>
      </c>
      <c r="C7" s="10" t="s">
        <v>18</v>
      </c>
      <c r="D7" s="10" t="s">
        <v>19</v>
      </c>
      <c r="E7" s="10" t="s">
        <v>20</v>
      </c>
      <c r="F7" s="10" t="s">
        <v>21</v>
      </c>
      <c r="G7" s="10" t="s">
        <v>22</v>
      </c>
      <c r="H7" s="10" t="s">
        <v>23</v>
      </c>
      <c r="I7" s="11">
        <v>149.0</v>
      </c>
      <c r="J7" s="11">
        <v>999.0</v>
      </c>
      <c r="K7" s="12">
        <f t="shared" si="1"/>
        <v>0.8508508509</v>
      </c>
      <c r="L7" s="13">
        <f>IFERROR(__xludf.DUMMYFUNCTION("GOOGLEFINANCE(""CURRENCY:INRBRL"") * I7
"),8.77336948262)</f>
        <v>8.773369483</v>
      </c>
      <c r="M7" s="9">
        <v>4.52</v>
      </c>
      <c r="N7" s="9">
        <v>24871.0</v>
      </c>
      <c r="O7" s="9" t="s">
        <v>44</v>
      </c>
      <c r="P7" s="14" t="s">
        <v>45</v>
      </c>
      <c r="U7" s="17"/>
      <c r="V7" s="18"/>
      <c r="W7" s="16"/>
      <c r="X7" s="16"/>
      <c r="Y7" s="16"/>
    </row>
    <row r="8">
      <c r="A8" s="9" t="s">
        <v>46</v>
      </c>
      <c r="B8" s="10" t="s">
        <v>47</v>
      </c>
      <c r="C8" s="10" t="s">
        <v>18</v>
      </c>
      <c r="D8" s="10" t="s">
        <v>19</v>
      </c>
      <c r="E8" s="10" t="s">
        <v>20</v>
      </c>
      <c r="F8" s="10" t="s">
        <v>21</v>
      </c>
      <c r="G8" s="10" t="s">
        <v>22</v>
      </c>
      <c r="H8" s="10" t="s">
        <v>23</v>
      </c>
      <c r="I8" s="11">
        <v>176.63</v>
      </c>
      <c r="J8" s="11">
        <v>499.0</v>
      </c>
      <c r="K8" s="12">
        <f t="shared" si="1"/>
        <v>0.6460320641</v>
      </c>
      <c r="L8" s="13">
        <f>IFERROR(__xludf.DUMMYFUNCTION("GOOGLEFINANCE(""CURRENCY:INRBRL"") * I8
"),10.4002701457394)</f>
        <v>10.40027015</v>
      </c>
      <c r="M8" s="9">
        <v>4.49</v>
      </c>
      <c r="N8" s="9">
        <v>15188.0</v>
      </c>
      <c r="O8" s="9" t="s">
        <v>48</v>
      </c>
      <c r="P8" s="14" t="s">
        <v>49</v>
      </c>
      <c r="U8" s="17"/>
      <c r="V8" s="18"/>
      <c r="W8" s="16"/>
      <c r="X8" s="16"/>
      <c r="Y8" s="16"/>
    </row>
    <row r="9">
      <c r="A9" s="9" t="s">
        <v>50</v>
      </c>
      <c r="B9" s="10" t="s">
        <v>51</v>
      </c>
      <c r="C9" s="10" t="s">
        <v>18</v>
      </c>
      <c r="D9" s="10" t="s">
        <v>19</v>
      </c>
      <c r="E9" s="10" t="s">
        <v>20</v>
      </c>
      <c r="F9" s="10" t="s">
        <v>21</v>
      </c>
      <c r="G9" s="10" t="s">
        <v>22</v>
      </c>
      <c r="H9" s="10" t="s">
        <v>23</v>
      </c>
      <c r="I9" s="11">
        <v>229.0</v>
      </c>
      <c r="J9" s="11">
        <v>299.0</v>
      </c>
      <c r="K9" s="12">
        <f t="shared" si="1"/>
        <v>0.2341137124</v>
      </c>
      <c r="L9" s="13">
        <f>IFERROR(__xludf.DUMMYFUNCTION("GOOGLEFINANCE(""CURRENCY:INRBRL"") * I9
"),13.48390343302)</f>
        <v>13.48390343</v>
      </c>
      <c r="M9" s="9">
        <v>4.5</v>
      </c>
      <c r="N9" s="9">
        <v>30411.0</v>
      </c>
      <c r="O9" s="9" t="s">
        <v>52</v>
      </c>
      <c r="P9" s="14" t="s">
        <v>53</v>
      </c>
      <c r="U9" s="17"/>
      <c r="V9" s="18"/>
      <c r="W9" s="16"/>
      <c r="X9" s="16"/>
      <c r="Y9" s="16"/>
    </row>
    <row r="10">
      <c r="A10" s="9" t="s">
        <v>54</v>
      </c>
      <c r="B10" s="10" t="s">
        <v>55</v>
      </c>
      <c r="C10" s="10" t="s">
        <v>56</v>
      </c>
      <c r="D10" s="10" t="s">
        <v>19</v>
      </c>
      <c r="E10" s="10" t="s">
        <v>57</v>
      </c>
      <c r="F10" s="10" t="s">
        <v>58</v>
      </c>
      <c r="G10" s="10" t="s">
        <v>59</v>
      </c>
      <c r="H10" s="10"/>
      <c r="I10" s="11">
        <v>499.0</v>
      </c>
      <c r="J10" s="11">
        <v>999.0</v>
      </c>
      <c r="K10" s="12">
        <f t="shared" si="1"/>
        <v>0.5005005005</v>
      </c>
      <c r="L10" s="13">
        <f>IFERROR(__xludf.DUMMYFUNCTION("GOOGLEFINANCE(""CURRENCY:INRBRL"") * I10
"),29.38195551562)</f>
        <v>29.38195552</v>
      </c>
      <c r="M10" s="9">
        <v>4.5</v>
      </c>
      <c r="N10" s="9">
        <v>179691.0</v>
      </c>
      <c r="O10" s="9" t="s">
        <v>60</v>
      </c>
      <c r="P10" s="14" t="s">
        <v>61</v>
      </c>
      <c r="U10" s="17"/>
      <c r="V10" s="18"/>
      <c r="W10" s="16"/>
      <c r="X10" s="16"/>
      <c r="Y10" s="16"/>
    </row>
    <row r="11">
      <c r="A11" s="9" t="s">
        <v>62</v>
      </c>
      <c r="B11" s="10" t="s">
        <v>63</v>
      </c>
      <c r="C11" s="10" t="s">
        <v>18</v>
      </c>
      <c r="D11" s="10" t="s">
        <v>19</v>
      </c>
      <c r="E11" s="10" t="s">
        <v>20</v>
      </c>
      <c r="F11" s="10" t="s">
        <v>21</v>
      </c>
      <c r="G11" s="10" t="s">
        <v>22</v>
      </c>
      <c r="H11" s="10" t="s">
        <v>23</v>
      </c>
      <c r="I11" s="11">
        <v>199.0</v>
      </c>
      <c r="J11" s="11">
        <v>299.0</v>
      </c>
      <c r="K11" s="12">
        <f t="shared" si="1"/>
        <v>0.3344481605</v>
      </c>
      <c r="L11" s="13">
        <f>IFERROR(__xludf.DUMMYFUNCTION("GOOGLEFINANCE(""CURRENCY:INRBRL"") * I11
"),11.71745320162)</f>
        <v>11.7174532</v>
      </c>
      <c r="M11" s="9">
        <v>4.0</v>
      </c>
      <c r="N11" s="9">
        <v>43994.0</v>
      </c>
      <c r="O11" s="9" t="s">
        <v>64</v>
      </c>
      <c r="P11" s="14" t="s">
        <v>65</v>
      </c>
      <c r="U11" s="17"/>
      <c r="V11" s="18"/>
      <c r="W11" s="16"/>
      <c r="X11" s="16"/>
      <c r="Y11" s="16"/>
    </row>
    <row r="12">
      <c r="A12" s="9" t="s">
        <v>66</v>
      </c>
      <c r="B12" s="10" t="s">
        <v>67</v>
      </c>
      <c r="C12" s="10" t="s">
        <v>18</v>
      </c>
      <c r="D12" s="10" t="s">
        <v>19</v>
      </c>
      <c r="E12" s="10" t="s">
        <v>20</v>
      </c>
      <c r="F12" s="10" t="s">
        <v>21</v>
      </c>
      <c r="G12" s="10" t="s">
        <v>22</v>
      </c>
      <c r="H12" s="10" t="s">
        <v>23</v>
      </c>
      <c r="I12" s="11">
        <v>154.0</v>
      </c>
      <c r="J12" s="11">
        <v>339.0</v>
      </c>
      <c r="K12" s="12">
        <f t="shared" si="1"/>
        <v>0.5457227139</v>
      </c>
      <c r="L12" s="13">
        <f>IFERROR(__xludf.DUMMYFUNCTION("GOOGLEFINANCE(""CURRENCY:INRBRL"") * I12
"),9.06777785452)</f>
        <v>9.067777855</v>
      </c>
      <c r="M12" s="9">
        <v>4.5</v>
      </c>
      <c r="N12" s="9">
        <v>13391.0</v>
      </c>
      <c r="O12" s="9" t="s">
        <v>68</v>
      </c>
      <c r="P12" s="14" t="s">
        <v>69</v>
      </c>
      <c r="U12" s="17"/>
      <c r="V12" s="18"/>
      <c r="W12" s="16"/>
      <c r="X12" s="16"/>
      <c r="Y12" s="16"/>
    </row>
    <row r="13">
      <c r="A13" s="9" t="s">
        <v>70</v>
      </c>
      <c r="B13" s="10" t="s">
        <v>71</v>
      </c>
      <c r="C13" s="10" t="s">
        <v>18</v>
      </c>
      <c r="D13" s="10" t="s">
        <v>19</v>
      </c>
      <c r="E13" s="10" t="s">
        <v>20</v>
      </c>
      <c r="F13" s="10" t="s">
        <v>21</v>
      </c>
      <c r="G13" s="10" t="s">
        <v>22</v>
      </c>
      <c r="H13" s="10" t="s">
        <v>23</v>
      </c>
      <c r="I13" s="11">
        <v>299.0</v>
      </c>
      <c r="J13" s="11">
        <v>799.0</v>
      </c>
      <c r="K13" s="12">
        <f t="shared" si="1"/>
        <v>0.6257822278</v>
      </c>
      <c r="L13" s="13">
        <f>IFERROR(__xludf.DUMMYFUNCTION("GOOGLEFINANCE(""CURRENCY:INRBRL"") * I13
"),17.60562063962)</f>
        <v>17.60562064</v>
      </c>
      <c r="M13" s="9">
        <v>4.5</v>
      </c>
      <c r="N13" s="9">
        <v>94363.0</v>
      </c>
      <c r="O13" s="9" t="s">
        <v>72</v>
      </c>
      <c r="P13" s="14" t="s">
        <v>73</v>
      </c>
      <c r="U13" s="17"/>
      <c r="V13" s="18"/>
      <c r="W13" s="16"/>
      <c r="X13" s="16"/>
      <c r="Y13" s="16"/>
    </row>
    <row r="14">
      <c r="A14" s="9" t="s">
        <v>74</v>
      </c>
      <c r="B14" s="10" t="s">
        <v>75</v>
      </c>
      <c r="C14" s="10" t="s">
        <v>76</v>
      </c>
      <c r="D14" s="10" t="s">
        <v>77</v>
      </c>
      <c r="E14" s="10" t="s">
        <v>78</v>
      </c>
      <c r="F14" s="10" t="s">
        <v>79</v>
      </c>
      <c r="G14" s="10" t="s">
        <v>22</v>
      </c>
      <c r="H14" s="10" t="s">
        <v>80</v>
      </c>
      <c r="I14" s="11">
        <v>219.0</v>
      </c>
      <c r="J14" s="11">
        <v>700.0</v>
      </c>
      <c r="K14" s="12">
        <f t="shared" si="1"/>
        <v>0.6871428571</v>
      </c>
      <c r="L14" s="13">
        <f>IFERROR(__xludf.DUMMYFUNCTION("GOOGLEFINANCE(""CURRENCY:INRBRL"") * I14
"),12.89508668922)</f>
        <v>12.89508669</v>
      </c>
      <c r="M14" s="9">
        <v>4.5</v>
      </c>
      <c r="N14" s="9">
        <v>426973.0</v>
      </c>
      <c r="O14" s="9" t="s">
        <v>81</v>
      </c>
      <c r="P14" s="14" t="s">
        <v>82</v>
      </c>
      <c r="U14" s="17"/>
      <c r="V14" s="18"/>
      <c r="W14" s="16"/>
      <c r="X14" s="16"/>
      <c r="Y14" s="16"/>
    </row>
    <row r="15">
      <c r="A15" s="9" t="s">
        <v>83</v>
      </c>
      <c r="B15" s="10" t="s">
        <v>84</v>
      </c>
      <c r="C15" s="10" t="s">
        <v>18</v>
      </c>
      <c r="D15" s="10" t="s">
        <v>19</v>
      </c>
      <c r="E15" s="10" t="s">
        <v>20</v>
      </c>
      <c r="F15" s="10" t="s">
        <v>21</v>
      </c>
      <c r="G15" s="10" t="s">
        <v>22</v>
      </c>
      <c r="H15" s="10" t="s">
        <v>23</v>
      </c>
      <c r="I15" s="11">
        <v>350.0</v>
      </c>
      <c r="J15" s="11">
        <v>899.0</v>
      </c>
      <c r="K15" s="12">
        <f t="shared" si="1"/>
        <v>0.6106785317</v>
      </c>
      <c r="L15" s="13">
        <f>IFERROR(__xludf.DUMMYFUNCTION("GOOGLEFINANCE(""CURRENCY:INRBRL"") * I15
"),20.608586032999998)</f>
        <v>20.60858603</v>
      </c>
      <c r="M15" s="9">
        <v>4.5</v>
      </c>
      <c r="N15" s="9">
        <v>2262.0</v>
      </c>
      <c r="O15" s="9" t="s">
        <v>85</v>
      </c>
      <c r="P15" s="14" t="s">
        <v>86</v>
      </c>
      <c r="U15" s="17"/>
      <c r="V15" s="18"/>
      <c r="W15" s="16"/>
      <c r="X15" s="16"/>
      <c r="Y15" s="16"/>
    </row>
    <row r="16">
      <c r="A16" s="9" t="s">
        <v>87</v>
      </c>
      <c r="B16" s="10" t="s">
        <v>88</v>
      </c>
      <c r="C16" s="10" t="s">
        <v>18</v>
      </c>
      <c r="D16" s="10" t="s">
        <v>19</v>
      </c>
      <c r="E16" s="10" t="s">
        <v>20</v>
      </c>
      <c r="F16" s="10" t="s">
        <v>21</v>
      </c>
      <c r="G16" s="10" t="s">
        <v>22</v>
      </c>
      <c r="H16" s="10" t="s">
        <v>23</v>
      </c>
      <c r="I16" s="11">
        <v>159.0</v>
      </c>
      <c r="J16" s="11">
        <v>399.0</v>
      </c>
      <c r="K16" s="12">
        <f t="shared" si="1"/>
        <v>0.6015037594</v>
      </c>
      <c r="L16" s="13">
        <f>IFERROR(__xludf.DUMMYFUNCTION("GOOGLEFINANCE(""CURRENCY:INRBRL"") * I16
"),9.36218622642)</f>
        <v>9.362186226</v>
      </c>
      <c r="M16" s="9">
        <v>4.49</v>
      </c>
      <c r="N16" s="9">
        <v>4768.0</v>
      </c>
      <c r="O16" s="9" t="s">
        <v>40</v>
      </c>
      <c r="P16" s="14" t="s">
        <v>89</v>
      </c>
      <c r="U16" s="17"/>
      <c r="V16" s="18"/>
      <c r="W16" s="16"/>
      <c r="X16" s="16"/>
      <c r="Y16" s="16"/>
    </row>
    <row r="17">
      <c r="A17" s="9" t="s">
        <v>90</v>
      </c>
      <c r="B17" s="10" t="s">
        <v>91</v>
      </c>
      <c r="C17" s="10" t="s">
        <v>18</v>
      </c>
      <c r="D17" s="10" t="s">
        <v>19</v>
      </c>
      <c r="E17" s="10" t="s">
        <v>20</v>
      </c>
      <c r="F17" s="10" t="s">
        <v>21</v>
      </c>
      <c r="G17" s="10" t="s">
        <v>22</v>
      </c>
      <c r="H17" s="10" t="s">
        <v>23</v>
      </c>
      <c r="I17" s="11">
        <v>349.0</v>
      </c>
      <c r="J17" s="11">
        <v>399.0</v>
      </c>
      <c r="K17" s="12">
        <f t="shared" si="1"/>
        <v>0.1253132832</v>
      </c>
      <c r="L17" s="13">
        <f>IFERROR(__xludf.DUMMYFUNCTION("GOOGLEFINANCE(""CURRENCY:INRBRL"") * I17
"),20.549704358619998)</f>
        <v>20.54970436</v>
      </c>
      <c r="M17" s="9">
        <v>4.5</v>
      </c>
      <c r="N17" s="9">
        <v>18757.0</v>
      </c>
      <c r="O17" s="9" t="s">
        <v>92</v>
      </c>
      <c r="P17" s="14" t="s">
        <v>93</v>
      </c>
      <c r="U17" s="17"/>
      <c r="V17" s="18"/>
      <c r="W17" s="16"/>
      <c r="X17" s="16"/>
      <c r="Y17" s="16"/>
    </row>
    <row r="18">
      <c r="A18" s="9" t="s">
        <v>94</v>
      </c>
      <c r="B18" s="10" t="s">
        <v>95</v>
      </c>
      <c r="C18" s="10" t="s">
        <v>96</v>
      </c>
      <c r="D18" s="10" t="s">
        <v>77</v>
      </c>
      <c r="E18" s="10" t="s">
        <v>78</v>
      </c>
      <c r="F18" s="10" t="s">
        <v>97</v>
      </c>
      <c r="G18" s="10" t="s">
        <v>98</v>
      </c>
      <c r="H18" s="10"/>
      <c r="I18" s="11">
        <v>13999.0</v>
      </c>
      <c r="J18" s="11">
        <v>24999.0</v>
      </c>
      <c r="K18" s="12">
        <f t="shared" si="1"/>
        <v>0.4400176007</v>
      </c>
      <c r="L18" s="13">
        <f>IFERROR(__xludf.DUMMYFUNCTION("GOOGLEFINANCE(""CURRENCY:INRBRL"") * I18
"),824.28455964562)</f>
        <v>824.2845596</v>
      </c>
      <c r="M18" s="9">
        <v>4.5</v>
      </c>
      <c r="N18" s="9">
        <v>3284.0</v>
      </c>
      <c r="O18" s="9" t="s">
        <v>99</v>
      </c>
      <c r="P18" s="14" t="s">
        <v>100</v>
      </c>
      <c r="U18" s="17"/>
      <c r="V18" s="18"/>
      <c r="W18" s="16"/>
      <c r="X18" s="16"/>
      <c r="Y18" s="16"/>
    </row>
    <row r="19">
      <c r="A19" s="9" t="s">
        <v>101</v>
      </c>
      <c r="B19" s="10" t="s">
        <v>102</v>
      </c>
      <c r="C19" s="10" t="s">
        <v>18</v>
      </c>
      <c r="D19" s="10" t="s">
        <v>19</v>
      </c>
      <c r="E19" s="10" t="s">
        <v>20</v>
      </c>
      <c r="F19" s="10" t="s">
        <v>21</v>
      </c>
      <c r="G19" s="10" t="s">
        <v>22</v>
      </c>
      <c r="H19" s="10" t="s">
        <v>23</v>
      </c>
      <c r="I19" s="11">
        <v>249.0</v>
      </c>
      <c r="J19" s="11">
        <v>399.0</v>
      </c>
      <c r="K19" s="12">
        <f t="shared" si="1"/>
        <v>0.3759398496</v>
      </c>
      <c r="L19" s="13">
        <f>IFERROR(__xludf.DUMMYFUNCTION("GOOGLEFINANCE(""CURRENCY:INRBRL"") * I19
"),14.66153692062)</f>
        <v>14.66153692</v>
      </c>
      <c r="M19" s="9">
        <v>4.0</v>
      </c>
      <c r="N19" s="9">
        <v>43994.0</v>
      </c>
      <c r="O19" s="9" t="s">
        <v>103</v>
      </c>
      <c r="P19" s="14" t="s">
        <v>104</v>
      </c>
      <c r="U19" s="17"/>
      <c r="V19" s="18"/>
      <c r="W19" s="16"/>
      <c r="X19" s="16"/>
      <c r="Y19" s="16"/>
    </row>
    <row r="20">
      <c r="A20" s="9" t="s">
        <v>105</v>
      </c>
      <c r="B20" s="10" t="s">
        <v>106</v>
      </c>
      <c r="C20" s="10" t="s">
        <v>18</v>
      </c>
      <c r="D20" s="10" t="s">
        <v>19</v>
      </c>
      <c r="E20" s="10" t="s">
        <v>20</v>
      </c>
      <c r="F20" s="10" t="s">
        <v>21</v>
      </c>
      <c r="G20" s="10" t="s">
        <v>22</v>
      </c>
      <c r="H20" s="10" t="s">
        <v>23</v>
      </c>
      <c r="I20" s="11">
        <v>199.0</v>
      </c>
      <c r="J20" s="11">
        <v>499.0</v>
      </c>
      <c r="K20" s="12">
        <f t="shared" si="1"/>
        <v>0.6012024048</v>
      </c>
      <c r="L20" s="13">
        <f>IFERROR(__xludf.DUMMYFUNCTION("GOOGLEFINANCE(""CURRENCY:INRBRL"") * I20
"),11.71745320162)</f>
        <v>11.7174532</v>
      </c>
      <c r="M20" s="9">
        <v>4.49</v>
      </c>
      <c r="N20" s="9">
        <v>13045.0</v>
      </c>
      <c r="O20" s="9" t="s">
        <v>107</v>
      </c>
      <c r="P20" s="14" t="s">
        <v>108</v>
      </c>
      <c r="U20" s="17"/>
      <c r="V20" s="18"/>
      <c r="W20" s="16"/>
      <c r="X20" s="16"/>
      <c r="Y20" s="16"/>
    </row>
    <row r="21">
      <c r="A21" s="9" t="s">
        <v>109</v>
      </c>
      <c r="B21" s="10" t="s">
        <v>110</v>
      </c>
      <c r="C21" s="10" t="s">
        <v>96</v>
      </c>
      <c r="D21" s="10" t="s">
        <v>77</v>
      </c>
      <c r="E21" s="10" t="s">
        <v>78</v>
      </c>
      <c r="F21" s="10" t="s">
        <v>97</v>
      </c>
      <c r="G21" s="10" t="s">
        <v>98</v>
      </c>
      <c r="H21" s="10"/>
      <c r="I21" s="11">
        <v>13489.0</v>
      </c>
      <c r="J21" s="11">
        <v>21989.0</v>
      </c>
      <c r="K21" s="12">
        <f t="shared" si="1"/>
        <v>0.3865569148</v>
      </c>
      <c r="L21" s="13">
        <f>IFERROR(__xludf.DUMMYFUNCTION("GOOGLEFINANCE(""CURRENCY:INRBRL"") * I21
"),794.25490571182)</f>
        <v>794.2549057</v>
      </c>
      <c r="M21" s="9">
        <v>4.5</v>
      </c>
      <c r="N21" s="9">
        <v>11976.0</v>
      </c>
      <c r="O21" s="9" t="s">
        <v>111</v>
      </c>
      <c r="P21" s="14" t="s">
        <v>112</v>
      </c>
      <c r="U21" s="17"/>
      <c r="V21" s="18"/>
      <c r="W21" s="16"/>
      <c r="X21" s="16"/>
      <c r="Y21" s="16"/>
    </row>
    <row r="22">
      <c r="A22" s="9" t="s">
        <v>113</v>
      </c>
      <c r="B22" s="10" t="s">
        <v>114</v>
      </c>
      <c r="C22" s="10" t="s">
        <v>18</v>
      </c>
      <c r="D22" s="10" t="s">
        <v>19</v>
      </c>
      <c r="E22" s="10" t="s">
        <v>20</v>
      </c>
      <c r="F22" s="10" t="s">
        <v>21</v>
      </c>
      <c r="G22" s="10" t="s">
        <v>22</v>
      </c>
      <c r="H22" s="10" t="s">
        <v>23</v>
      </c>
      <c r="I22" s="11">
        <v>970.0</v>
      </c>
      <c r="J22" s="11">
        <v>1799.0</v>
      </c>
      <c r="K22" s="12">
        <f t="shared" si="1"/>
        <v>0.460811562</v>
      </c>
      <c r="L22" s="13">
        <f>IFERROR(__xludf.DUMMYFUNCTION("GOOGLEFINANCE(""CURRENCY:INRBRL"") * I22
"),57.1152241486)</f>
        <v>57.11522415</v>
      </c>
      <c r="M22" s="9">
        <v>4.51</v>
      </c>
      <c r="N22" s="9">
        <v>815.0</v>
      </c>
      <c r="O22" s="9" t="s">
        <v>115</v>
      </c>
      <c r="P22" s="14" t="s">
        <v>116</v>
      </c>
      <c r="U22" s="17"/>
      <c r="V22" s="18"/>
      <c r="W22" s="16"/>
      <c r="X22" s="16"/>
      <c r="Y22" s="16"/>
    </row>
    <row r="23">
      <c r="A23" s="9" t="s">
        <v>117</v>
      </c>
      <c r="B23" s="10" t="s">
        <v>118</v>
      </c>
      <c r="C23" s="10" t="s">
        <v>76</v>
      </c>
      <c r="D23" s="10" t="s">
        <v>77</v>
      </c>
      <c r="E23" s="10" t="s">
        <v>78</v>
      </c>
      <c r="F23" s="10" t="s">
        <v>79</v>
      </c>
      <c r="G23" s="10" t="s">
        <v>22</v>
      </c>
      <c r="H23" s="10" t="s">
        <v>80</v>
      </c>
      <c r="I23" s="11">
        <v>279.0</v>
      </c>
      <c r="J23" s="11">
        <v>499.0</v>
      </c>
      <c r="K23" s="12">
        <f t="shared" si="1"/>
        <v>0.4408817635</v>
      </c>
      <c r="L23" s="13">
        <f>IFERROR(__xludf.DUMMYFUNCTION("GOOGLEFINANCE(""CURRENCY:INRBRL"") * I23
"),16.42798715202)</f>
        <v>16.42798715</v>
      </c>
      <c r="M23" s="9">
        <v>4.51</v>
      </c>
      <c r="N23" s="9">
        <v>10962.0</v>
      </c>
      <c r="O23" s="9" t="s">
        <v>119</v>
      </c>
      <c r="P23" s="14" t="s">
        <v>120</v>
      </c>
      <c r="U23" s="17"/>
      <c r="V23" s="18"/>
      <c r="W23" s="16"/>
      <c r="X23" s="16"/>
      <c r="Y23" s="16"/>
    </row>
    <row r="24">
      <c r="A24" s="9" t="s">
        <v>121</v>
      </c>
      <c r="B24" s="10" t="s">
        <v>122</v>
      </c>
      <c r="C24" s="10" t="s">
        <v>96</v>
      </c>
      <c r="D24" s="10" t="s">
        <v>77</v>
      </c>
      <c r="E24" s="10" t="s">
        <v>78</v>
      </c>
      <c r="F24" s="10" t="s">
        <v>97</v>
      </c>
      <c r="G24" s="10" t="s">
        <v>98</v>
      </c>
      <c r="H24" s="10"/>
      <c r="I24" s="11">
        <v>13490.0</v>
      </c>
      <c r="J24" s="11">
        <v>22900.0</v>
      </c>
      <c r="K24" s="12">
        <f t="shared" si="1"/>
        <v>0.4109170306</v>
      </c>
      <c r="L24" s="13">
        <f>IFERROR(__xludf.DUMMYFUNCTION("GOOGLEFINANCE(""CURRENCY:INRBRL"") * I24
"),794.3137873862)</f>
        <v>794.3137874</v>
      </c>
      <c r="M24" s="9">
        <v>4.5</v>
      </c>
      <c r="N24" s="9">
        <v>16299.0</v>
      </c>
      <c r="O24" s="9" t="s">
        <v>123</v>
      </c>
      <c r="P24" s="14" t="s">
        <v>124</v>
      </c>
      <c r="U24" s="17"/>
      <c r="V24" s="18"/>
      <c r="W24" s="16"/>
      <c r="X24" s="16"/>
      <c r="Y24" s="16"/>
    </row>
    <row r="25">
      <c r="A25" s="9" t="s">
        <v>125</v>
      </c>
      <c r="B25" s="10" t="s">
        <v>126</v>
      </c>
      <c r="C25" s="10" t="s">
        <v>18</v>
      </c>
      <c r="D25" s="10" t="s">
        <v>19</v>
      </c>
      <c r="E25" s="10" t="s">
        <v>20</v>
      </c>
      <c r="F25" s="10" t="s">
        <v>21</v>
      </c>
      <c r="G25" s="10" t="s">
        <v>22</v>
      </c>
      <c r="H25" s="10" t="s">
        <v>23</v>
      </c>
      <c r="I25" s="11">
        <v>59.0</v>
      </c>
      <c r="J25" s="11">
        <v>199.0</v>
      </c>
      <c r="K25" s="12">
        <f t="shared" si="1"/>
        <v>0.7035175879</v>
      </c>
      <c r="L25" s="13">
        <f>IFERROR(__xludf.DUMMYFUNCTION("GOOGLEFINANCE(""CURRENCY:INRBRL"") * I25
"),3.47401878842)</f>
        <v>3.474018788</v>
      </c>
      <c r="M25" s="9">
        <v>4.0</v>
      </c>
      <c r="N25" s="9">
        <v>9378.0</v>
      </c>
      <c r="O25" s="9" t="s">
        <v>127</v>
      </c>
      <c r="P25" s="14" t="s">
        <v>128</v>
      </c>
      <c r="U25" s="17"/>
      <c r="V25" s="18"/>
      <c r="W25" s="16"/>
      <c r="X25" s="16"/>
      <c r="Y25" s="16"/>
    </row>
    <row r="26">
      <c r="A26" s="9" t="s">
        <v>129</v>
      </c>
      <c r="B26" s="10" t="s">
        <v>130</v>
      </c>
      <c r="C26" s="10" t="s">
        <v>96</v>
      </c>
      <c r="D26" s="10" t="s">
        <v>77</v>
      </c>
      <c r="E26" s="10" t="s">
        <v>78</v>
      </c>
      <c r="F26" s="10" t="s">
        <v>97</v>
      </c>
      <c r="G26" s="10" t="s">
        <v>98</v>
      </c>
      <c r="H26" s="10"/>
      <c r="I26" s="11">
        <v>11499.0</v>
      </c>
      <c r="J26" s="11">
        <v>19999.0</v>
      </c>
      <c r="K26" s="12">
        <f t="shared" si="1"/>
        <v>0.4250212511</v>
      </c>
      <c r="L26" s="13">
        <f>IFERROR(__xludf.DUMMYFUNCTION("GOOGLEFINANCE(""CURRENCY:INRBRL"") * I26
"),677.08037369562)</f>
        <v>677.0803737</v>
      </c>
      <c r="M26" s="9">
        <v>4.5</v>
      </c>
      <c r="N26" s="9">
        <v>4703.0</v>
      </c>
      <c r="O26" s="9" t="s">
        <v>131</v>
      </c>
      <c r="P26" s="14" t="s">
        <v>132</v>
      </c>
      <c r="U26" s="17"/>
      <c r="V26" s="18"/>
      <c r="W26" s="16"/>
      <c r="X26" s="16"/>
      <c r="Y26" s="16"/>
    </row>
    <row r="27">
      <c r="A27" s="9" t="s">
        <v>133</v>
      </c>
      <c r="B27" s="10" t="s">
        <v>134</v>
      </c>
      <c r="C27" s="10" t="s">
        <v>76</v>
      </c>
      <c r="D27" s="10" t="s">
        <v>77</v>
      </c>
      <c r="E27" s="10" t="s">
        <v>78</v>
      </c>
      <c r="F27" s="10" t="s">
        <v>79</v>
      </c>
      <c r="G27" s="10" t="s">
        <v>22</v>
      </c>
      <c r="H27" s="10" t="s">
        <v>80</v>
      </c>
      <c r="I27" s="11">
        <v>199.0</v>
      </c>
      <c r="J27" s="11">
        <v>699.0</v>
      </c>
      <c r="K27" s="12">
        <f t="shared" si="1"/>
        <v>0.7153075823</v>
      </c>
      <c r="L27" s="13">
        <f>IFERROR(__xludf.DUMMYFUNCTION("GOOGLEFINANCE(""CURRENCY:INRBRL"") * I27
"),11.71745320162)</f>
        <v>11.7174532</v>
      </c>
      <c r="M27" s="9">
        <v>4.5</v>
      </c>
      <c r="N27" s="9">
        <v>12153.0</v>
      </c>
      <c r="O27" s="9" t="s">
        <v>135</v>
      </c>
      <c r="P27" s="14" t="s">
        <v>136</v>
      </c>
      <c r="U27" s="17"/>
      <c r="V27" s="18"/>
      <c r="W27" s="16"/>
      <c r="X27" s="16"/>
      <c r="Y27" s="16"/>
    </row>
    <row r="28">
      <c r="A28" s="9" t="s">
        <v>137</v>
      </c>
      <c r="B28" s="10" t="s">
        <v>138</v>
      </c>
      <c r="C28" s="10" t="s">
        <v>96</v>
      </c>
      <c r="D28" s="10" t="s">
        <v>77</v>
      </c>
      <c r="E28" s="10" t="s">
        <v>78</v>
      </c>
      <c r="F28" s="10" t="s">
        <v>97</v>
      </c>
      <c r="G28" s="10" t="s">
        <v>98</v>
      </c>
      <c r="H28" s="10"/>
      <c r="I28" s="11">
        <v>14999.0</v>
      </c>
      <c r="J28" s="11">
        <v>19999.0</v>
      </c>
      <c r="K28" s="12">
        <f t="shared" si="1"/>
        <v>0.2500125006</v>
      </c>
      <c r="L28" s="13">
        <f>IFERROR(__xludf.DUMMYFUNCTION("GOOGLEFINANCE(""CURRENCY:INRBRL"") * I28
"),883.1662340256199)</f>
        <v>883.166234</v>
      </c>
      <c r="M28" s="9">
        <v>4.5</v>
      </c>
      <c r="N28" s="9">
        <v>34899.0</v>
      </c>
      <c r="O28" s="9" t="s">
        <v>139</v>
      </c>
      <c r="P28" s="14" t="s">
        <v>140</v>
      </c>
      <c r="U28" s="17"/>
      <c r="V28" s="18"/>
      <c r="W28" s="16"/>
      <c r="X28" s="16"/>
      <c r="Y28" s="16"/>
    </row>
    <row r="29">
      <c r="A29" s="9" t="s">
        <v>141</v>
      </c>
      <c r="B29" s="10" t="s">
        <v>142</v>
      </c>
      <c r="C29" s="10" t="s">
        <v>18</v>
      </c>
      <c r="D29" s="10" t="s">
        <v>19</v>
      </c>
      <c r="E29" s="10" t="s">
        <v>20</v>
      </c>
      <c r="F29" s="10" t="s">
        <v>21</v>
      </c>
      <c r="G29" s="10" t="s">
        <v>22</v>
      </c>
      <c r="H29" s="10" t="s">
        <v>23</v>
      </c>
      <c r="I29" s="11">
        <v>299.0</v>
      </c>
      <c r="J29" s="11">
        <v>399.0</v>
      </c>
      <c r="K29" s="12">
        <f t="shared" si="1"/>
        <v>0.2506265664</v>
      </c>
      <c r="L29" s="13">
        <f>IFERROR(__xludf.DUMMYFUNCTION("GOOGLEFINANCE(""CURRENCY:INRBRL"") * I29
"),17.60562063962)</f>
        <v>17.60562064</v>
      </c>
      <c r="M29" s="9">
        <v>4.0</v>
      </c>
      <c r="N29" s="9">
        <v>2766.0</v>
      </c>
      <c r="O29" s="9" t="s">
        <v>143</v>
      </c>
      <c r="P29" s="14" t="s">
        <v>144</v>
      </c>
      <c r="U29" s="17"/>
      <c r="V29" s="18"/>
      <c r="W29" s="16"/>
      <c r="X29" s="16"/>
      <c r="Y29" s="16"/>
    </row>
    <row r="30">
      <c r="A30" s="9" t="s">
        <v>145</v>
      </c>
      <c r="B30" s="10" t="s">
        <v>146</v>
      </c>
      <c r="C30" s="10" t="s">
        <v>18</v>
      </c>
      <c r="D30" s="10" t="s">
        <v>19</v>
      </c>
      <c r="E30" s="10" t="s">
        <v>20</v>
      </c>
      <c r="F30" s="10" t="s">
        <v>21</v>
      </c>
      <c r="G30" s="10" t="s">
        <v>22</v>
      </c>
      <c r="H30" s="10" t="s">
        <v>23</v>
      </c>
      <c r="I30" s="11">
        <v>970.0</v>
      </c>
      <c r="J30" s="11">
        <v>1999.0</v>
      </c>
      <c r="K30" s="12">
        <f t="shared" si="1"/>
        <v>0.5147573787</v>
      </c>
      <c r="L30" s="13">
        <f>IFERROR(__xludf.DUMMYFUNCTION("GOOGLEFINANCE(""CURRENCY:INRBRL"") * I30
"),57.1152241486)</f>
        <v>57.11522415</v>
      </c>
      <c r="M30" s="9">
        <v>4.5</v>
      </c>
      <c r="N30" s="9">
        <v>184.0</v>
      </c>
      <c r="O30" s="9" t="s">
        <v>147</v>
      </c>
      <c r="P30" s="14" t="s">
        <v>148</v>
      </c>
      <c r="U30" s="17"/>
      <c r="V30" s="18"/>
      <c r="W30" s="16"/>
      <c r="X30" s="16"/>
      <c r="Y30" s="16"/>
    </row>
    <row r="31">
      <c r="A31" s="9" t="s">
        <v>149</v>
      </c>
      <c r="B31" s="10" t="s">
        <v>150</v>
      </c>
      <c r="C31" s="10" t="s">
        <v>18</v>
      </c>
      <c r="D31" s="10" t="s">
        <v>19</v>
      </c>
      <c r="E31" s="10" t="s">
        <v>20</v>
      </c>
      <c r="F31" s="10" t="s">
        <v>21</v>
      </c>
      <c r="G31" s="10" t="s">
        <v>22</v>
      </c>
      <c r="H31" s="10" t="s">
        <v>23</v>
      </c>
      <c r="I31" s="11">
        <v>299.0</v>
      </c>
      <c r="J31" s="11">
        <v>999.0</v>
      </c>
      <c r="K31" s="12">
        <f t="shared" si="1"/>
        <v>0.7007007007</v>
      </c>
      <c r="L31" s="13">
        <f>IFERROR(__xludf.DUMMYFUNCTION("GOOGLEFINANCE(""CURRENCY:INRBRL"") * I31
"),17.60562063962)</f>
        <v>17.60562064</v>
      </c>
      <c r="M31" s="9">
        <v>4.5</v>
      </c>
      <c r="N31" s="9">
        <v>2085.0</v>
      </c>
      <c r="O31" s="9" t="s">
        <v>151</v>
      </c>
      <c r="P31" s="14" t="s">
        <v>152</v>
      </c>
      <c r="U31" s="17"/>
      <c r="V31" s="18"/>
      <c r="W31" s="16"/>
      <c r="X31" s="16"/>
      <c r="Y31" s="16"/>
    </row>
    <row r="32">
      <c r="A32" s="9" t="s">
        <v>153</v>
      </c>
      <c r="B32" s="10" t="s">
        <v>154</v>
      </c>
      <c r="C32" s="10" t="s">
        <v>18</v>
      </c>
      <c r="D32" s="10" t="s">
        <v>19</v>
      </c>
      <c r="E32" s="10" t="s">
        <v>20</v>
      </c>
      <c r="F32" s="10" t="s">
        <v>21</v>
      </c>
      <c r="G32" s="10" t="s">
        <v>22</v>
      </c>
      <c r="H32" s="10" t="s">
        <v>23</v>
      </c>
      <c r="I32" s="11">
        <v>199.0</v>
      </c>
      <c r="J32" s="11">
        <v>750.0</v>
      </c>
      <c r="K32" s="12">
        <f t="shared" si="1"/>
        <v>0.7346666667</v>
      </c>
      <c r="L32" s="13">
        <f>IFERROR(__xludf.DUMMYFUNCTION("GOOGLEFINANCE(""CURRENCY:INRBRL"") * I32
"),11.71745320162)</f>
        <v>11.7174532</v>
      </c>
      <c r="M32" s="9">
        <v>4.51</v>
      </c>
      <c r="N32" s="9">
        <v>74976.0</v>
      </c>
      <c r="O32" s="9" t="s">
        <v>155</v>
      </c>
      <c r="P32" s="14" t="s">
        <v>156</v>
      </c>
      <c r="U32" s="17"/>
      <c r="V32" s="18"/>
      <c r="W32" s="16"/>
      <c r="X32" s="16"/>
      <c r="Y32" s="16"/>
    </row>
    <row r="33">
      <c r="A33" s="9" t="s">
        <v>157</v>
      </c>
      <c r="B33" s="10" t="s">
        <v>158</v>
      </c>
      <c r="C33" s="10" t="s">
        <v>18</v>
      </c>
      <c r="D33" s="10" t="s">
        <v>19</v>
      </c>
      <c r="E33" s="10" t="s">
        <v>20</v>
      </c>
      <c r="F33" s="10" t="s">
        <v>21</v>
      </c>
      <c r="G33" s="10" t="s">
        <v>22</v>
      </c>
      <c r="H33" s="10" t="s">
        <v>23</v>
      </c>
      <c r="I33" s="11">
        <v>179.0</v>
      </c>
      <c r="J33" s="11">
        <v>499.0</v>
      </c>
      <c r="K33" s="12">
        <f t="shared" si="1"/>
        <v>0.6412825651</v>
      </c>
      <c r="L33" s="13">
        <f>IFERROR(__xludf.DUMMYFUNCTION("GOOGLEFINANCE(""CURRENCY:INRBRL"") * I33
"),10.53981971402)</f>
        <v>10.53981971</v>
      </c>
      <c r="M33" s="9">
        <v>4.0</v>
      </c>
      <c r="N33" s="9">
        <v>1934.0</v>
      </c>
      <c r="O33" s="9" t="s">
        <v>159</v>
      </c>
      <c r="P33" s="14" t="s">
        <v>160</v>
      </c>
      <c r="U33" s="17"/>
      <c r="V33" s="18"/>
      <c r="W33" s="16"/>
      <c r="X33" s="16"/>
      <c r="Y33" s="16"/>
    </row>
    <row r="34">
      <c r="A34" s="9" t="s">
        <v>161</v>
      </c>
      <c r="B34" s="10" t="s">
        <v>162</v>
      </c>
      <c r="C34" s="10" t="s">
        <v>18</v>
      </c>
      <c r="D34" s="10" t="s">
        <v>19</v>
      </c>
      <c r="E34" s="10" t="s">
        <v>20</v>
      </c>
      <c r="F34" s="10" t="s">
        <v>21</v>
      </c>
      <c r="G34" s="10" t="s">
        <v>22</v>
      </c>
      <c r="H34" s="10" t="s">
        <v>23</v>
      </c>
      <c r="I34" s="11">
        <v>389.0</v>
      </c>
      <c r="J34" s="11">
        <v>1099.0</v>
      </c>
      <c r="K34" s="12">
        <f t="shared" si="1"/>
        <v>0.6460418562</v>
      </c>
      <c r="L34" s="13">
        <f>IFERROR(__xludf.DUMMYFUNCTION("GOOGLEFINANCE(""CURRENCY:INRBRL"") * I34
"),22.90497133382)</f>
        <v>22.90497133</v>
      </c>
      <c r="M34" s="9">
        <v>4.5</v>
      </c>
      <c r="N34" s="9">
        <v>974.0</v>
      </c>
      <c r="O34" s="9" t="s">
        <v>163</v>
      </c>
      <c r="P34" s="14" t="s">
        <v>164</v>
      </c>
      <c r="U34" s="17"/>
      <c r="V34" s="18"/>
      <c r="W34" s="16"/>
      <c r="X34" s="16"/>
      <c r="Y34" s="16"/>
    </row>
    <row r="35">
      <c r="A35" s="9" t="s">
        <v>165</v>
      </c>
      <c r="B35" s="10" t="s">
        <v>166</v>
      </c>
      <c r="C35" s="10" t="s">
        <v>18</v>
      </c>
      <c r="D35" s="10" t="s">
        <v>19</v>
      </c>
      <c r="E35" s="10" t="s">
        <v>20</v>
      </c>
      <c r="F35" s="10" t="s">
        <v>21</v>
      </c>
      <c r="G35" s="10" t="s">
        <v>22</v>
      </c>
      <c r="H35" s="10" t="s">
        <v>23</v>
      </c>
      <c r="I35" s="11">
        <v>599.0</v>
      </c>
      <c r="J35" s="11">
        <v>599.0</v>
      </c>
      <c r="K35" s="12">
        <f t="shared" si="1"/>
        <v>0</v>
      </c>
      <c r="L35" s="13">
        <f>IFERROR(__xludf.DUMMYFUNCTION("GOOGLEFINANCE(""CURRENCY:INRBRL"") * I35
"),35.270122953619996)</f>
        <v>35.27012295</v>
      </c>
      <c r="M35" s="9">
        <v>4.5</v>
      </c>
      <c r="N35" s="9">
        <v>355.0</v>
      </c>
      <c r="O35" s="9" t="s">
        <v>167</v>
      </c>
      <c r="P35" s="14" t="s">
        <v>168</v>
      </c>
      <c r="U35" s="17"/>
      <c r="V35" s="18"/>
      <c r="W35" s="16"/>
      <c r="X35" s="16"/>
      <c r="Y35" s="16"/>
    </row>
    <row r="36">
      <c r="A36" s="9" t="s">
        <v>169</v>
      </c>
      <c r="B36" s="10" t="s">
        <v>170</v>
      </c>
      <c r="C36" s="10" t="s">
        <v>18</v>
      </c>
      <c r="D36" s="10" t="s">
        <v>19</v>
      </c>
      <c r="E36" s="10" t="s">
        <v>20</v>
      </c>
      <c r="F36" s="10" t="s">
        <v>21</v>
      </c>
      <c r="G36" s="10" t="s">
        <v>22</v>
      </c>
      <c r="H36" s="10" t="s">
        <v>23</v>
      </c>
      <c r="I36" s="11">
        <v>199.0</v>
      </c>
      <c r="J36" s="11">
        <v>999.0</v>
      </c>
      <c r="K36" s="12">
        <f t="shared" si="1"/>
        <v>0.8008008008</v>
      </c>
      <c r="L36" s="13">
        <f>IFERROR(__xludf.DUMMYFUNCTION("GOOGLEFINANCE(""CURRENCY:INRBRL"") * I36
"),11.71745320162)</f>
        <v>11.7174532</v>
      </c>
      <c r="M36" s="9">
        <v>4.52</v>
      </c>
      <c r="N36" s="9">
        <v>1075.0</v>
      </c>
      <c r="O36" s="9" t="s">
        <v>171</v>
      </c>
      <c r="P36" s="14" t="s">
        <v>172</v>
      </c>
      <c r="U36" s="17"/>
      <c r="V36" s="18"/>
      <c r="W36" s="16"/>
      <c r="X36" s="16"/>
      <c r="Y36" s="16"/>
    </row>
    <row r="37">
      <c r="A37" s="9" t="s">
        <v>173</v>
      </c>
      <c r="B37" s="10" t="s">
        <v>174</v>
      </c>
      <c r="C37" s="10" t="s">
        <v>18</v>
      </c>
      <c r="D37" s="10" t="s">
        <v>19</v>
      </c>
      <c r="E37" s="10" t="s">
        <v>20</v>
      </c>
      <c r="F37" s="10" t="s">
        <v>21</v>
      </c>
      <c r="G37" s="10" t="s">
        <v>22</v>
      </c>
      <c r="H37" s="10" t="s">
        <v>23</v>
      </c>
      <c r="I37" s="11">
        <v>99.0</v>
      </c>
      <c r="J37" s="11">
        <v>999.0</v>
      </c>
      <c r="K37" s="12">
        <f t="shared" si="1"/>
        <v>0.9009009009</v>
      </c>
      <c r="L37" s="13">
        <f>IFERROR(__xludf.DUMMYFUNCTION("GOOGLEFINANCE(""CURRENCY:INRBRL"") * I37
"),5.82928576362)</f>
        <v>5.829285764</v>
      </c>
      <c r="M37" s="9">
        <v>4.52</v>
      </c>
      <c r="N37" s="9">
        <v>24871.0</v>
      </c>
      <c r="O37" s="9" t="s">
        <v>175</v>
      </c>
      <c r="P37" s="14" t="s">
        <v>176</v>
      </c>
      <c r="U37" s="17"/>
      <c r="V37" s="18"/>
      <c r="W37" s="16"/>
      <c r="X37" s="16"/>
      <c r="Y37" s="16"/>
    </row>
    <row r="38">
      <c r="A38" s="9" t="s">
        <v>177</v>
      </c>
      <c r="B38" s="10" t="s">
        <v>178</v>
      </c>
      <c r="C38" s="10" t="s">
        <v>18</v>
      </c>
      <c r="D38" s="10" t="s">
        <v>19</v>
      </c>
      <c r="E38" s="10" t="s">
        <v>20</v>
      </c>
      <c r="F38" s="10" t="s">
        <v>21</v>
      </c>
      <c r="G38" s="10" t="s">
        <v>22</v>
      </c>
      <c r="H38" s="10" t="s">
        <v>23</v>
      </c>
      <c r="I38" s="11">
        <v>899.0</v>
      </c>
      <c r="J38" s="11">
        <v>1900.0</v>
      </c>
      <c r="K38" s="12">
        <f t="shared" si="1"/>
        <v>0.5268421053</v>
      </c>
      <c r="L38" s="13">
        <f>IFERROR(__xludf.DUMMYFUNCTION("GOOGLEFINANCE(""CURRENCY:INRBRL"") * I38
"),52.93462526762)</f>
        <v>52.93462527</v>
      </c>
      <c r="M38" s="9">
        <v>4.5</v>
      </c>
      <c r="N38" s="9">
        <v>13552.0</v>
      </c>
      <c r="O38" s="9" t="s">
        <v>179</v>
      </c>
      <c r="P38" s="14" t="s">
        <v>180</v>
      </c>
      <c r="U38" s="17"/>
      <c r="V38" s="18"/>
      <c r="W38" s="16"/>
      <c r="X38" s="16"/>
      <c r="Y38" s="16"/>
    </row>
    <row r="39">
      <c r="A39" s="9" t="s">
        <v>181</v>
      </c>
      <c r="B39" s="10" t="s">
        <v>182</v>
      </c>
      <c r="C39" s="10" t="s">
        <v>18</v>
      </c>
      <c r="D39" s="10" t="s">
        <v>19</v>
      </c>
      <c r="E39" s="10" t="s">
        <v>20</v>
      </c>
      <c r="F39" s="10" t="s">
        <v>21</v>
      </c>
      <c r="G39" s="10" t="s">
        <v>22</v>
      </c>
      <c r="H39" s="10" t="s">
        <v>23</v>
      </c>
      <c r="I39" s="11">
        <v>199.0</v>
      </c>
      <c r="J39" s="11">
        <v>999.0</v>
      </c>
      <c r="K39" s="12">
        <f t="shared" si="1"/>
        <v>0.8008008008</v>
      </c>
      <c r="L39" s="13">
        <f>IFERROR(__xludf.DUMMYFUNCTION("GOOGLEFINANCE(""CURRENCY:INRBRL"") * I39
"),11.71745320162)</f>
        <v>11.7174532</v>
      </c>
      <c r="M39" s="9">
        <v>4.0</v>
      </c>
      <c r="N39" s="9">
        <v>576.0</v>
      </c>
      <c r="O39" s="9" t="s">
        <v>183</v>
      </c>
      <c r="P39" s="14" t="s">
        <v>184</v>
      </c>
      <c r="U39" s="17"/>
      <c r="V39" s="18"/>
      <c r="W39" s="16"/>
      <c r="X39" s="16"/>
      <c r="Y39" s="16"/>
    </row>
    <row r="40">
      <c r="A40" s="9" t="s">
        <v>185</v>
      </c>
      <c r="B40" s="10" t="s">
        <v>186</v>
      </c>
      <c r="C40" s="10" t="s">
        <v>96</v>
      </c>
      <c r="D40" s="10" t="s">
        <v>77</v>
      </c>
      <c r="E40" s="10" t="s">
        <v>78</v>
      </c>
      <c r="F40" s="10" t="s">
        <v>97</v>
      </c>
      <c r="G40" s="10" t="s">
        <v>98</v>
      </c>
      <c r="H40" s="10"/>
      <c r="I40" s="11">
        <v>32999.0</v>
      </c>
      <c r="J40" s="11">
        <v>45999.0</v>
      </c>
      <c r="K40" s="12">
        <f t="shared" si="1"/>
        <v>0.2826148395</v>
      </c>
      <c r="L40" s="13">
        <f>IFERROR(__xludf.DUMMYFUNCTION("GOOGLEFINANCE(""CURRENCY:INRBRL"") * I40
"),1943.03637286562)</f>
        <v>1943.036373</v>
      </c>
      <c r="M40" s="9">
        <v>4.5</v>
      </c>
      <c r="N40" s="9">
        <v>7298.0</v>
      </c>
      <c r="O40" s="9" t="s">
        <v>187</v>
      </c>
      <c r="P40" s="14" t="s">
        <v>188</v>
      </c>
      <c r="U40" s="17"/>
      <c r="V40" s="18"/>
      <c r="W40" s="16"/>
      <c r="X40" s="16"/>
      <c r="Y40" s="16"/>
    </row>
    <row r="41">
      <c r="A41" s="9" t="s">
        <v>189</v>
      </c>
      <c r="B41" s="10" t="s">
        <v>190</v>
      </c>
      <c r="C41" s="10" t="s">
        <v>18</v>
      </c>
      <c r="D41" s="10" t="s">
        <v>19</v>
      </c>
      <c r="E41" s="10" t="s">
        <v>20</v>
      </c>
      <c r="F41" s="10" t="s">
        <v>21</v>
      </c>
      <c r="G41" s="10" t="s">
        <v>22</v>
      </c>
      <c r="H41" s="10" t="s">
        <v>23</v>
      </c>
      <c r="I41" s="11">
        <v>970.0</v>
      </c>
      <c r="J41" s="11">
        <v>1999.0</v>
      </c>
      <c r="K41" s="12">
        <f t="shared" si="1"/>
        <v>0.5147573787</v>
      </c>
      <c r="L41" s="13">
        <f>IFERROR(__xludf.DUMMYFUNCTION("GOOGLEFINANCE(""CURRENCY:INRBRL"") * I41
"),57.1152241486)</f>
        <v>57.11522415</v>
      </c>
      <c r="M41" s="9">
        <v>4.5</v>
      </c>
      <c r="N41" s="9">
        <v>462.0</v>
      </c>
      <c r="O41" s="9" t="s">
        <v>191</v>
      </c>
      <c r="P41" s="14" t="s">
        <v>192</v>
      </c>
      <c r="U41" s="17"/>
      <c r="V41" s="18"/>
      <c r="W41" s="16"/>
      <c r="X41" s="16"/>
      <c r="Y41" s="16"/>
    </row>
    <row r="42">
      <c r="A42" s="9" t="s">
        <v>193</v>
      </c>
      <c r="B42" s="10" t="s">
        <v>194</v>
      </c>
      <c r="C42" s="10" t="s">
        <v>18</v>
      </c>
      <c r="D42" s="10" t="s">
        <v>19</v>
      </c>
      <c r="E42" s="10" t="s">
        <v>20</v>
      </c>
      <c r="F42" s="10" t="s">
        <v>21</v>
      </c>
      <c r="G42" s="10" t="s">
        <v>22</v>
      </c>
      <c r="H42" s="10" t="s">
        <v>23</v>
      </c>
      <c r="I42" s="11">
        <v>209.0</v>
      </c>
      <c r="J42" s="11">
        <v>695.0</v>
      </c>
      <c r="K42" s="12">
        <f t="shared" si="1"/>
        <v>0.6992805755</v>
      </c>
      <c r="L42" s="13">
        <f>IFERROR(__xludf.DUMMYFUNCTION("GOOGLEFINANCE(""CURRENCY:INRBRL"") * I42
"),12.30626994542)</f>
        <v>12.30626995</v>
      </c>
      <c r="M42" s="9">
        <v>4.51</v>
      </c>
      <c r="N42" s="9">
        <v>1070687.0</v>
      </c>
      <c r="O42" s="9" t="s">
        <v>195</v>
      </c>
      <c r="P42" s="14" t="s">
        <v>196</v>
      </c>
      <c r="U42" s="17"/>
      <c r="V42" s="18"/>
      <c r="W42" s="16"/>
      <c r="X42" s="16"/>
      <c r="Y42" s="16"/>
    </row>
    <row r="43">
      <c r="A43" s="9" t="s">
        <v>197</v>
      </c>
      <c r="B43" s="10" t="s">
        <v>198</v>
      </c>
      <c r="C43" s="10" t="s">
        <v>96</v>
      </c>
      <c r="D43" s="10" t="s">
        <v>77</v>
      </c>
      <c r="E43" s="10" t="s">
        <v>78</v>
      </c>
      <c r="F43" s="10" t="s">
        <v>97</v>
      </c>
      <c r="G43" s="10" t="s">
        <v>98</v>
      </c>
      <c r="H43" s="10"/>
      <c r="I43" s="11">
        <v>19999.0</v>
      </c>
      <c r="J43" s="11">
        <v>34999.0</v>
      </c>
      <c r="K43" s="12">
        <f t="shared" si="1"/>
        <v>0.4285836738</v>
      </c>
      <c r="L43" s="13">
        <f>IFERROR(__xludf.DUMMYFUNCTION("GOOGLEFINANCE(""CURRENCY:INRBRL"") * I43
"),1177.57460592562)</f>
        <v>1177.574606</v>
      </c>
      <c r="M43" s="9">
        <v>4.5</v>
      </c>
      <c r="N43" s="9">
        <v>27151.0</v>
      </c>
      <c r="O43" s="9" t="s">
        <v>199</v>
      </c>
      <c r="P43" s="14" t="s">
        <v>200</v>
      </c>
      <c r="U43" s="17"/>
      <c r="V43" s="18"/>
      <c r="W43" s="16"/>
      <c r="X43" s="16"/>
      <c r="Y43" s="16"/>
    </row>
    <row r="44">
      <c r="A44" s="9" t="s">
        <v>201</v>
      </c>
      <c r="B44" s="10" t="s">
        <v>202</v>
      </c>
      <c r="C44" s="10" t="s">
        <v>18</v>
      </c>
      <c r="D44" s="10" t="s">
        <v>19</v>
      </c>
      <c r="E44" s="10" t="s">
        <v>20</v>
      </c>
      <c r="F44" s="10" t="s">
        <v>21</v>
      </c>
      <c r="G44" s="10" t="s">
        <v>22</v>
      </c>
      <c r="H44" s="10" t="s">
        <v>23</v>
      </c>
      <c r="I44" s="11">
        <v>399.0</v>
      </c>
      <c r="J44" s="11">
        <v>1099.0</v>
      </c>
      <c r="K44" s="12">
        <f t="shared" si="1"/>
        <v>0.6369426752</v>
      </c>
      <c r="L44" s="13">
        <f>IFERROR(__xludf.DUMMYFUNCTION("GOOGLEFINANCE(""CURRENCY:INRBRL"") * I44
"),23.49378807762)</f>
        <v>23.49378808</v>
      </c>
      <c r="M44" s="9">
        <v>4.5</v>
      </c>
      <c r="N44" s="9">
        <v>24269.0</v>
      </c>
      <c r="O44" s="9" t="s">
        <v>203</v>
      </c>
      <c r="P44" s="14" t="s">
        <v>204</v>
      </c>
      <c r="U44" s="17"/>
      <c r="V44" s="18"/>
      <c r="W44" s="16"/>
      <c r="X44" s="16"/>
      <c r="Y44" s="16"/>
    </row>
    <row r="45">
      <c r="A45" s="9" t="s">
        <v>205</v>
      </c>
      <c r="B45" s="10" t="s">
        <v>206</v>
      </c>
      <c r="C45" s="10" t="s">
        <v>56</v>
      </c>
      <c r="D45" s="10" t="s">
        <v>19</v>
      </c>
      <c r="E45" s="10" t="s">
        <v>57</v>
      </c>
      <c r="F45" s="10" t="s">
        <v>58</v>
      </c>
      <c r="G45" s="10" t="s">
        <v>59</v>
      </c>
      <c r="H45" s="10"/>
      <c r="I45" s="11">
        <v>999.0</v>
      </c>
      <c r="J45" s="11">
        <v>1599.0</v>
      </c>
      <c r="K45" s="12">
        <f t="shared" si="1"/>
        <v>0.3752345216</v>
      </c>
      <c r="L45" s="13">
        <f>IFERROR(__xludf.DUMMYFUNCTION("GOOGLEFINANCE(""CURRENCY:INRBRL"") * I45
"),58.822792705619996)</f>
        <v>58.82279271</v>
      </c>
      <c r="M45" s="9">
        <v>4.5</v>
      </c>
      <c r="N45" s="9">
        <v>12093.0</v>
      </c>
      <c r="O45" s="9" t="s">
        <v>207</v>
      </c>
      <c r="P45" s="14" t="s">
        <v>208</v>
      </c>
      <c r="U45" s="17"/>
      <c r="V45" s="18"/>
      <c r="W45" s="16"/>
      <c r="X45" s="16"/>
      <c r="Y45" s="16"/>
    </row>
    <row r="46">
      <c r="A46" s="9" t="s">
        <v>209</v>
      </c>
      <c r="B46" s="10" t="s">
        <v>210</v>
      </c>
      <c r="C46" s="10" t="s">
        <v>18</v>
      </c>
      <c r="D46" s="10" t="s">
        <v>19</v>
      </c>
      <c r="E46" s="10" t="s">
        <v>20</v>
      </c>
      <c r="F46" s="10" t="s">
        <v>21</v>
      </c>
      <c r="G46" s="10" t="s">
        <v>22</v>
      </c>
      <c r="H46" s="10" t="s">
        <v>23</v>
      </c>
      <c r="I46" s="11">
        <v>59.0</v>
      </c>
      <c r="J46" s="11">
        <v>199.0</v>
      </c>
      <c r="K46" s="12">
        <f t="shared" si="1"/>
        <v>0.7035175879</v>
      </c>
      <c r="L46" s="13">
        <f>IFERROR(__xludf.DUMMYFUNCTION("GOOGLEFINANCE(""CURRENCY:INRBRL"") * I46
"),3.47401878842)</f>
        <v>3.474018788</v>
      </c>
      <c r="M46" s="9">
        <v>4.0</v>
      </c>
      <c r="N46" s="9">
        <v>9378.0</v>
      </c>
      <c r="O46" s="9" t="s">
        <v>211</v>
      </c>
      <c r="P46" s="14" t="s">
        <v>212</v>
      </c>
      <c r="U46" s="17"/>
      <c r="V46" s="18"/>
      <c r="W46" s="16"/>
      <c r="X46" s="16"/>
      <c r="Y46" s="16"/>
    </row>
    <row r="47">
      <c r="A47" s="9" t="s">
        <v>213</v>
      </c>
      <c r="B47" s="10" t="s">
        <v>214</v>
      </c>
      <c r="C47" s="10" t="s">
        <v>18</v>
      </c>
      <c r="D47" s="10" t="s">
        <v>19</v>
      </c>
      <c r="E47" s="10" t="s">
        <v>20</v>
      </c>
      <c r="F47" s="10" t="s">
        <v>21</v>
      </c>
      <c r="G47" s="10" t="s">
        <v>22</v>
      </c>
      <c r="H47" s="10" t="s">
        <v>23</v>
      </c>
      <c r="I47" s="11">
        <v>333.0</v>
      </c>
      <c r="J47" s="11">
        <v>999.0</v>
      </c>
      <c r="K47" s="12">
        <f t="shared" si="1"/>
        <v>0.6666666667</v>
      </c>
      <c r="L47" s="13">
        <f>IFERROR(__xludf.DUMMYFUNCTION("GOOGLEFINANCE(""CURRENCY:INRBRL"") * I47
"),19.60759756854)</f>
        <v>19.60759757</v>
      </c>
      <c r="M47" s="9">
        <v>4.5</v>
      </c>
      <c r="N47" s="9">
        <v>9792.0</v>
      </c>
      <c r="O47" s="9" t="s">
        <v>215</v>
      </c>
      <c r="P47" s="14" t="s">
        <v>216</v>
      </c>
      <c r="U47" s="17"/>
      <c r="V47" s="18"/>
      <c r="W47" s="16"/>
      <c r="X47" s="16"/>
      <c r="Y47" s="16"/>
    </row>
    <row r="48">
      <c r="A48" s="9" t="s">
        <v>217</v>
      </c>
      <c r="B48" s="10" t="s">
        <v>218</v>
      </c>
      <c r="C48" s="10" t="s">
        <v>56</v>
      </c>
      <c r="D48" s="10" t="s">
        <v>19</v>
      </c>
      <c r="E48" s="10" t="s">
        <v>57</v>
      </c>
      <c r="F48" s="10" t="s">
        <v>58</v>
      </c>
      <c r="G48" s="10" t="s">
        <v>59</v>
      </c>
      <c r="H48" s="10"/>
      <c r="I48" s="11">
        <v>507.0</v>
      </c>
      <c r="J48" s="11">
        <v>1208.0</v>
      </c>
      <c r="K48" s="12">
        <f t="shared" si="1"/>
        <v>0.5802980132</v>
      </c>
      <c r="L48" s="13">
        <f>IFERROR(__xludf.DUMMYFUNCTION("GOOGLEFINANCE(""CURRENCY:INRBRL"") * I48
"),29.853008910659998)</f>
        <v>29.85300891</v>
      </c>
      <c r="M48" s="9">
        <v>4.49</v>
      </c>
      <c r="N48" s="9">
        <v>8131.0</v>
      </c>
      <c r="O48" s="9" t="s">
        <v>219</v>
      </c>
      <c r="P48" s="14" t="s">
        <v>220</v>
      </c>
      <c r="U48" s="17"/>
      <c r="V48" s="18"/>
      <c r="W48" s="16"/>
      <c r="X48" s="16"/>
      <c r="Y48" s="16"/>
    </row>
    <row r="49">
      <c r="A49" s="9" t="s">
        <v>221</v>
      </c>
      <c r="B49" s="10" t="s">
        <v>222</v>
      </c>
      <c r="C49" s="10" t="s">
        <v>76</v>
      </c>
      <c r="D49" s="10" t="s">
        <v>77</v>
      </c>
      <c r="E49" s="10" t="s">
        <v>78</v>
      </c>
      <c r="F49" s="10" t="s">
        <v>79</v>
      </c>
      <c r="G49" s="10" t="s">
        <v>22</v>
      </c>
      <c r="H49" s="10" t="s">
        <v>80</v>
      </c>
      <c r="I49" s="11">
        <v>309.0</v>
      </c>
      <c r="J49" s="11">
        <v>475.0</v>
      </c>
      <c r="K49" s="12">
        <f t="shared" si="1"/>
        <v>0.3494736842</v>
      </c>
      <c r="L49" s="13">
        <f>IFERROR(__xludf.DUMMYFUNCTION("GOOGLEFINANCE(""CURRENCY:INRBRL"") * I49
"),18.19443738342)</f>
        <v>18.19443738</v>
      </c>
      <c r="M49" s="9">
        <v>4.5</v>
      </c>
      <c r="N49" s="9">
        <v>426973.0</v>
      </c>
      <c r="O49" s="9" t="s">
        <v>223</v>
      </c>
      <c r="P49" s="14" t="s">
        <v>224</v>
      </c>
      <c r="U49" s="17"/>
      <c r="V49" s="18"/>
      <c r="W49" s="16"/>
      <c r="X49" s="16"/>
      <c r="Y49" s="16"/>
    </row>
    <row r="50">
      <c r="A50" s="9" t="s">
        <v>225</v>
      </c>
      <c r="B50" s="10" t="s">
        <v>226</v>
      </c>
      <c r="C50" s="10" t="s">
        <v>227</v>
      </c>
      <c r="D50" s="10" t="s">
        <v>77</v>
      </c>
      <c r="E50" s="10" t="s">
        <v>78</v>
      </c>
      <c r="F50" s="10" t="s">
        <v>79</v>
      </c>
      <c r="G50" s="10" t="s">
        <v>228</v>
      </c>
      <c r="H50" s="10"/>
      <c r="I50" s="11">
        <v>399.0</v>
      </c>
      <c r="J50" s="11">
        <v>999.0</v>
      </c>
      <c r="K50" s="12">
        <f t="shared" si="1"/>
        <v>0.6006006006</v>
      </c>
      <c r="L50" s="13">
        <f>IFERROR(__xludf.DUMMYFUNCTION("GOOGLEFINANCE(""CURRENCY:INRBRL"") * I50
"),23.49378807762)</f>
        <v>23.49378808</v>
      </c>
      <c r="M50" s="9">
        <v>4.51</v>
      </c>
      <c r="N50" s="9">
        <v>493.0</v>
      </c>
      <c r="O50" s="9" t="s">
        <v>229</v>
      </c>
      <c r="P50" s="14" t="s">
        <v>230</v>
      </c>
      <c r="U50" s="17"/>
      <c r="V50" s="18"/>
      <c r="W50" s="16"/>
      <c r="X50" s="16"/>
      <c r="Y50" s="16"/>
    </row>
    <row r="51">
      <c r="A51" s="9" t="s">
        <v>231</v>
      </c>
      <c r="B51" s="10" t="s">
        <v>232</v>
      </c>
      <c r="C51" s="10" t="s">
        <v>18</v>
      </c>
      <c r="D51" s="10" t="s">
        <v>19</v>
      </c>
      <c r="E51" s="10" t="s">
        <v>20</v>
      </c>
      <c r="F51" s="10" t="s">
        <v>21</v>
      </c>
      <c r="G51" s="10" t="s">
        <v>22</v>
      </c>
      <c r="H51" s="10" t="s">
        <v>23</v>
      </c>
      <c r="I51" s="11">
        <v>199.0</v>
      </c>
      <c r="J51" s="11">
        <v>395.0</v>
      </c>
      <c r="K51" s="12">
        <f t="shared" si="1"/>
        <v>0.4962025316</v>
      </c>
      <c r="L51" s="13">
        <f>IFERROR(__xludf.DUMMYFUNCTION("GOOGLEFINANCE(""CURRENCY:INRBRL"") * I51
"),11.71745320162)</f>
        <v>11.7174532</v>
      </c>
      <c r="M51" s="9">
        <v>4.5</v>
      </c>
      <c r="N51" s="9">
        <v>92595.0</v>
      </c>
      <c r="O51" s="9" t="s">
        <v>233</v>
      </c>
      <c r="P51" s="14" t="s">
        <v>234</v>
      </c>
      <c r="U51" s="17"/>
      <c r="V51" s="18"/>
      <c r="W51" s="16"/>
      <c r="X51" s="16"/>
      <c r="Y51" s="16"/>
    </row>
    <row r="52">
      <c r="A52" s="9" t="s">
        <v>235</v>
      </c>
      <c r="B52" s="10" t="s">
        <v>236</v>
      </c>
      <c r="C52" s="10" t="s">
        <v>56</v>
      </c>
      <c r="D52" s="10" t="s">
        <v>19</v>
      </c>
      <c r="E52" s="10" t="s">
        <v>57</v>
      </c>
      <c r="F52" s="10" t="s">
        <v>58</v>
      </c>
      <c r="G52" s="10" t="s">
        <v>59</v>
      </c>
      <c r="H52" s="10"/>
      <c r="I52" s="11">
        <v>1199.0</v>
      </c>
      <c r="J52" s="11">
        <v>2199.0</v>
      </c>
      <c r="K52" s="12">
        <f t="shared" si="1"/>
        <v>0.4547521601</v>
      </c>
      <c r="L52" s="13">
        <f>IFERROR(__xludf.DUMMYFUNCTION("GOOGLEFINANCE(""CURRENCY:INRBRL"") * I52
"),70.59912758162)</f>
        <v>70.59912758</v>
      </c>
      <c r="M52" s="9">
        <v>4.5</v>
      </c>
      <c r="N52" s="9">
        <v>2478.0</v>
      </c>
      <c r="O52" s="9" t="s">
        <v>237</v>
      </c>
      <c r="P52" s="14" t="s">
        <v>238</v>
      </c>
      <c r="U52" s="17"/>
      <c r="V52" s="18"/>
      <c r="W52" s="16"/>
      <c r="X52" s="16"/>
      <c r="Y52" s="16"/>
    </row>
    <row r="53">
      <c r="A53" s="9" t="s">
        <v>239</v>
      </c>
      <c r="B53" s="10" t="s">
        <v>240</v>
      </c>
      <c r="C53" s="10" t="s">
        <v>18</v>
      </c>
      <c r="D53" s="10" t="s">
        <v>19</v>
      </c>
      <c r="E53" s="10" t="s">
        <v>20</v>
      </c>
      <c r="F53" s="10" t="s">
        <v>21</v>
      </c>
      <c r="G53" s="10" t="s">
        <v>22</v>
      </c>
      <c r="H53" s="10" t="s">
        <v>23</v>
      </c>
      <c r="I53" s="11">
        <v>179.0</v>
      </c>
      <c r="J53" s="11">
        <v>500.0</v>
      </c>
      <c r="K53" s="12">
        <f t="shared" si="1"/>
        <v>0.642</v>
      </c>
      <c r="L53" s="13">
        <f>IFERROR(__xludf.DUMMYFUNCTION("GOOGLEFINANCE(""CURRENCY:INRBRL"") * I53
"),10.53981971402)</f>
        <v>10.53981971</v>
      </c>
      <c r="M53" s="9">
        <v>4.5</v>
      </c>
      <c r="N53" s="9">
        <v>92595.0</v>
      </c>
      <c r="O53" s="9" t="s">
        <v>241</v>
      </c>
      <c r="P53" s="14" t="s">
        <v>242</v>
      </c>
      <c r="U53" s="17"/>
      <c r="V53" s="18"/>
      <c r="W53" s="16"/>
      <c r="X53" s="16"/>
      <c r="Y53" s="16"/>
    </row>
    <row r="54">
      <c r="A54" s="9" t="s">
        <v>243</v>
      </c>
      <c r="B54" s="10" t="s">
        <v>244</v>
      </c>
      <c r="C54" s="10" t="s">
        <v>18</v>
      </c>
      <c r="D54" s="10" t="s">
        <v>19</v>
      </c>
      <c r="E54" s="10" t="s">
        <v>20</v>
      </c>
      <c r="F54" s="10" t="s">
        <v>21</v>
      </c>
      <c r="G54" s="10" t="s">
        <v>22</v>
      </c>
      <c r="H54" s="10" t="s">
        <v>23</v>
      </c>
      <c r="I54" s="11">
        <v>799.0</v>
      </c>
      <c r="J54" s="11">
        <v>2100.0</v>
      </c>
      <c r="K54" s="12">
        <f t="shared" si="1"/>
        <v>0.6195238095</v>
      </c>
      <c r="L54" s="13">
        <f>IFERROR(__xludf.DUMMYFUNCTION("GOOGLEFINANCE(""CURRENCY:INRBRL"") * I54
"),47.046457829619996)</f>
        <v>47.04645783</v>
      </c>
      <c r="M54" s="9">
        <v>4.5</v>
      </c>
      <c r="N54" s="9">
        <v>8188.0</v>
      </c>
      <c r="O54" s="9" t="s">
        <v>245</v>
      </c>
      <c r="P54" s="14" t="s">
        <v>246</v>
      </c>
      <c r="U54" s="17"/>
      <c r="V54" s="18"/>
      <c r="W54" s="16"/>
      <c r="X54" s="16"/>
      <c r="Y54" s="16"/>
    </row>
    <row r="55">
      <c r="A55" s="9" t="s">
        <v>247</v>
      </c>
      <c r="B55" s="10" t="s">
        <v>248</v>
      </c>
      <c r="C55" s="10" t="s">
        <v>249</v>
      </c>
      <c r="D55" s="10" t="s">
        <v>77</v>
      </c>
      <c r="E55" s="10" t="s">
        <v>78</v>
      </c>
      <c r="F55" s="10" t="s">
        <v>97</v>
      </c>
      <c r="G55" s="10" t="s">
        <v>250</v>
      </c>
      <c r="H55" s="10"/>
      <c r="I55" s="11">
        <v>6999.0</v>
      </c>
      <c r="J55" s="11">
        <v>12999.0</v>
      </c>
      <c r="K55" s="12">
        <f t="shared" si="1"/>
        <v>0.4615739672</v>
      </c>
      <c r="L55" s="13">
        <f>IFERROR(__xludf.DUMMYFUNCTION("GOOGLEFINANCE(""CURRENCY:INRBRL"") * I55
"),412.11283898562)</f>
        <v>412.112839</v>
      </c>
      <c r="M55" s="9">
        <v>4.5</v>
      </c>
      <c r="N55" s="9">
        <v>4003.0</v>
      </c>
      <c r="O55" s="9" t="s">
        <v>251</v>
      </c>
      <c r="P55" s="14" t="s">
        <v>252</v>
      </c>
      <c r="U55" s="17"/>
      <c r="V55" s="18"/>
      <c r="W55" s="16"/>
      <c r="X55" s="16"/>
      <c r="Y55" s="16"/>
    </row>
    <row r="56">
      <c r="A56" s="9" t="s">
        <v>253</v>
      </c>
      <c r="B56" s="10" t="s">
        <v>254</v>
      </c>
      <c r="C56" s="10" t="s">
        <v>18</v>
      </c>
      <c r="D56" s="10" t="s">
        <v>19</v>
      </c>
      <c r="E56" s="10" t="s">
        <v>20</v>
      </c>
      <c r="F56" s="10" t="s">
        <v>21</v>
      </c>
      <c r="G56" s="10" t="s">
        <v>22</v>
      </c>
      <c r="H56" s="10" t="s">
        <v>23</v>
      </c>
      <c r="I56" s="11">
        <v>199.0</v>
      </c>
      <c r="J56" s="11">
        <v>349.0</v>
      </c>
      <c r="K56" s="12">
        <f t="shared" si="1"/>
        <v>0.4297994269</v>
      </c>
      <c r="L56" s="13">
        <f>IFERROR(__xludf.DUMMYFUNCTION("GOOGLEFINANCE(""CURRENCY:INRBRL"") * I56
"),11.71745320162)</f>
        <v>11.7174532</v>
      </c>
      <c r="M56" s="9">
        <v>4.49</v>
      </c>
      <c r="N56" s="9">
        <v>314.0</v>
      </c>
      <c r="O56" s="9" t="s">
        <v>255</v>
      </c>
      <c r="P56" s="14" t="s">
        <v>256</v>
      </c>
      <c r="U56" s="17"/>
      <c r="V56" s="18"/>
      <c r="W56" s="16"/>
      <c r="X56" s="16"/>
      <c r="Y56" s="16"/>
    </row>
    <row r="57">
      <c r="A57" s="9" t="s">
        <v>257</v>
      </c>
      <c r="B57" s="10" t="s">
        <v>258</v>
      </c>
      <c r="C57" s="10" t="s">
        <v>227</v>
      </c>
      <c r="D57" s="10" t="s">
        <v>77</v>
      </c>
      <c r="E57" s="10" t="s">
        <v>78</v>
      </c>
      <c r="F57" s="10" t="s">
        <v>79</v>
      </c>
      <c r="G57" s="10" t="s">
        <v>228</v>
      </c>
      <c r="H57" s="10"/>
      <c r="I57" s="11">
        <v>230.0</v>
      </c>
      <c r="J57" s="11">
        <v>499.0</v>
      </c>
      <c r="K57" s="12">
        <f t="shared" si="1"/>
        <v>0.5390781563</v>
      </c>
      <c r="L57" s="13">
        <f>IFERROR(__xludf.DUMMYFUNCTION("GOOGLEFINANCE(""CURRENCY:INRBRL"") * I57
"),13.5427851074)</f>
        <v>13.54278511</v>
      </c>
      <c r="M57" s="9">
        <v>4.51</v>
      </c>
      <c r="N57" s="9">
        <v>296.0</v>
      </c>
      <c r="O57" s="9" t="s">
        <v>259</v>
      </c>
      <c r="P57" s="14" t="s">
        <v>260</v>
      </c>
      <c r="U57" s="17"/>
      <c r="V57" s="18"/>
      <c r="W57" s="16"/>
      <c r="X57" s="16"/>
      <c r="Y57" s="16"/>
    </row>
    <row r="58">
      <c r="A58" s="9" t="s">
        <v>261</v>
      </c>
      <c r="B58" s="10" t="s">
        <v>262</v>
      </c>
      <c r="C58" s="10" t="s">
        <v>56</v>
      </c>
      <c r="D58" s="10" t="s">
        <v>19</v>
      </c>
      <c r="E58" s="10" t="s">
        <v>57</v>
      </c>
      <c r="F58" s="10" t="s">
        <v>58</v>
      </c>
      <c r="G58" s="10" t="s">
        <v>59</v>
      </c>
      <c r="H58" s="10"/>
      <c r="I58" s="11">
        <v>649.0</v>
      </c>
      <c r="J58" s="11">
        <v>1399.0</v>
      </c>
      <c r="K58" s="12">
        <f t="shared" si="1"/>
        <v>0.5360972123</v>
      </c>
      <c r="L58" s="13">
        <f>IFERROR(__xludf.DUMMYFUNCTION("GOOGLEFINANCE(""CURRENCY:INRBRL"") * I58
"),38.21420667262)</f>
        <v>38.21420667</v>
      </c>
      <c r="M58" s="9">
        <v>4.5</v>
      </c>
      <c r="N58" s="9">
        <v>179691.0</v>
      </c>
      <c r="O58" s="9" t="s">
        <v>263</v>
      </c>
      <c r="P58" s="14" t="s">
        <v>264</v>
      </c>
      <c r="U58" s="17"/>
      <c r="V58" s="18"/>
      <c r="W58" s="16"/>
      <c r="X58" s="16"/>
      <c r="Y58" s="16"/>
    </row>
    <row r="59">
      <c r="A59" s="9" t="s">
        <v>265</v>
      </c>
      <c r="B59" s="10" t="s">
        <v>266</v>
      </c>
      <c r="C59" s="10" t="s">
        <v>96</v>
      </c>
      <c r="D59" s="10" t="s">
        <v>77</v>
      </c>
      <c r="E59" s="10" t="s">
        <v>78</v>
      </c>
      <c r="F59" s="10" t="s">
        <v>97</v>
      </c>
      <c r="G59" s="10" t="s">
        <v>98</v>
      </c>
      <c r="H59" s="10"/>
      <c r="I59" s="11">
        <v>15999.0</v>
      </c>
      <c r="J59" s="11">
        <v>21999.0</v>
      </c>
      <c r="K59" s="12">
        <f t="shared" si="1"/>
        <v>0.27273967</v>
      </c>
      <c r="L59" s="13">
        <f>IFERROR(__xludf.DUMMYFUNCTION("GOOGLEFINANCE(""CURRENCY:INRBRL"") * I59
"),942.04790840562)</f>
        <v>942.0479084</v>
      </c>
      <c r="M59" s="9">
        <v>4.5</v>
      </c>
      <c r="N59" s="9">
        <v>34899.0</v>
      </c>
      <c r="O59" s="9" t="s">
        <v>267</v>
      </c>
      <c r="P59" s="14" t="s">
        <v>268</v>
      </c>
      <c r="U59" s="17"/>
      <c r="V59" s="18"/>
      <c r="W59" s="16"/>
      <c r="X59" s="16"/>
      <c r="Y59" s="16"/>
    </row>
    <row r="60">
      <c r="A60" s="9" t="s">
        <v>269</v>
      </c>
      <c r="B60" s="10" t="s">
        <v>270</v>
      </c>
      <c r="C60" s="10" t="s">
        <v>18</v>
      </c>
      <c r="D60" s="10" t="s">
        <v>19</v>
      </c>
      <c r="E60" s="10" t="s">
        <v>20</v>
      </c>
      <c r="F60" s="10" t="s">
        <v>21</v>
      </c>
      <c r="G60" s="10" t="s">
        <v>22</v>
      </c>
      <c r="H60" s="10" t="s">
        <v>23</v>
      </c>
      <c r="I60" s="11">
        <v>348.0</v>
      </c>
      <c r="J60" s="11">
        <v>1499.0</v>
      </c>
      <c r="K60" s="12">
        <f t="shared" si="1"/>
        <v>0.7678452302</v>
      </c>
      <c r="L60" s="13">
        <f>IFERROR(__xludf.DUMMYFUNCTION("GOOGLEFINANCE(""CURRENCY:INRBRL"") * I60
"),20.49082268424)</f>
        <v>20.49082268</v>
      </c>
      <c r="M60" s="9">
        <v>4.5</v>
      </c>
      <c r="N60" s="9">
        <v>656.0</v>
      </c>
      <c r="O60" s="9" t="s">
        <v>271</v>
      </c>
      <c r="P60" s="14" t="s">
        <v>272</v>
      </c>
      <c r="U60" s="17"/>
      <c r="V60" s="18"/>
      <c r="W60" s="16"/>
      <c r="X60" s="16"/>
      <c r="Y60" s="16"/>
    </row>
    <row r="61">
      <c r="A61" s="9" t="s">
        <v>273</v>
      </c>
      <c r="B61" s="10" t="s">
        <v>274</v>
      </c>
      <c r="C61" s="10" t="s">
        <v>18</v>
      </c>
      <c r="D61" s="10" t="s">
        <v>19</v>
      </c>
      <c r="E61" s="10" t="s">
        <v>20</v>
      </c>
      <c r="F61" s="10" t="s">
        <v>21</v>
      </c>
      <c r="G61" s="10" t="s">
        <v>22</v>
      </c>
      <c r="H61" s="10" t="s">
        <v>23</v>
      </c>
      <c r="I61" s="11">
        <v>154.0</v>
      </c>
      <c r="J61" s="11">
        <v>349.0</v>
      </c>
      <c r="K61" s="12">
        <f t="shared" si="1"/>
        <v>0.558739255</v>
      </c>
      <c r="L61" s="13">
        <f>IFERROR(__xludf.DUMMYFUNCTION("GOOGLEFINANCE(""CURRENCY:INRBRL"") * I61
"),9.06777785452)</f>
        <v>9.067777855</v>
      </c>
      <c r="M61" s="9">
        <v>4.5</v>
      </c>
      <c r="N61" s="9">
        <v>7064.0</v>
      </c>
      <c r="O61" s="9" t="s">
        <v>275</v>
      </c>
      <c r="P61" s="14" t="s">
        <v>276</v>
      </c>
      <c r="U61" s="17"/>
      <c r="V61" s="18"/>
      <c r="W61" s="16"/>
      <c r="X61" s="16"/>
      <c r="Y61" s="16"/>
    </row>
    <row r="62">
      <c r="A62" s="9" t="s">
        <v>277</v>
      </c>
      <c r="B62" s="10" t="s">
        <v>278</v>
      </c>
      <c r="C62" s="10" t="s">
        <v>227</v>
      </c>
      <c r="D62" s="10" t="s">
        <v>77</v>
      </c>
      <c r="E62" s="10" t="s">
        <v>78</v>
      </c>
      <c r="F62" s="10" t="s">
        <v>79</v>
      </c>
      <c r="G62" s="10" t="s">
        <v>228</v>
      </c>
      <c r="H62" s="10"/>
      <c r="I62" s="11">
        <v>179.0</v>
      </c>
      <c r="J62" s="11">
        <v>799.0</v>
      </c>
      <c r="K62" s="12">
        <f t="shared" si="1"/>
        <v>0.7759699625</v>
      </c>
      <c r="L62" s="13">
        <f>IFERROR(__xludf.DUMMYFUNCTION("GOOGLEFINANCE(""CURRENCY:INRBRL"") * I62
"),10.53981971402)</f>
        <v>10.53981971</v>
      </c>
      <c r="M62" s="9">
        <v>4.51</v>
      </c>
      <c r="N62" s="9">
        <v>2201.0</v>
      </c>
      <c r="O62" s="9" t="s">
        <v>279</v>
      </c>
      <c r="P62" s="14" t="s">
        <v>280</v>
      </c>
      <c r="U62" s="17"/>
      <c r="V62" s="18"/>
      <c r="W62" s="16"/>
      <c r="X62" s="16"/>
      <c r="Y62" s="16"/>
    </row>
    <row r="63">
      <c r="A63" s="9" t="s">
        <v>281</v>
      </c>
      <c r="B63" s="10" t="s">
        <v>282</v>
      </c>
      <c r="C63" s="10" t="s">
        <v>96</v>
      </c>
      <c r="D63" s="10" t="s">
        <v>77</v>
      </c>
      <c r="E63" s="10" t="s">
        <v>78</v>
      </c>
      <c r="F63" s="10" t="s">
        <v>97</v>
      </c>
      <c r="G63" s="10" t="s">
        <v>98</v>
      </c>
      <c r="H63" s="10"/>
      <c r="I63" s="11">
        <v>32990.0</v>
      </c>
      <c r="J63" s="11">
        <v>47900.0</v>
      </c>
      <c r="K63" s="12">
        <f t="shared" si="1"/>
        <v>0.3112734864</v>
      </c>
      <c r="L63" s="13">
        <f>IFERROR(__xludf.DUMMYFUNCTION("GOOGLEFINANCE(""CURRENCY:INRBRL"") * I63
"),1942.5064377961999)</f>
        <v>1942.506438</v>
      </c>
      <c r="M63" s="9">
        <v>4.5</v>
      </c>
      <c r="N63" s="9">
        <v>7109.0</v>
      </c>
      <c r="O63" s="9" t="s">
        <v>283</v>
      </c>
      <c r="P63" s="14" t="s">
        <v>284</v>
      </c>
      <c r="U63" s="17"/>
      <c r="V63" s="18"/>
      <c r="W63" s="16"/>
      <c r="X63" s="16"/>
      <c r="Y63" s="16"/>
    </row>
    <row r="64">
      <c r="A64" s="9" t="s">
        <v>285</v>
      </c>
      <c r="B64" s="10" t="s">
        <v>286</v>
      </c>
      <c r="C64" s="10" t="s">
        <v>18</v>
      </c>
      <c r="D64" s="10" t="s">
        <v>19</v>
      </c>
      <c r="E64" s="10" t="s">
        <v>20</v>
      </c>
      <c r="F64" s="10" t="s">
        <v>21</v>
      </c>
      <c r="G64" s="10" t="s">
        <v>22</v>
      </c>
      <c r="H64" s="10" t="s">
        <v>23</v>
      </c>
      <c r="I64" s="11">
        <v>139.0</v>
      </c>
      <c r="J64" s="11">
        <v>999.0</v>
      </c>
      <c r="K64" s="12">
        <f t="shared" si="1"/>
        <v>0.8608608609</v>
      </c>
      <c r="L64" s="13">
        <f>IFERROR(__xludf.DUMMYFUNCTION("GOOGLEFINANCE(""CURRENCY:INRBRL"") * I64
"),8.184552738819999)</f>
        <v>8.184552739</v>
      </c>
      <c r="M64" s="9">
        <v>4.0</v>
      </c>
      <c r="N64" s="9">
        <v>1313.0</v>
      </c>
      <c r="O64" s="9" t="s">
        <v>287</v>
      </c>
      <c r="P64" s="14" t="s">
        <v>288</v>
      </c>
      <c r="U64" s="17"/>
      <c r="V64" s="18"/>
      <c r="W64" s="16"/>
      <c r="X64" s="16"/>
      <c r="Y64" s="16"/>
    </row>
    <row r="65">
      <c r="A65" s="9" t="s">
        <v>289</v>
      </c>
      <c r="B65" s="10" t="s">
        <v>290</v>
      </c>
      <c r="C65" s="10" t="s">
        <v>18</v>
      </c>
      <c r="D65" s="10" t="s">
        <v>19</v>
      </c>
      <c r="E65" s="10" t="s">
        <v>20</v>
      </c>
      <c r="F65" s="10" t="s">
        <v>21</v>
      </c>
      <c r="G65" s="10" t="s">
        <v>22</v>
      </c>
      <c r="H65" s="10" t="s">
        <v>23</v>
      </c>
      <c r="I65" s="11">
        <v>329.0</v>
      </c>
      <c r="J65" s="11">
        <v>845.0</v>
      </c>
      <c r="K65" s="12">
        <f t="shared" si="1"/>
        <v>0.6106508876</v>
      </c>
      <c r="L65" s="13">
        <f>IFERROR(__xludf.DUMMYFUNCTION("GOOGLEFINANCE(""CURRENCY:INRBRL"") * I65
"),19.37207087102)</f>
        <v>19.37207087</v>
      </c>
      <c r="M65" s="9">
        <v>4.5</v>
      </c>
      <c r="N65" s="9">
        <v>29746.0</v>
      </c>
      <c r="O65" s="9" t="s">
        <v>291</v>
      </c>
      <c r="P65" s="14" t="s">
        <v>292</v>
      </c>
      <c r="U65" s="17"/>
      <c r="V65" s="18"/>
      <c r="W65" s="16"/>
      <c r="X65" s="16"/>
      <c r="Y65" s="16"/>
    </row>
    <row r="66">
      <c r="A66" s="9" t="s">
        <v>293</v>
      </c>
      <c r="B66" s="10" t="s">
        <v>294</v>
      </c>
      <c r="C66" s="10" t="s">
        <v>96</v>
      </c>
      <c r="D66" s="10" t="s">
        <v>77</v>
      </c>
      <c r="E66" s="10" t="s">
        <v>78</v>
      </c>
      <c r="F66" s="10" t="s">
        <v>97</v>
      </c>
      <c r="G66" s="10" t="s">
        <v>98</v>
      </c>
      <c r="H66" s="10"/>
      <c r="I66" s="11">
        <v>13999.0</v>
      </c>
      <c r="J66" s="11">
        <v>24999.0</v>
      </c>
      <c r="K66" s="12">
        <f t="shared" si="1"/>
        <v>0.4400176007</v>
      </c>
      <c r="L66" s="13">
        <f>IFERROR(__xludf.DUMMYFUNCTION("GOOGLEFINANCE(""CURRENCY:INRBRL"") * I66
"),824.28455964562)</f>
        <v>824.2845596</v>
      </c>
      <c r="M66" s="9">
        <v>4.5</v>
      </c>
      <c r="N66" s="9">
        <v>45238.0</v>
      </c>
      <c r="O66" s="9" t="s">
        <v>295</v>
      </c>
      <c r="P66" s="14" t="s">
        <v>296</v>
      </c>
      <c r="U66" s="17"/>
      <c r="V66" s="18"/>
      <c r="W66" s="16"/>
      <c r="X66" s="16"/>
      <c r="Y66" s="16"/>
    </row>
    <row r="67">
      <c r="A67" s="9" t="s">
        <v>297</v>
      </c>
      <c r="B67" s="10" t="s">
        <v>298</v>
      </c>
      <c r="C67" s="10" t="s">
        <v>76</v>
      </c>
      <c r="D67" s="10" t="s">
        <v>77</v>
      </c>
      <c r="E67" s="10" t="s">
        <v>78</v>
      </c>
      <c r="F67" s="10" t="s">
        <v>79</v>
      </c>
      <c r="G67" s="10" t="s">
        <v>22</v>
      </c>
      <c r="H67" s="10" t="s">
        <v>80</v>
      </c>
      <c r="I67" s="11">
        <v>309.0</v>
      </c>
      <c r="J67" s="11">
        <v>1400.0</v>
      </c>
      <c r="K67" s="12">
        <f t="shared" si="1"/>
        <v>0.7792857143</v>
      </c>
      <c r="L67" s="13">
        <f>IFERROR(__xludf.DUMMYFUNCTION("GOOGLEFINANCE(""CURRENCY:INRBRL"") * I67
"),18.19443738342)</f>
        <v>18.19443738</v>
      </c>
      <c r="M67" s="9">
        <v>4.5</v>
      </c>
      <c r="N67" s="9">
        <v>426973.0</v>
      </c>
      <c r="O67" s="9" t="s">
        <v>299</v>
      </c>
      <c r="P67" s="14" t="s">
        <v>300</v>
      </c>
      <c r="U67" s="17"/>
      <c r="V67" s="18"/>
      <c r="W67" s="16"/>
      <c r="X67" s="16"/>
      <c r="Y67" s="16"/>
    </row>
    <row r="68">
      <c r="A68" s="9" t="s">
        <v>301</v>
      </c>
      <c r="B68" s="10" t="s">
        <v>302</v>
      </c>
      <c r="C68" s="10" t="s">
        <v>18</v>
      </c>
      <c r="D68" s="10" t="s">
        <v>19</v>
      </c>
      <c r="E68" s="10" t="s">
        <v>20</v>
      </c>
      <c r="F68" s="10" t="s">
        <v>21</v>
      </c>
      <c r="G68" s="10" t="s">
        <v>22</v>
      </c>
      <c r="H68" s="10" t="s">
        <v>23</v>
      </c>
      <c r="I68" s="11">
        <v>263.0</v>
      </c>
      <c r="J68" s="11">
        <v>699.0</v>
      </c>
      <c r="K68" s="12">
        <f t="shared" si="1"/>
        <v>0.6237482117</v>
      </c>
      <c r="L68" s="13">
        <f>IFERROR(__xludf.DUMMYFUNCTION("GOOGLEFINANCE(""CURRENCY:INRBRL"") * I68
"),15.48588036194)</f>
        <v>15.48588036</v>
      </c>
      <c r="M68" s="9">
        <v>4.49</v>
      </c>
      <c r="N68" s="9">
        <v>450.0</v>
      </c>
      <c r="O68" s="9" t="s">
        <v>303</v>
      </c>
      <c r="P68" s="14" t="s">
        <v>304</v>
      </c>
      <c r="U68" s="17"/>
      <c r="V68" s="18"/>
      <c r="W68" s="16"/>
      <c r="X68" s="16"/>
      <c r="Y68" s="16"/>
    </row>
    <row r="69">
      <c r="A69" s="9" t="s">
        <v>305</v>
      </c>
      <c r="B69" s="10" t="s">
        <v>306</v>
      </c>
      <c r="C69" s="10" t="s">
        <v>249</v>
      </c>
      <c r="D69" s="10" t="s">
        <v>77</v>
      </c>
      <c r="E69" s="10" t="s">
        <v>78</v>
      </c>
      <c r="F69" s="10" t="s">
        <v>97</v>
      </c>
      <c r="G69" s="10" t="s">
        <v>250</v>
      </c>
      <c r="H69" s="10"/>
      <c r="I69" s="11">
        <v>7999.0</v>
      </c>
      <c r="J69" s="11">
        <v>14990.0</v>
      </c>
      <c r="K69" s="12">
        <f t="shared" si="1"/>
        <v>0.4663775851</v>
      </c>
      <c r="L69" s="13">
        <f>IFERROR(__xludf.DUMMYFUNCTION("GOOGLEFINANCE(""CURRENCY:INRBRL"") * I69
"),470.99451336562)</f>
        <v>470.9945134</v>
      </c>
      <c r="M69" s="9">
        <v>4.5</v>
      </c>
      <c r="N69" s="9">
        <v>457.0</v>
      </c>
      <c r="O69" s="9" t="s">
        <v>307</v>
      </c>
      <c r="P69" s="14" t="s">
        <v>308</v>
      </c>
      <c r="U69" s="17"/>
      <c r="V69" s="18"/>
      <c r="W69" s="16"/>
      <c r="X69" s="16"/>
      <c r="Y69" s="16"/>
    </row>
    <row r="70">
      <c r="A70" s="9" t="s">
        <v>309</v>
      </c>
      <c r="B70" s="10" t="s">
        <v>310</v>
      </c>
      <c r="C70" s="10" t="s">
        <v>311</v>
      </c>
      <c r="D70" s="10" t="s">
        <v>77</v>
      </c>
      <c r="E70" s="10" t="s">
        <v>78</v>
      </c>
      <c r="F70" s="10" t="s">
        <v>79</v>
      </c>
      <c r="G70" s="10" t="s">
        <v>312</v>
      </c>
      <c r="H70" s="10" t="s">
        <v>313</v>
      </c>
      <c r="I70" s="11">
        <v>1599.0</v>
      </c>
      <c r="J70" s="11">
        <v>2999.0</v>
      </c>
      <c r="K70" s="12">
        <f t="shared" si="1"/>
        <v>0.4668222741</v>
      </c>
      <c r="L70" s="13">
        <f>IFERROR(__xludf.DUMMYFUNCTION("GOOGLEFINANCE(""CURRENCY:INRBRL"") * I70
"),94.15179733362)</f>
        <v>94.15179733</v>
      </c>
      <c r="M70" s="9">
        <v>4.5</v>
      </c>
      <c r="N70" s="9">
        <v>2727.0</v>
      </c>
      <c r="O70" s="9" t="s">
        <v>314</v>
      </c>
      <c r="P70" s="14" t="s">
        <v>315</v>
      </c>
      <c r="U70" s="17"/>
      <c r="V70" s="18"/>
      <c r="W70" s="16"/>
      <c r="X70" s="16"/>
      <c r="Y70" s="16"/>
    </row>
    <row r="71">
      <c r="A71" s="9" t="s">
        <v>316</v>
      </c>
      <c r="B71" s="10" t="s">
        <v>317</v>
      </c>
      <c r="C71" s="10" t="s">
        <v>18</v>
      </c>
      <c r="D71" s="10" t="s">
        <v>19</v>
      </c>
      <c r="E71" s="10" t="s">
        <v>20</v>
      </c>
      <c r="F71" s="10" t="s">
        <v>21</v>
      </c>
      <c r="G71" s="10" t="s">
        <v>22</v>
      </c>
      <c r="H71" s="10" t="s">
        <v>23</v>
      </c>
      <c r="I71" s="11">
        <v>219.0</v>
      </c>
      <c r="J71" s="11">
        <v>700.0</v>
      </c>
      <c r="K71" s="12">
        <f t="shared" si="1"/>
        <v>0.6871428571</v>
      </c>
      <c r="L71" s="13">
        <f>IFERROR(__xludf.DUMMYFUNCTION("GOOGLEFINANCE(""CURRENCY:INRBRL"") * I71
"),12.89508668922)</f>
        <v>12.89508669</v>
      </c>
      <c r="M71" s="9">
        <v>4.5</v>
      </c>
      <c r="N71" s="9">
        <v>20053.0</v>
      </c>
      <c r="O71" s="9" t="s">
        <v>318</v>
      </c>
      <c r="P71" s="14" t="s">
        <v>319</v>
      </c>
      <c r="U71" s="17"/>
      <c r="V71" s="18"/>
      <c r="W71" s="16"/>
      <c r="X71" s="16"/>
      <c r="Y71" s="16"/>
    </row>
    <row r="72">
      <c r="A72" s="9" t="s">
        <v>320</v>
      </c>
      <c r="B72" s="10" t="s">
        <v>321</v>
      </c>
      <c r="C72" s="10" t="s">
        <v>18</v>
      </c>
      <c r="D72" s="10" t="s">
        <v>19</v>
      </c>
      <c r="E72" s="10" t="s">
        <v>20</v>
      </c>
      <c r="F72" s="10" t="s">
        <v>21</v>
      </c>
      <c r="G72" s="10" t="s">
        <v>22</v>
      </c>
      <c r="H72" s="10" t="s">
        <v>23</v>
      </c>
      <c r="I72" s="11">
        <v>349.0</v>
      </c>
      <c r="J72" s="11">
        <v>899.0</v>
      </c>
      <c r="K72" s="12">
        <f t="shared" si="1"/>
        <v>0.6117908788</v>
      </c>
      <c r="L72" s="13">
        <f>IFERROR(__xludf.DUMMYFUNCTION("GOOGLEFINANCE(""CURRENCY:INRBRL"") * I72
"),20.549704358619998)</f>
        <v>20.54970436</v>
      </c>
      <c r="M72" s="9">
        <v>4.51</v>
      </c>
      <c r="N72" s="9">
        <v>149.0</v>
      </c>
      <c r="O72" s="9" t="s">
        <v>322</v>
      </c>
      <c r="P72" s="14" t="s">
        <v>323</v>
      </c>
      <c r="U72" s="17"/>
      <c r="V72" s="18"/>
      <c r="W72" s="16"/>
      <c r="X72" s="16"/>
      <c r="Y72" s="16"/>
    </row>
    <row r="73">
      <c r="A73" s="9" t="s">
        <v>324</v>
      </c>
      <c r="B73" s="10" t="s">
        <v>325</v>
      </c>
      <c r="C73" s="10" t="s">
        <v>18</v>
      </c>
      <c r="D73" s="10" t="s">
        <v>19</v>
      </c>
      <c r="E73" s="10" t="s">
        <v>20</v>
      </c>
      <c r="F73" s="10" t="s">
        <v>21</v>
      </c>
      <c r="G73" s="10" t="s">
        <v>22</v>
      </c>
      <c r="H73" s="10" t="s">
        <v>23</v>
      </c>
      <c r="I73" s="11">
        <v>349.0</v>
      </c>
      <c r="J73" s="11">
        <v>599.0</v>
      </c>
      <c r="K73" s="12">
        <f t="shared" si="1"/>
        <v>0.4173622705</v>
      </c>
      <c r="L73" s="13">
        <f>IFERROR(__xludf.DUMMYFUNCTION("GOOGLEFINANCE(""CURRENCY:INRBRL"") * I73
"),20.549704358619998)</f>
        <v>20.54970436</v>
      </c>
      <c r="M73" s="9">
        <v>4.49</v>
      </c>
      <c r="N73" s="9">
        <v>210.0</v>
      </c>
      <c r="O73" s="9" t="s">
        <v>326</v>
      </c>
      <c r="P73" s="14" t="s">
        <v>327</v>
      </c>
      <c r="U73" s="17"/>
      <c r="V73" s="18"/>
      <c r="W73" s="16"/>
      <c r="X73" s="16"/>
      <c r="Y73" s="16"/>
    </row>
    <row r="74">
      <c r="A74" s="9" t="s">
        <v>328</v>
      </c>
      <c r="B74" s="10" t="s">
        <v>329</v>
      </c>
      <c r="C74" s="10" t="s">
        <v>96</v>
      </c>
      <c r="D74" s="10" t="s">
        <v>77</v>
      </c>
      <c r="E74" s="10" t="s">
        <v>78</v>
      </c>
      <c r="F74" s="10" t="s">
        <v>97</v>
      </c>
      <c r="G74" s="10" t="s">
        <v>98</v>
      </c>
      <c r="H74" s="10"/>
      <c r="I74" s="11">
        <v>26999.0</v>
      </c>
      <c r="J74" s="11">
        <v>42999.0</v>
      </c>
      <c r="K74" s="12">
        <f t="shared" si="1"/>
        <v>0.3721016768</v>
      </c>
      <c r="L74" s="13">
        <f>IFERROR(__xludf.DUMMYFUNCTION("GOOGLEFINANCE(""CURRENCY:INRBRL"") * I74
"),1589.74632658562)</f>
        <v>1589.746327</v>
      </c>
      <c r="M74" s="9">
        <v>4.5</v>
      </c>
      <c r="N74" s="9">
        <v>45238.0</v>
      </c>
      <c r="O74" s="9" t="s">
        <v>330</v>
      </c>
      <c r="P74" s="14" t="s">
        <v>331</v>
      </c>
      <c r="U74" s="17"/>
      <c r="V74" s="18"/>
      <c r="W74" s="16"/>
      <c r="X74" s="16"/>
      <c r="Y74" s="16"/>
    </row>
    <row r="75">
      <c r="A75" s="9" t="s">
        <v>332</v>
      </c>
      <c r="B75" s="10" t="s">
        <v>333</v>
      </c>
      <c r="C75" s="10" t="s">
        <v>18</v>
      </c>
      <c r="D75" s="10" t="s">
        <v>19</v>
      </c>
      <c r="E75" s="10" t="s">
        <v>20</v>
      </c>
      <c r="F75" s="10" t="s">
        <v>21</v>
      </c>
      <c r="G75" s="10" t="s">
        <v>22</v>
      </c>
      <c r="H75" s="10" t="s">
        <v>23</v>
      </c>
      <c r="I75" s="11">
        <v>115.0</v>
      </c>
      <c r="J75" s="11">
        <v>499.0</v>
      </c>
      <c r="K75" s="12">
        <f t="shared" si="1"/>
        <v>0.7695390782</v>
      </c>
      <c r="L75" s="13">
        <f>IFERROR(__xludf.DUMMYFUNCTION("GOOGLEFINANCE(""CURRENCY:INRBRL"") * I75
"),6.7713925537)</f>
        <v>6.771392554</v>
      </c>
      <c r="M75" s="9">
        <v>4.0</v>
      </c>
      <c r="N75" s="9">
        <v>7732.0</v>
      </c>
      <c r="O75" s="9" t="s">
        <v>334</v>
      </c>
      <c r="P75" s="14" t="s">
        <v>335</v>
      </c>
      <c r="U75" s="17"/>
      <c r="V75" s="18"/>
      <c r="W75" s="16"/>
      <c r="X75" s="16"/>
      <c r="Y75" s="16"/>
    </row>
    <row r="76">
      <c r="A76" s="9" t="s">
        <v>336</v>
      </c>
      <c r="B76" s="10" t="s">
        <v>337</v>
      </c>
      <c r="C76" s="10" t="s">
        <v>18</v>
      </c>
      <c r="D76" s="10" t="s">
        <v>19</v>
      </c>
      <c r="E76" s="10" t="s">
        <v>20</v>
      </c>
      <c r="F76" s="10" t="s">
        <v>21</v>
      </c>
      <c r="G76" s="10" t="s">
        <v>22</v>
      </c>
      <c r="H76" s="10" t="s">
        <v>23</v>
      </c>
      <c r="I76" s="11">
        <v>399.0</v>
      </c>
      <c r="J76" s="11">
        <v>999.0</v>
      </c>
      <c r="K76" s="12">
        <f t="shared" si="1"/>
        <v>0.6006006006</v>
      </c>
      <c r="L76" s="13">
        <f>IFERROR(__xludf.DUMMYFUNCTION("GOOGLEFINANCE(""CURRENCY:INRBRL"") * I76
"),23.49378807762)</f>
        <v>23.49378808</v>
      </c>
      <c r="M76" s="9">
        <v>4.49</v>
      </c>
      <c r="N76" s="9">
        <v>178.0</v>
      </c>
      <c r="O76" s="9" t="s">
        <v>338</v>
      </c>
      <c r="P76" s="14" t="s">
        <v>339</v>
      </c>
      <c r="U76" s="17"/>
      <c r="V76" s="18"/>
      <c r="W76" s="16"/>
      <c r="X76" s="16"/>
      <c r="Y76" s="16"/>
    </row>
    <row r="77">
      <c r="A77" s="9" t="s">
        <v>340</v>
      </c>
      <c r="B77" s="10" t="s">
        <v>341</v>
      </c>
      <c r="C77" s="10" t="s">
        <v>18</v>
      </c>
      <c r="D77" s="10" t="s">
        <v>19</v>
      </c>
      <c r="E77" s="10" t="s">
        <v>20</v>
      </c>
      <c r="F77" s="10" t="s">
        <v>21</v>
      </c>
      <c r="G77" s="10" t="s">
        <v>22</v>
      </c>
      <c r="H77" s="10" t="s">
        <v>23</v>
      </c>
      <c r="I77" s="11">
        <v>199.0</v>
      </c>
      <c r="J77" s="11">
        <v>499.0</v>
      </c>
      <c r="K77" s="12">
        <f t="shared" si="1"/>
        <v>0.6012024048</v>
      </c>
      <c r="L77" s="13">
        <f>IFERROR(__xludf.DUMMYFUNCTION("GOOGLEFINANCE(""CURRENCY:INRBRL"") * I77
"),11.71745320162)</f>
        <v>11.7174532</v>
      </c>
      <c r="M77" s="9">
        <v>4.49</v>
      </c>
      <c r="N77" s="9">
        <v>602.0</v>
      </c>
      <c r="O77" s="9" t="s">
        <v>342</v>
      </c>
      <c r="P77" s="14" t="s">
        <v>343</v>
      </c>
      <c r="U77" s="17"/>
      <c r="V77" s="18"/>
      <c r="W77" s="16"/>
      <c r="X77" s="16"/>
      <c r="Y77" s="16"/>
    </row>
    <row r="78">
      <c r="A78" s="9" t="s">
        <v>344</v>
      </c>
      <c r="B78" s="10" t="s">
        <v>345</v>
      </c>
      <c r="C78" s="10" t="s">
        <v>18</v>
      </c>
      <c r="D78" s="10" t="s">
        <v>19</v>
      </c>
      <c r="E78" s="10" t="s">
        <v>20</v>
      </c>
      <c r="F78" s="10" t="s">
        <v>21</v>
      </c>
      <c r="G78" s="10" t="s">
        <v>22</v>
      </c>
      <c r="H78" s="10" t="s">
        <v>23</v>
      </c>
      <c r="I78" s="11">
        <v>179.0</v>
      </c>
      <c r="J78" s="11">
        <v>399.0</v>
      </c>
      <c r="K78" s="12">
        <f t="shared" si="1"/>
        <v>0.5513784461</v>
      </c>
      <c r="L78" s="13">
        <f>IFERROR(__xludf.DUMMYFUNCTION("GOOGLEFINANCE(""CURRENCY:INRBRL"") * I78
"),10.53981971402)</f>
        <v>10.53981971</v>
      </c>
      <c r="M78" s="9">
        <v>4.0</v>
      </c>
      <c r="N78" s="9">
        <v>1423.0</v>
      </c>
      <c r="O78" s="9" t="s">
        <v>346</v>
      </c>
      <c r="P78" s="14" t="s">
        <v>347</v>
      </c>
      <c r="U78" s="17"/>
      <c r="V78" s="18"/>
      <c r="W78" s="16"/>
      <c r="X78" s="16"/>
      <c r="Y78" s="16"/>
    </row>
    <row r="79">
      <c r="A79" s="9" t="s">
        <v>348</v>
      </c>
      <c r="B79" s="10" t="s">
        <v>349</v>
      </c>
      <c r="C79" s="10" t="s">
        <v>96</v>
      </c>
      <c r="D79" s="10" t="s">
        <v>77</v>
      </c>
      <c r="E79" s="10" t="s">
        <v>78</v>
      </c>
      <c r="F79" s="10" t="s">
        <v>97</v>
      </c>
      <c r="G79" s="10" t="s">
        <v>98</v>
      </c>
      <c r="H79" s="10"/>
      <c r="I79" s="11">
        <v>10901.0</v>
      </c>
      <c r="J79" s="11">
        <v>30990.0</v>
      </c>
      <c r="K79" s="12">
        <f t="shared" si="1"/>
        <v>0.6482413682</v>
      </c>
      <c r="L79" s="13">
        <f>IFERROR(__xludf.DUMMYFUNCTION("GOOGLEFINANCE(""CURRENCY:INRBRL"") * I79
"),641.86913241638)</f>
        <v>641.8691324</v>
      </c>
      <c r="M79" s="9">
        <v>4.49</v>
      </c>
      <c r="N79" s="9">
        <v>398.0</v>
      </c>
      <c r="O79" s="9" t="s">
        <v>350</v>
      </c>
      <c r="P79" s="14" t="s">
        <v>351</v>
      </c>
      <c r="U79" s="17"/>
      <c r="V79" s="18"/>
      <c r="W79" s="16"/>
      <c r="X79" s="16"/>
      <c r="Y79" s="16"/>
    </row>
    <row r="80">
      <c r="A80" s="9" t="s">
        <v>352</v>
      </c>
      <c r="B80" s="10" t="s">
        <v>353</v>
      </c>
      <c r="C80" s="10" t="s">
        <v>18</v>
      </c>
      <c r="D80" s="10" t="s">
        <v>19</v>
      </c>
      <c r="E80" s="10" t="s">
        <v>20</v>
      </c>
      <c r="F80" s="10" t="s">
        <v>21</v>
      </c>
      <c r="G80" s="10" t="s">
        <v>22</v>
      </c>
      <c r="H80" s="10" t="s">
        <v>23</v>
      </c>
      <c r="I80" s="11">
        <v>209.0</v>
      </c>
      <c r="J80" s="11">
        <v>499.0</v>
      </c>
      <c r="K80" s="12">
        <f t="shared" si="1"/>
        <v>0.5811623246</v>
      </c>
      <c r="L80" s="13">
        <f>IFERROR(__xludf.DUMMYFUNCTION("GOOGLEFINANCE(""CURRENCY:INRBRL"") * I80
"),12.30626994542)</f>
        <v>12.30626995</v>
      </c>
      <c r="M80" s="9">
        <v>4.52</v>
      </c>
      <c r="N80" s="9">
        <v>536.0</v>
      </c>
      <c r="O80" s="9" t="s">
        <v>354</v>
      </c>
      <c r="P80" s="14" t="s">
        <v>355</v>
      </c>
      <c r="U80" s="17"/>
      <c r="V80" s="18"/>
      <c r="W80" s="16"/>
      <c r="X80" s="16"/>
      <c r="Y80" s="16"/>
    </row>
    <row r="81">
      <c r="A81" s="9" t="s">
        <v>356</v>
      </c>
      <c r="B81" s="10" t="s">
        <v>357</v>
      </c>
      <c r="C81" s="10" t="s">
        <v>227</v>
      </c>
      <c r="D81" s="10" t="s">
        <v>77</v>
      </c>
      <c r="E81" s="10" t="s">
        <v>78</v>
      </c>
      <c r="F81" s="10" t="s">
        <v>79</v>
      </c>
      <c r="G81" s="10" t="s">
        <v>228</v>
      </c>
      <c r="H81" s="10"/>
      <c r="I81" s="11">
        <v>1434.0</v>
      </c>
      <c r="J81" s="11">
        <v>3999.0</v>
      </c>
      <c r="K81" s="12">
        <f t="shared" si="1"/>
        <v>0.6414103526</v>
      </c>
      <c r="L81" s="13">
        <f>IFERROR(__xludf.DUMMYFUNCTION("GOOGLEFINANCE(""CURRENCY:INRBRL"") * I81
"),84.43632106092)</f>
        <v>84.43632106</v>
      </c>
      <c r="M81" s="9">
        <v>4.0</v>
      </c>
      <c r="N81" s="9">
        <v>32.0</v>
      </c>
      <c r="O81" s="9" t="s">
        <v>358</v>
      </c>
      <c r="P81" s="14" t="s">
        <v>359</v>
      </c>
      <c r="U81" s="17"/>
      <c r="V81" s="18"/>
      <c r="W81" s="16"/>
      <c r="X81" s="16"/>
      <c r="Y81" s="16"/>
    </row>
    <row r="82">
      <c r="A82" s="9" t="s">
        <v>360</v>
      </c>
      <c r="B82" s="10" t="s">
        <v>361</v>
      </c>
      <c r="C82" s="10" t="s">
        <v>18</v>
      </c>
      <c r="D82" s="10" t="s">
        <v>19</v>
      </c>
      <c r="E82" s="10" t="s">
        <v>20</v>
      </c>
      <c r="F82" s="10" t="s">
        <v>21</v>
      </c>
      <c r="G82" s="10" t="s">
        <v>22</v>
      </c>
      <c r="H82" s="10" t="s">
        <v>23</v>
      </c>
      <c r="I82" s="11">
        <v>399.0</v>
      </c>
      <c r="J82" s="11">
        <v>1099.0</v>
      </c>
      <c r="K82" s="12">
        <f t="shared" si="1"/>
        <v>0.6369426752</v>
      </c>
      <c r="L82" s="13">
        <f>IFERROR(__xludf.DUMMYFUNCTION("GOOGLEFINANCE(""CURRENCY:INRBRL"") * I82
"),23.49378807762)</f>
        <v>23.49378808</v>
      </c>
      <c r="M82" s="9">
        <v>4.5</v>
      </c>
      <c r="N82" s="9">
        <v>24269.0</v>
      </c>
      <c r="O82" s="9" t="s">
        <v>362</v>
      </c>
      <c r="P82" s="14" t="s">
        <v>363</v>
      </c>
      <c r="U82" s="17"/>
      <c r="V82" s="18"/>
      <c r="W82" s="16"/>
      <c r="X82" s="16"/>
      <c r="Y82" s="16"/>
    </row>
    <row r="83">
      <c r="A83" s="9" t="s">
        <v>364</v>
      </c>
      <c r="B83" s="10" t="s">
        <v>365</v>
      </c>
      <c r="C83" s="10" t="s">
        <v>18</v>
      </c>
      <c r="D83" s="10" t="s">
        <v>19</v>
      </c>
      <c r="E83" s="10" t="s">
        <v>20</v>
      </c>
      <c r="F83" s="10" t="s">
        <v>21</v>
      </c>
      <c r="G83" s="10" t="s">
        <v>22</v>
      </c>
      <c r="H83" s="10" t="s">
        <v>23</v>
      </c>
      <c r="I83" s="11">
        <v>139.0</v>
      </c>
      <c r="J83" s="11">
        <v>249.0</v>
      </c>
      <c r="K83" s="12">
        <f t="shared" si="1"/>
        <v>0.4417670683</v>
      </c>
      <c r="L83" s="13">
        <f>IFERROR(__xludf.DUMMYFUNCTION("GOOGLEFINANCE(""CURRENCY:INRBRL"") * I83
"),8.184552738819999)</f>
        <v>8.184552739</v>
      </c>
      <c r="M83" s="9">
        <v>4.0</v>
      </c>
      <c r="N83" s="9">
        <v>9378.0</v>
      </c>
      <c r="O83" s="9" t="s">
        <v>366</v>
      </c>
      <c r="P83" s="14" t="s">
        <v>367</v>
      </c>
      <c r="U83" s="17"/>
      <c r="V83" s="18"/>
      <c r="W83" s="16"/>
      <c r="X83" s="16"/>
      <c r="Y83" s="16"/>
    </row>
    <row r="84">
      <c r="A84" s="9" t="s">
        <v>368</v>
      </c>
      <c r="B84" s="10" t="s">
        <v>369</v>
      </c>
      <c r="C84" s="10" t="s">
        <v>96</v>
      </c>
      <c r="D84" s="10" t="s">
        <v>77</v>
      </c>
      <c r="E84" s="10" t="s">
        <v>78</v>
      </c>
      <c r="F84" s="10" t="s">
        <v>97</v>
      </c>
      <c r="G84" s="10" t="s">
        <v>98</v>
      </c>
      <c r="H84" s="10"/>
      <c r="I84" s="11">
        <v>7299.0</v>
      </c>
      <c r="J84" s="11">
        <v>19125.0</v>
      </c>
      <c r="K84" s="12">
        <f t="shared" si="1"/>
        <v>0.6183529412</v>
      </c>
      <c r="L84" s="13">
        <f>IFERROR(__xludf.DUMMYFUNCTION("GOOGLEFINANCE(""CURRENCY:INRBRL"") * I84
"),429.77734129962)</f>
        <v>429.7773413</v>
      </c>
      <c r="M84" s="9">
        <v>4.5</v>
      </c>
      <c r="N84" s="9">
        <v>902.0</v>
      </c>
      <c r="O84" s="9" t="s">
        <v>370</v>
      </c>
      <c r="P84" s="14" t="s">
        <v>371</v>
      </c>
      <c r="U84" s="17"/>
      <c r="V84" s="18"/>
      <c r="W84" s="16"/>
      <c r="X84" s="16"/>
      <c r="Y84" s="16"/>
    </row>
    <row r="85">
      <c r="A85" s="9" t="s">
        <v>372</v>
      </c>
      <c r="B85" s="10" t="s">
        <v>373</v>
      </c>
      <c r="C85" s="10" t="s">
        <v>18</v>
      </c>
      <c r="D85" s="10" t="s">
        <v>19</v>
      </c>
      <c r="E85" s="10" t="s">
        <v>20</v>
      </c>
      <c r="F85" s="10" t="s">
        <v>21</v>
      </c>
      <c r="G85" s="10" t="s">
        <v>22</v>
      </c>
      <c r="H85" s="10" t="s">
        <v>23</v>
      </c>
      <c r="I85" s="11">
        <v>299.0</v>
      </c>
      <c r="J85" s="11">
        <v>799.0</v>
      </c>
      <c r="K85" s="12">
        <f t="shared" si="1"/>
        <v>0.6257822278</v>
      </c>
      <c r="L85" s="13">
        <f>IFERROR(__xludf.DUMMYFUNCTION("GOOGLEFINANCE(""CURRENCY:INRBRL"") * I85
"),17.60562063962)</f>
        <v>17.60562064</v>
      </c>
      <c r="M85" s="9">
        <v>4.5</v>
      </c>
      <c r="N85" s="9">
        <v>28791.0</v>
      </c>
      <c r="O85" s="9" t="s">
        <v>374</v>
      </c>
      <c r="P85" s="14" t="s">
        <v>375</v>
      </c>
      <c r="U85" s="17"/>
      <c r="V85" s="18"/>
      <c r="W85" s="16"/>
      <c r="X85" s="16"/>
      <c r="Y85" s="16"/>
    </row>
    <row r="86">
      <c r="A86" s="9" t="s">
        <v>376</v>
      </c>
      <c r="B86" s="10" t="s">
        <v>377</v>
      </c>
      <c r="C86" s="10" t="s">
        <v>18</v>
      </c>
      <c r="D86" s="10" t="s">
        <v>19</v>
      </c>
      <c r="E86" s="10" t="s">
        <v>20</v>
      </c>
      <c r="F86" s="10" t="s">
        <v>21</v>
      </c>
      <c r="G86" s="10" t="s">
        <v>22</v>
      </c>
      <c r="H86" s="10" t="s">
        <v>23</v>
      </c>
      <c r="I86" s="11">
        <v>325.0</v>
      </c>
      <c r="J86" s="11">
        <v>1299.0</v>
      </c>
      <c r="K86" s="12">
        <f t="shared" si="1"/>
        <v>0.7498075443</v>
      </c>
      <c r="L86" s="13">
        <f>IFERROR(__xludf.DUMMYFUNCTION("GOOGLEFINANCE(""CURRENCY:INRBRL"") * I86
"),19.1365441735)</f>
        <v>19.13654417</v>
      </c>
      <c r="M86" s="9">
        <v>4.5</v>
      </c>
      <c r="N86" s="9">
        <v>10576.0</v>
      </c>
      <c r="O86" s="9" t="s">
        <v>378</v>
      </c>
      <c r="P86" s="14" t="s">
        <v>379</v>
      </c>
      <c r="U86" s="17"/>
      <c r="V86" s="18"/>
      <c r="W86" s="16"/>
      <c r="X86" s="16"/>
      <c r="Y86" s="16"/>
    </row>
    <row r="87">
      <c r="A87" s="9" t="s">
        <v>380</v>
      </c>
      <c r="B87" s="10" t="s">
        <v>381</v>
      </c>
      <c r="C87" s="10" t="s">
        <v>96</v>
      </c>
      <c r="D87" s="10" t="s">
        <v>77</v>
      </c>
      <c r="E87" s="10" t="s">
        <v>78</v>
      </c>
      <c r="F87" s="10" t="s">
        <v>97</v>
      </c>
      <c r="G87" s="10" t="s">
        <v>98</v>
      </c>
      <c r="H87" s="10"/>
      <c r="I87" s="11">
        <v>29999.0</v>
      </c>
      <c r="J87" s="11">
        <v>39999.0</v>
      </c>
      <c r="K87" s="12">
        <f t="shared" si="1"/>
        <v>0.2500062502</v>
      </c>
      <c r="L87" s="13">
        <f>IFERROR(__xludf.DUMMYFUNCTION("GOOGLEFINANCE(""CURRENCY:INRBRL"") * I87
"),1766.3913497256199)</f>
        <v>1766.39135</v>
      </c>
      <c r="M87" s="9">
        <v>4.5</v>
      </c>
      <c r="N87" s="9">
        <v>7298.0</v>
      </c>
      <c r="O87" s="9" t="s">
        <v>382</v>
      </c>
      <c r="P87" s="14" t="s">
        <v>383</v>
      </c>
      <c r="U87" s="17"/>
      <c r="V87" s="18"/>
      <c r="W87" s="16"/>
      <c r="X87" s="16"/>
      <c r="Y87" s="16"/>
    </row>
    <row r="88">
      <c r="A88" s="9" t="s">
        <v>384</v>
      </c>
      <c r="B88" s="10" t="s">
        <v>385</v>
      </c>
      <c r="C88" s="10" t="s">
        <v>96</v>
      </c>
      <c r="D88" s="10" t="s">
        <v>77</v>
      </c>
      <c r="E88" s="10" t="s">
        <v>78</v>
      </c>
      <c r="F88" s="10" t="s">
        <v>97</v>
      </c>
      <c r="G88" s="10" t="s">
        <v>98</v>
      </c>
      <c r="H88" s="10"/>
      <c r="I88" s="11">
        <v>27999.0</v>
      </c>
      <c r="J88" s="11">
        <v>40990.0</v>
      </c>
      <c r="K88" s="12">
        <f t="shared" si="1"/>
        <v>0.3169309588</v>
      </c>
      <c r="L88" s="13">
        <f>IFERROR(__xludf.DUMMYFUNCTION("GOOGLEFINANCE(""CURRENCY:INRBRL"") * I88
"),1648.62800096562)</f>
        <v>1648.628001</v>
      </c>
      <c r="M88" s="9">
        <v>4.5</v>
      </c>
      <c r="N88" s="9">
        <v>4703.0</v>
      </c>
      <c r="O88" s="9" t="s">
        <v>386</v>
      </c>
      <c r="P88" s="14" t="s">
        <v>387</v>
      </c>
      <c r="U88" s="17"/>
      <c r="V88" s="18"/>
      <c r="W88" s="16"/>
      <c r="X88" s="16"/>
      <c r="Y88" s="16"/>
    </row>
    <row r="89">
      <c r="A89" s="9" t="s">
        <v>388</v>
      </c>
      <c r="B89" s="10" t="s">
        <v>389</v>
      </c>
      <c r="C89" s="10" t="s">
        <v>96</v>
      </c>
      <c r="D89" s="10" t="s">
        <v>77</v>
      </c>
      <c r="E89" s="10" t="s">
        <v>78</v>
      </c>
      <c r="F89" s="10" t="s">
        <v>97</v>
      </c>
      <c r="G89" s="10" t="s">
        <v>98</v>
      </c>
      <c r="H89" s="10"/>
      <c r="I89" s="11">
        <v>30990.0</v>
      </c>
      <c r="J89" s="11">
        <v>52990.0</v>
      </c>
      <c r="K89" s="12">
        <f t="shared" si="1"/>
        <v>0.4151726741</v>
      </c>
      <c r="L89" s="13">
        <f>IFERROR(__xludf.DUMMYFUNCTION("GOOGLEFINANCE(""CURRENCY:INRBRL"") * I89
"),1824.7430890362)</f>
        <v>1824.743089</v>
      </c>
      <c r="M89" s="9">
        <v>4.5</v>
      </c>
      <c r="N89" s="9">
        <v>7109.0</v>
      </c>
      <c r="O89" s="9" t="s">
        <v>390</v>
      </c>
      <c r="P89" s="14" t="s">
        <v>391</v>
      </c>
      <c r="U89" s="17"/>
      <c r="V89" s="18"/>
      <c r="W89" s="16"/>
      <c r="X89" s="16"/>
      <c r="Y89" s="16"/>
    </row>
    <row r="90">
      <c r="A90" s="9" t="s">
        <v>392</v>
      </c>
      <c r="B90" s="10" t="s">
        <v>393</v>
      </c>
      <c r="C90" s="10" t="s">
        <v>18</v>
      </c>
      <c r="D90" s="10" t="s">
        <v>19</v>
      </c>
      <c r="E90" s="10" t="s">
        <v>20</v>
      </c>
      <c r="F90" s="10" t="s">
        <v>21</v>
      </c>
      <c r="G90" s="10" t="s">
        <v>22</v>
      </c>
      <c r="H90" s="10" t="s">
        <v>23</v>
      </c>
      <c r="I90" s="11">
        <v>199.0</v>
      </c>
      <c r="J90" s="11">
        <v>999.0</v>
      </c>
      <c r="K90" s="12">
        <f t="shared" si="1"/>
        <v>0.8008008008</v>
      </c>
      <c r="L90" s="13">
        <f>IFERROR(__xludf.DUMMYFUNCTION("GOOGLEFINANCE(""CURRENCY:INRBRL"") * I90
"),11.71745320162)</f>
        <v>11.7174532</v>
      </c>
      <c r="M90" s="9">
        <v>4.51</v>
      </c>
      <c r="N90" s="9">
        <v>127.0</v>
      </c>
      <c r="O90" s="9" t="s">
        <v>394</v>
      </c>
      <c r="P90" s="14" t="s">
        <v>395</v>
      </c>
      <c r="U90" s="17"/>
      <c r="V90" s="18"/>
      <c r="W90" s="16"/>
      <c r="X90" s="16"/>
      <c r="Y90" s="16"/>
    </row>
    <row r="91">
      <c r="A91" s="9" t="s">
        <v>396</v>
      </c>
      <c r="B91" s="10" t="s">
        <v>397</v>
      </c>
      <c r="C91" s="10" t="s">
        <v>18</v>
      </c>
      <c r="D91" s="10" t="s">
        <v>19</v>
      </c>
      <c r="E91" s="10" t="s">
        <v>20</v>
      </c>
      <c r="F91" s="10" t="s">
        <v>21</v>
      </c>
      <c r="G91" s="10" t="s">
        <v>22</v>
      </c>
      <c r="H91" s="10" t="s">
        <v>23</v>
      </c>
      <c r="I91" s="11">
        <v>649.0</v>
      </c>
      <c r="J91" s="11">
        <v>1999.0</v>
      </c>
      <c r="K91" s="12">
        <f t="shared" si="1"/>
        <v>0.6753376688</v>
      </c>
      <c r="L91" s="13">
        <f>IFERROR(__xludf.DUMMYFUNCTION("GOOGLEFINANCE(""CURRENCY:INRBRL"") * I91
"),38.21420667262)</f>
        <v>38.21420667</v>
      </c>
      <c r="M91" s="9">
        <v>4.5</v>
      </c>
      <c r="N91" s="9">
        <v>24269.0</v>
      </c>
      <c r="O91" s="9" t="s">
        <v>203</v>
      </c>
      <c r="P91" s="14" t="s">
        <v>398</v>
      </c>
      <c r="U91" s="17"/>
      <c r="V91" s="18"/>
      <c r="W91" s="16"/>
      <c r="X91" s="16"/>
      <c r="Y91" s="16"/>
    </row>
    <row r="92">
      <c r="A92" s="9" t="s">
        <v>399</v>
      </c>
      <c r="B92" s="10" t="s">
        <v>400</v>
      </c>
      <c r="C92" s="10" t="s">
        <v>56</v>
      </c>
      <c r="D92" s="10" t="s">
        <v>19</v>
      </c>
      <c r="E92" s="10" t="s">
        <v>57</v>
      </c>
      <c r="F92" s="10" t="s">
        <v>58</v>
      </c>
      <c r="G92" s="10" t="s">
        <v>59</v>
      </c>
      <c r="H92" s="10"/>
      <c r="I92" s="11">
        <v>269.0</v>
      </c>
      <c r="J92" s="11">
        <v>800.0</v>
      </c>
      <c r="K92" s="12">
        <f t="shared" si="1"/>
        <v>0.66375</v>
      </c>
      <c r="L92" s="13">
        <f>IFERROR(__xludf.DUMMYFUNCTION("GOOGLEFINANCE(""CURRENCY:INRBRL"") * I92
"),15.83917040822)</f>
        <v>15.83917041</v>
      </c>
      <c r="M92" s="9">
        <v>4.51</v>
      </c>
      <c r="N92" s="9">
        <v>10134.0</v>
      </c>
      <c r="O92" s="9" t="s">
        <v>401</v>
      </c>
      <c r="P92" s="14" t="s">
        <v>402</v>
      </c>
      <c r="U92" s="17"/>
      <c r="V92" s="18"/>
      <c r="W92" s="16"/>
      <c r="X92" s="16"/>
      <c r="Y92" s="16"/>
    </row>
    <row r="93">
      <c r="A93" s="9" t="s">
        <v>403</v>
      </c>
      <c r="B93" s="10" t="s">
        <v>404</v>
      </c>
      <c r="C93" s="10" t="s">
        <v>96</v>
      </c>
      <c r="D93" s="10" t="s">
        <v>77</v>
      </c>
      <c r="E93" s="10" t="s">
        <v>78</v>
      </c>
      <c r="F93" s="10" t="s">
        <v>97</v>
      </c>
      <c r="G93" s="10" t="s">
        <v>98</v>
      </c>
      <c r="H93" s="10"/>
      <c r="I93" s="11">
        <v>24999.0</v>
      </c>
      <c r="J93" s="11">
        <v>31999.0</v>
      </c>
      <c r="K93" s="12">
        <f t="shared" si="1"/>
        <v>0.2187568362</v>
      </c>
      <c r="L93" s="13">
        <f>IFERROR(__xludf.DUMMYFUNCTION("GOOGLEFINANCE(""CURRENCY:INRBRL"") * I93
"),1471.9829778256199)</f>
        <v>1471.982978</v>
      </c>
      <c r="M93" s="9">
        <v>4.5</v>
      </c>
      <c r="N93" s="9">
        <v>34899.0</v>
      </c>
      <c r="O93" s="9" t="s">
        <v>405</v>
      </c>
      <c r="P93" s="14" t="s">
        <v>406</v>
      </c>
      <c r="U93" s="17"/>
      <c r="V93" s="18"/>
      <c r="W93" s="16"/>
      <c r="X93" s="16"/>
      <c r="Y93" s="16"/>
    </row>
    <row r="94">
      <c r="A94" s="9" t="s">
        <v>407</v>
      </c>
      <c r="B94" s="10" t="s">
        <v>408</v>
      </c>
      <c r="C94" s="10" t="s">
        <v>18</v>
      </c>
      <c r="D94" s="10" t="s">
        <v>19</v>
      </c>
      <c r="E94" s="10" t="s">
        <v>20</v>
      </c>
      <c r="F94" s="10" t="s">
        <v>21</v>
      </c>
      <c r="G94" s="10" t="s">
        <v>22</v>
      </c>
      <c r="H94" s="10" t="s">
        <v>23</v>
      </c>
      <c r="I94" s="11">
        <v>299.0</v>
      </c>
      <c r="J94" s="11">
        <v>699.0</v>
      </c>
      <c r="K94" s="12">
        <f t="shared" si="1"/>
        <v>0.5722460658</v>
      </c>
      <c r="L94" s="13">
        <f>IFERROR(__xludf.DUMMYFUNCTION("GOOGLEFINANCE(""CURRENCY:INRBRL"") * I94
"),17.60562063962)</f>
        <v>17.60562064</v>
      </c>
      <c r="M94" s="9">
        <v>4.5</v>
      </c>
      <c r="N94" s="9">
        <v>94363.0</v>
      </c>
      <c r="O94" s="9" t="s">
        <v>36</v>
      </c>
      <c r="P94" s="14" t="s">
        <v>409</v>
      </c>
      <c r="U94" s="17"/>
      <c r="V94" s="18"/>
      <c r="W94" s="16"/>
      <c r="X94" s="16"/>
      <c r="Y94" s="16"/>
    </row>
    <row r="95">
      <c r="A95" s="9" t="s">
        <v>410</v>
      </c>
      <c r="B95" s="10" t="s">
        <v>411</v>
      </c>
      <c r="C95" s="10" t="s">
        <v>18</v>
      </c>
      <c r="D95" s="10" t="s">
        <v>19</v>
      </c>
      <c r="E95" s="10" t="s">
        <v>20</v>
      </c>
      <c r="F95" s="10" t="s">
        <v>21</v>
      </c>
      <c r="G95" s="10" t="s">
        <v>22</v>
      </c>
      <c r="H95" s="10" t="s">
        <v>23</v>
      </c>
      <c r="I95" s="11">
        <v>199.0</v>
      </c>
      <c r="J95" s="11">
        <v>999.0</v>
      </c>
      <c r="K95" s="12">
        <f t="shared" si="1"/>
        <v>0.8008008008</v>
      </c>
      <c r="L95" s="13">
        <f>IFERROR(__xludf.DUMMYFUNCTION("GOOGLEFINANCE(""CURRENCY:INRBRL"") * I95
"),11.71745320162)</f>
        <v>11.7174532</v>
      </c>
      <c r="M95" s="9">
        <v>4.49</v>
      </c>
      <c r="N95" s="9">
        <v>425.0</v>
      </c>
      <c r="O95" s="9" t="s">
        <v>412</v>
      </c>
      <c r="P95" s="14" t="s">
        <v>413</v>
      </c>
      <c r="U95" s="17"/>
      <c r="V95" s="18"/>
      <c r="W95" s="16"/>
      <c r="X95" s="16"/>
      <c r="Y95" s="16"/>
    </row>
    <row r="96">
      <c r="A96" s="9" t="s">
        <v>414</v>
      </c>
      <c r="B96" s="10" t="s">
        <v>415</v>
      </c>
      <c r="C96" s="10" t="s">
        <v>96</v>
      </c>
      <c r="D96" s="10" t="s">
        <v>77</v>
      </c>
      <c r="E96" s="10" t="s">
        <v>78</v>
      </c>
      <c r="F96" s="10" t="s">
        <v>97</v>
      </c>
      <c r="G96" s="10" t="s">
        <v>98</v>
      </c>
      <c r="H96" s="10"/>
      <c r="I96" s="11">
        <v>18990.0</v>
      </c>
      <c r="J96" s="11">
        <v>40990.0</v>
      </c>
      <c r="K96" s="12">
        <f t="shared" si="1"/>
        <v>0.5367162723</v>
      </c>
      <c r="L96" s="13">
        <f>IFERROR(__xludf.DUMMYFUNCTION("GOOGLEFINANCE(""CURRENCY:INRBRL"") * I96
"),1118.1629964762)</f>
        <v>1118.162996</v>
      </c>
      <c r="M96" s="9">
        <v>4.5</v>
      </c>
      <c r="N96" s="9">
        <v>6659.0</v>
      </c>
      <c r="O96" s="9" t="s">
        <v>416</v>
      </c>
      <c r="P96" s="14" t="s">
        <v>417</v>
      </c>
      <c r="U96" s="17"/>
      <c r="V96" s="18"/>
      <c r="W96" s="16"/>
      <c r="X96" s="16"/>
      <c r="Y96" s="16"/>
    </row>
    <row r="97">
      <c r="A97" s="9" t="s">
        <v>418</v>
      </c>
      <c r="B97" s="10" t="s">
        <v>419</v>
      </c>
      <c r="C97" s="10" t="s">
        <v>56</v>
      </c>
      <c r="D97" s="10" t="s">
        <v>19</v>
      </c>
      <c r="E97" s="10" t="s">
        <v>57</v>
      </c>
      <c r="F97" s="10" t="s">
        <v>58</v>
      </c>
      <c r="G97" s="10" t="s">
        <v>59</v>
      </c>
      <c r="H97" s="10"/>
      <c r="I97" s="11">
        <v>290.0</v>
      </c>
      <c r="J97" s="11">
        <v>349.0</v>
      </c>
      <c r="K97" s="12">
        <f t="shared" si="1"/>
        <v>0.1690544413</v>
      </c>
      <c r="L97" s="13">
        <f>IFERROR(__xludf.DUMMYFUNCTION("GOOGLEFINANCE(""CURRENCY:INRBRL"") * I97
"),17.0756855702)</f>
        <v>17.07568557</v>
      </c>
      <c r="M97" s="9">
        <v>4.51</v>
      </c>
      <c r="N97" s="9">
        <v>1977.0</v>
      </c>
      <c r="O97" s="9" t="s">
        <v>420</v>
      </c>
      <c r="P97" s="14" t="s">
        <v>421</v>
      </c>
      <c r="U97" s="17"/>
      <c r="V97" s="18"/>
      <c r="W97" s="16"/>
      <c r="X97" s="16"/>
      <c r="Y97" s="16"/>
    </row>
    <row r="98">
      <c r="A98" s="9" t="s">
        <v>422</v>
      </c>
      <c r="B98" s="10" t="s">
        <v>423</v>
      </c>
      <c r="C98" s="10" t="s">
        <v>227</v>
      </c>
      <c r="D98" s="10" t="s">
        <v>77</v>
      </c>
      <c r="E98" s="10" t="s">
        <v>78</v>
      </c>
      <c r="F98" s="10" t="s">
        <v>79</v>
      </c>
      <c r="G98" s="10" t="s">
        <v>228</v>
      </c>
      <c r="H98" s="10"/>
      <c r="I98" s="11">
        <v>249.0</v>
      </c>
      <c r="J98" s="11">
        <v>799.0</v>
      </c>
      <c r="K98" s="12">
        <f t="shared" si="1"/>
        <v>0.6883604506</v>
      </c>
      <c r="L98" s="13">
        <f>IFERROR(__xludf.DUMMYFUNCTION("GOOGLEFINANCE(""CURRENCY:INRBRL"") * I98
"),14.66153692062)</f>
        <v>14.66153692</v>
      </c>
      <c r="M98" s="9">
        <v>4.51</v>
      </c>
      <c r="N98" s="9">
        <v>1079.0</v>
      </c>
      <c r="O98" s="9" t="s">
        <v>424</v>
      </c>
      <c r="P98" s="14" t="s">
        <v>425</v>
      </c>
      <c r="U98" s="17"/>
      <c r="V98" s="18"/>
      <c r="W98" s="16"/>
      <c r="X98" s="16"/>
      <c r="Y98" s="16"/>
    </row>
    <row r="99">
      <c r="A99" s="9" t="s">
        <v>426</v>
      </c>
      <c r="B99" s="10" t="s">
        <v>427</v>
      </c>
      <c r="C99" s="10" t="s">
        <v>18</v>
      </c>
      <c r="D99" s="10" t="s">
        <v>19</v>
      </c>
      <c r="E99" s="10" t="s">
        <v>20</v>
      </c>
      <c r="F99" s="10" t="s">
        <v>21</v>
      </c>
      <c r="G99" s="10" t="s">
        <v>22</v>
      </c>
      <c r="H99" s="10" t="s">
        <v>23</v>
      </c>
      <c r="I99" s="11">
        <v>345.0</v>
      </c>
      <c r="J99" s="11">
        <v>999.0</v>
      </c>
      <c r="K99" s="12">
        <f t="shared" si="1"/>
        <v>0.6546546547</v>
      </c>
      <c r="L99" s="13">
        <f>IFERROR(__xludf.DUMMYFUNCTION("GOOGLEFINANCE(""CURRENCY:INRBRL"") * I99
"),20.3141776611)</f>
        <v>20.31417766</v>
      </c>
      <c r="M99" s="9">
        <v>4.51</v>
      </c>
      <c r="N99" s="9">
        <v>1097.0</v>
      </c>
      <c r="O99" s="9" t="s">
        <v>428</v>
      </c>
      <c r="P99" s="14" t="s">
        <v>429</v>
      </c>
      <c r="U99" s="17"/>
      <c r="V99" s="18"/>
      <c r="W99" s="16"/>
      <c r="X99" s="16"/>
      <c r="Y99" s="16"/>
    </row>
    <row r="100">
      <c r="A100" s="9" t="s">
        <v>430</v>
      </c>
      <c r="B100" s="10" t="s">
        <v>431</v>
      </c>
      <c r="C100" s="10" t="s">
        <v>56</v>
      </c>
      <c r="D100" s="10" t="s">
        <v>19</v>
      </c>
      <c r="E100" s="10" t="s">
        <v>57</v>
      </c>
      <c r="F100" s="10" t="s">
        <v>58</v>
      </c>
      <c r="G100" s="10" t="s">
        <v>59</v>
      </c>
      <c r="H100" s="10"/>
      <c r="I100" s="11">
        <v>1099.0</v>
      </c>
      <c r="J100" s="11">
        <v>1899.0</v>
      </c>
      <c r="K100" s="12">
        <f t="shared" si="1"/>
        <v>0.4212743549</v>
      </c>
      <c r="L100" s="13">
        <f>IFERROR(__xludf.DUMMYFUNCTION("GOOGLEFINANCE(""CURRENCY:INRBRL"") * I100
"),64.71096014362)</f>
        <v>64.71096014</v>
      </c>
      <c r="M100" s="9">
        <v>4.51</v>
      </c>
      <c r="N100" s="9">
        <v>2242.0</v>
      </c>
      <c r="O100" s="9" t="s">
        <v>432</v>
      </c>
      <c r="P100" s="14" t="s">
        <v>433</v>
      </c>
      <c r="U100" s="17"/>
      <c r="V100" s="18"/>
      <c r="W100" s="16"/>
      <c r="X100" s="16"/>
      <c r="Y100" s="16"/>
    </row>
    <row r="101">
      <c r="A101" s="9" t="s">
        <v>434</v>
      </c>
      <c r="B101" s="10" t="s">
        <v>435</v>
      </c>
      <c r="C101" s="10" t="s">
        <v>18</v>
      </c>
      <c r="D101" s="10" t="s">
        <v>19</v>
      </c>
      <c r="E101" s="10" t="s">
        <v>20</v>
      </c>
      <c r="F101" s="10" t="s">
        <v>21</v>
      </c>
      <c r="G101" s="10" t="s">
        <v>22</v>
      </c>
      <c r="H101" s="10" t="s">
        <v>23</v>
      </c>
      <c r="I101" s="11">
        <v>719.0</v>
      </c>
      <c r="J101" s="11">
        <v>1499.0</v>
      </c>
      <c r="K101" s="12">
        <f t="shared" si="1"/>
        <v>0.5203468979</v>
      </c>
      <c r="L101" s="13">
        <f>IFERROR(__xludf.DUMMYFUNCTION("GOOGLEFINANCE(""CURRENCY:INRBRL"") * I101
"),42.33592387922)</f>
        <v>42.33592388</v>
      </c>
      <c r="M101" s="9">
        <v>4.49</v>
      </c>
      <c r="N101" s="9">
        <v>1045.0</v>
      </c>
      <c r="O101" s="9" t="s">
        <v>436</v>
      </c>
      <c r="P101" s="14" t="s">
        <v>437</v>
      </c>
      <c r="U101" s="17"/>
      <c r="V101" s="18"/>
      <c r="W101" s="16"/>
      <c r="X101" s="16"/>
      <c r="Y101" s="16"/>
    </row>
    <row r="102">
      <c r="A102" s="9" t="s">
        <v>438</v>
      </c>
      <c r="B102" s="10" t="s">
        <v>439</v>
      </c>
      <c r="C102" s="10" t="s">
        <v>227</v>
      </c>
      <c r="D102" s="10" t="s">
        <v>77</v>
      </c>
      <c r="E102" s="10" t="s">
        <v>78</v>
      </c>
      <c r="F102" s="10" t="s">
        <v>79</v>
      </c>
      <c r="G102" s="10" t="s">
        <v>228</v>
      </c>
      <c r="H102" s="10"/>
      <c r="I102" s="11">
        <v>349.0</v>
      </c>
      <c r="J102" s="11">
        <v>1499.0</v>
      </c>
      <c r="K102" s="12">
        <f t="shared" si="1"/>
        <v>0.7671781187</v>
      </c>
      <c r="L102" s="13">
        <f>IFERROR(__xludf.DUMMYFUNCTION("GOOGLEFINANCE(""CURRENCY:INRBRL"") * I102
"),20.549704358619998)</f>
        <v>20.54970436</v>
      </c>
      <c r="M102" s="9">
        <v>4.5</v>
      </c>
      <c r="N102" s="9">
        <v>4145.0</v>
      </c>
      <c r="O102" s="9" t="s">
        <v>440</v>
      </c>
      <c r="P102" s="14" t="s">
        <v>441</v>
      </c>
      <c r="U102" s="17"/>
      <c r="V102" s="18"/>
      <c r="W102" s="16"/>
      <c r="X102" s="16"/>
      <c r="Y102" s="16"/>
    </row>
    <row r="103">
      <c r="A103" s="9" t="s">
        <v>442</v>
      </c>
      <c r="B103" s="10" t="s">
        <v>443</v>
      </c>
      <c r="C103" s="10" t="s">
        <v>18</v>
      </c>
      <c r="D103" s="10" t="s">
        <v>19</v>
      </c>
      <c r="E103" s="10" t="s">
        <v>20</v>
      </c>
      <c r="F103" s="10" t="s">
        <v>21</v>
      </c>
      <c r="G103" s="10" t="s">
        <v>22</v>
      </c>
      <c r="H103" s="10" t="s">
        <v>23</v>
      </c>
      <c r="I103" s="11">
        <v>849.0</v>
      </c>
      <c r="J103" s="11">
        <v>1809.0</v>
      </c>
      <c r="K103" s="12">
        <f t="shared" si="1"/>
        <v>0.5306799337</v>
      </c>
      <c r="L103" s="13">
        <f>IFERROR(__xludf.DUMMYFUNCTION("GOOGLEFINANCE(""CURRENCY:INRBRL"") * I103
"),49.99054154862)</f>
        <v>49.99054155</v>
      </c>
      <c r="M103" s="9">
        <v>4.5</v>
      </c>
      <c r="N103" s="9">
        <v>6547.0</v>
      </c>
      <c r="O103" s="9" t="s">
        <v>245</v>
      </c>
      <c r="P103" s="14" t="s">
        <v>444</v>
      </c>
      <c r="U103" s="17"/>
      <c r="V103" s="18"/>
      <c r="W103" s="16"/>
      <c r="X103" s="16"/>
      <c r="Y103" s="16"/>
    </row>
    <row r="104">
      <c r="A104" s="9" t="s">
        <v>445</v>
      </c>
      <c r="B104" s="10" t="s">
        <v>446</v>
      </c>
      <c r="C104" s="10" t="s">
        <v>227</v>
      </c>
      <c r="D104" s="10" t="s">
        <v>77</v>
      </c>
      <c r="E104" s="10" t="s">
        <v>78</v>
      </c>
      <c r="F104" s="10" t="s">
        <v>79</v>
      </c>
      <c r="G104" s="10" t="s">
        <v>228</v>
      </c>
      <c r="H104" s="10"/>
      <c r="I104" s="11">
        <v>299.0</v>
      </c>
      <c r="J104" s="11">
        <v>899.0</v>
      </c>
      <c r="K104" s="12">
        <f t="shared" si="1"/>
        <v>0.6674082314</v>
      </c>
      <c r="L104" s="13">
        <f>IFERROR(__xludf.DUMMYFUNCTION("GOOGLEFINANCE(""CURRENCY:INRBRL"") * I104
"),17.60562063962)</f>
        <v>17.60562064</v>
      </c>
      <c r="M104" s="9">
        <v>4.0</v>
      </c>
      <c r="N104" s="9">
        <v>1588.0</v>
      </c>
      <c r="O104" s="9" t="s">
        <v>447</v>
      </c>
      <c r="P104" s="14" t="s">
        <v>448</v>
      </c>
      <c r="U104" s="17"/>
      <c r="V104" s="18"/>
      <c r="W104" s="16"/>
      <c r="X104" s="16"/>
      <c r="Y104" s="16"/>
    </row>
    <row r="105">
      <c r="A105" s="9" t="s">
        <v>449</v>
      </c>
      <c r="B105" s="10" t="s">
        <v>450</v>
      </c>
      <c r="C105" s="10" t="s">
        <v>96</v>
      </c>
      <c r="D105" s="10" t="s">
        <v>77</v>
      </c>
      <c r="E105" s="10" t="s">
        <v>78</v>
      </c>
      <c r="F105" s="10" t="s">
        <v>97</v>
      </c>
      <c r="G105" s="10" t="s">
        <v>98</v>
      </c>
      <c r="H105" s="10"/>
      <c r="I105" s="11">
        <v>21999.0</v>
      </c>
      <c r="J105" s="11">
        <v>29999.0</v>
      </c>
      <c r="K105" s="12">
        <f t="shared" si="1"/>
        <v>0.2666755559</v>
      </c>
      <c r="L105" s="13">
        <f>IFERROR(__xludf.DUMMYFUNCTION("GOOGLEFINANCE(""CURRENCY:INRBRL"") * I105
"),1295.33795468562)</f>
        <v>1295.337955</v>
      </c>
      <c r="M105" s="9">
        <v>4.5</v>
      </c>
      <c r="N105" s="9">
        <v>3284.0</v>
      </c>
      <c r="O105" s="9" t="s">
        <v>451</v>
      </c>
      <c r="P105" s="14" t="s">
        <v>452</v>
      </c>
      <c r="U105" s="17"/>
      <c r="V105" s="18"/>
      <c r="W105" s="16"/>
      <c r="X105" s="16"/>
      <c r="Y105" s="16"/>
    </row>
    <row r="106">
      <c r="A106" s="9" t="s">
        <v>453</v>
      </c>
      <c r="B106" s="10" t="s">
        <v>454</v>
      </c>
      <c r="C106" s="10" t="s">
        <v>18</v>
      </c>
      <c r="D106" s="10" t="s">
        <v>19</v>
      </c>
      <c r="E106" s="10" t="s">
        <v>20</v>
      </c>
      <c r="F106" s="10" t="s">
        <v>21</v>
      </c>
      <c r="G106" s="10" t="s">
        <v>22</v>
      </c>
      <c r="H106" s="10" t="s">
        <v>23</v>
      </c>
      <c r="I106" s="11">
        <v>349.0</v>
      </c>
      <c r="J106" s="11">
        <v>999.0</v>
      </c>
      <c r="K106" s="12">
        <f t="shared" si="1"/>
        <v>0.6506506507</v>
      </c>
      <c r="L106" s="13">
        <f>IFERROR(__xludf.DUMMYFUNCTION("GOOGLEFINANCE(""CURRENCY:INRBRL"") * I106
"),20.549704358619998)</f>
        <v>20.54970436</v>
      </c>
      <c r="M106" s="9">
        <v>4.5</v>
      </c>
      <c r="N106" s="9">
        <v>1312.0</v>
      </c>
      <c r="O106" s="9" t="s">
        <v>455</v>
      </c>
      <c r="P106" s="14" t="s">
        <v>456</v>
      </c>
      <c r="U106" s="17"/>
      <c r="V106" s="18"/>
      <c r="W106" s="16"/>
      <c r="X106" s="16"/>
      <c r="Y106" s="16"/>
    </row>
    <row r="107">
      <c r="A107" s="9" t="s">
        <v>457</v>
      </c>
      <c r="B107" s="10" t="s">
        <v>458</v>
      </c>
      <c r="C107" s="10" t="s">
        <v>18</v>
      </c>
      <c r="D107" s="10" t="s">
        <v>19</v>
      </c>
      <c r="E107" s="10" t="s">
        <v>20</v>
      </c>
      <c r="F107" s="10" t="s">
        <v>21</v>
      </c>
      <c r="G107" s="10" t="s">
        <v>22</v>
      </c>
      <c r="H107" s="10" t="s">
        <v>23</v>
      </c>
      <c r="I107" s="11">
        <v>399.0</v>
      </c>
      <c r="J107" s="11">
        <v>999.0</v>
      </c>
      <c r="K107" s="12">
        <f t="shared" si="1"/>
        <v>0.6006006006</v>
      </c>
      <c r="L107" s="13">
        <f>IFERROR(__xludf.DUMMYFUNCTION("GOOGLEFINANCE(""CURRENCY:INRBRL"") * I107
"),23.49378807762)</f>
        <v>23.49378808</v>
      </c>
      <c r="M107" s="9">
        <v>4.5</v>
      </c>
      <c r="N107" s="9">
        <v>2806.0</v>
      </c>
      <c r="O107" s="9" t="s">
        <v>459</v>
      </c>
      <c r="P107" s="14" t="s">
        <v>460</v>
      </c>
      <c r="U107" s="17"/>
      <c r="V107" s="18"/>
      <c r="W107" s="16"/>
      <c r="X107" s="16"/>
      <c r="Y107" s="16"/>
    </row>
    <row r="108">
      <c r="A108" s="9" t="s">
        <v>461</v>
      </c>
      <c r="B108" s="10" t="s">
        <v>462</v>
      </c>
      <c r="C108" s="10" t="s">
        <v>18</v>
      </c>
      <c r="D108" s="10" t="s">
        <v>19</v>
      </c>
      <c r="E108" s="10" t="s">
        <v>20</v>
      </c>
      <c r="F108" s="10" t="s">
        <v>21</v>
      </c>
      <c r="G108" s="10" t="s">
        <v>22</v>
      </c>
      <c r="H108" s="10" t="s">
        <v>23</v>
      </c>
      <c r="I108" s="11">
        <v>449.0</v>
      </c>
      <c r="J108" s="11">
        <v>1299.0</v>
      </c>
      <c r="K108" s="12">
        <f t="shared" si="1"/>
        <v>0.6543494996</v>
      </c>
      <c r="L108" s="13">
        <f>IFERROR(__xludf.DUMMYFUNCTION("GOOGLEFINANCE(""CURRENCY:INRBRL"") * I108
"),26.437871796619998)</f>
        <v>26.4378718</v>
      </c>
      <c r="M108" s="9">
        <v>4.5</v>
      </c>
      <c r="N108" s="9">
        <v>24269.0</v>
      </c>
      <c r="O108" s="9" t="s">
        <v>463</v>
      </c>
      <c r="P108" s="14" t="s">
        <v>464</v>
      </c>
      <c r="U108" s="17"/>
      <c r="V108" s="18"/>
      <c r="W108" s="16"/>
      <c r="X108" s="16"/>
      <c r="Y108" s="16"/>
    </row>
    <row r="109">
      <c r="A109" s="9" t="s">
        <v>465</v>
      </c>
      <c r="B109" s="10" t="s">
        <v>466</v>
      </c>
      <c r="C109" s="10" t="s">
        <v>18</v>
      </c>
      <c r="D109" s="10" t="s">
        <v>19</v>
      </c>
      <c r="E109" s="10" t="s">
        <v>20</v>
      </c>
      <c r="F109" s="10" t="s">
        <v>21</v>
      </c>
      <c r="G109" s="10" t="s">
        <v>22</v>
      </c>
      <c r="H109" s="10" t="s">
        <v>23</v>
      </c>
      <c r="I109" s="11">
        <v>299.0</v>
      </c>
      <c r="J109" s="11">
        <v>999.0</v>
      </c>
      <c r="K109" s="12">
        <f t="shared" si="1"/>
        <v>0.7007007007</v>
      </c>
      <c r="L109" s="13">
        <f>IFERROR(__xludf.DUMMYFUNCTION("GOOGLEFINANCE(""CURRENCY:INRBRL"") * I109
"),17.60562063962)</f>
        <v>17.60562064</v>
      </c>
      <c r="M109" s="9">
        <v>4.5</v>
      </c>
      <c r="N109" s="9">
        <v>766.0</v>
      </c>
      <c r="O109" s="9" t="s">
        <v>467</v>
      </c>
      <c r="P109" s="14" t="s">
        <v>468</v>
      </c>
      <c r="U109" s="17"/>
      <c r="V109" s="18"/>
      <c r="W109" s="16"/>
      <c r="X109" s="16"/>
      <c r="Y109" s="16"/>
    </row>
    <row r="110">
      <c r="A110" s="9" t="s">
        <v>469</v>
      </c>
      <c r="B110" s="10" t="s">
        <v>470</v>
      </c>
      <c r="C110" s="10" t="s">
        <v>96</v>
      </c>
      <c r="D110" s="10" t="s">
        <v>77</v>
      </c>
      <c r="E110" s="10" t="s">
        <v>78</v>
      </c>
      <c r="F110" s="10" t="s">
        <v>97</v>
      </c>
      <c r="G110" s="10" t="s">
        <v>98</v>
      </c>
      <c r="H110" s="10"/>
      <c r="I110" s="11">
        <v>37999.0</v>
      </c>
      <c r="J110" s="11">
        <v>64999.0</v>
      </c>
      <c r="K110" s="12">
        <f t="shared" si="1"/>
        <v>0.415391006</v>
      </c>
      <c r="L110" s="13">
        <f>IFERROR(__xludf.DUMMYFUNCTION("GOOGLEFINANCE(""CURRENCY:INRBRL"") * I110
"),2237.44474476562)</f>
        <v>2237.444745</v>
      </c>
      <c r="M110" s="9">
        <v>4.5</v>
      </c>
      <c r="N110" s="9">
        <v>3587.0</v>
      </c>
      <c r="O110" s="9" t="s">
        <v>471</v>
      </c>
      <c r="P110" s="14" t="s">
        <v>472</v>
      </c>
      <c r="U110" s="17"/>
      <c r="V110" s="18"/>
      <c r="W110" s="16"/>
      <c r="X110" s="16"/>
      <c r="Y110" s="16"/>
    </row>
    <row r="111">
      <c r="A111" s="9" t="s">
        <v>473</v>
      </c>
      <c r="B111" s="10" t="s">
        <v>474</v>
      </c>
      <c r="C111" s="10" t="s">
        <v>18</v>
      </c>
      <c r="D111" s="10" t="s">
        <v>19</v>
      </c>
      <c r="E111" s="10" t="s">
        <v>20</v>
      </c>
      <c r="F111" s="10" t="s">
        <v>21</v>
      </c>
      <c r="G111" s="10" t="s">
        <v>22</v>
      </c>
      <c r="H111" s="10" t="s">
        <v>23</v>
      </c>
      <c r="I111" s="11">
        <v>99.0</v>
      </c>
      <c r="J111" s="11">
        <v>800.0</v>
      </c>
      <c r="K111" s="12">
        <f t="shared" si="1"/>
        <v>0.87625</v>
      </c>
      <c r="L111" s="13">
        <f>IFERROR(__xludf.DUMMYFUNCTION("GOOGLEFINANCE(""CURRENCY:INRBRL"") * I111
"),5.82928576362)</f>
        <v>5.829285764</v>
      </c>
      <c r="M111" s="9">
        <v>4.52</v>
      </c>
      <c r="N111" s="9">
        <v>24871.0</v>
      </c>
      <c r="O111" s="9" t="s">
        <v>475</v>
      </c>
      <c r="P111" s="14" t="s">
        <v>476</v>
      </c>
      <c r="U111" s="17"/>
      <c r="V111" s="18"/>
      <c r="W111" s="16"/>
      <c r="X111" s="16"/>
      <c r="Y111" s="16"/>
    </row>
    <row r="112">
      <c r="A112" s="9" t="s">
        <v>477</v>
      </c>
      <c r="B112" s="10" t="s">
        <v>478</v>
      </c>
      <c r="C112" s="10" t="s">
        <v>249</v>
      </c>
      <c r="D112" s="10" t="s">
        <v>77</v>
      </c>
      <c r="E112" s="10" t="s">
        <v>78</v>
      </c>
      <c r="F112" s="10" t="s">
        <v>97</v>
      </c>
      <c r="G112" s="10" t="s">
        <v>250</v>
      </c>
      <c r="H112" s="10"/>
      <c r="I112" s="11">
        <v>7389.0</v>
      </c>
      <c r="J112" s="11">
        <v>19999.0</v>
      </c>
      <c r="K112" s="12">
        <f t="shared" si="1"/>
        <v>0.6305315266</v>
      </c>
      <c r="L112" s="13">
        <f>IFERROR(__xludf.DUMMYFUNCTION("GOOGLEFINANCE(""CURRENCY:INRBRL"") * I112
"),435.07669199381996)</f>
        <v>435.076692</v>
      </c>
      <c r="M112" s="9">
        <v>4.49</v>
      </c>
      <c r="N112" s="9">
        <v>2581.0</v>
      </c>
      <c r="O112" s="9" t="s">
        <v>479</v>
      </c>
      <c r="P112" s="14" t="s">
        <v>480</v>
      </c>
      <c r="U112" s="17"/>
      <c r="V112" s="18"/>
      <c r="W112" s="16"/>
      <c r="X112" s="16"/>
      <c r="Y112" s="16"/>
    </row>
    <row r="113">
      <c r="A113" s="9" t="s">
        <v>481</v>
      </c>
      <c r="B113" s="10" t="s">
        <v>482</v>
      </c>
      <c r="C113" s="10" t="s">
        <v>18</v>
      </c>
      <c r="D113" s="10" t="s">
        <v>19</v>
      </c>
      <c r="E113" s="10" t="s">
        <v>20</v>
      </c>
      <c r="F113" s="10" t="s">
        <v>21</v>
      </c>
      <c r="G113" s="10" t="s">
        <v>22</v>
      </c>
      <c r="H113" s="10" t="s">
        <v>23</v>
      </c>
      <c r="I113" s="11">
        <v>273.1</v>
      </c>
      <c r="J113" s="11">
        <v>999.0</v>
      </c>
      <c r="K113" s="12">
        <f t="shared" si="1"/>
        <v>0.7266266266</v>
      </c>
      <c r="L113" s="13">
        <f>IFERROR(__xludf.DUMMYFUNCTION("GOOGLEFINANCE(""CURRENCY:INRBRL"") * I113
"),16.080585273178002)</f>
        <v>16.08058527</v>
      </c>
      <c r="M113" s="9">
        <v>4.5</v>
      </c>
      <c r="N113" s="9">
        <v>2085.0</v>
      </c>
      <c r="O113" s="9" t="s">
        <v>483</v>
      </c>
      <c r="P113" s="14" t="s">
        <v>484</v>
      </c>
      <c r="U113" s="17"/>
      <c r="V113" s="18"/>
      <c r="W113" s="16"/>
      <c r="X113" s="16"/>
      <c r="Y113" s="16"/>
    </row>
    <row r="114">
      <c r="A114" s="9" t="s">
        <v>485</v>
      </c>
      <c r="B114" s="10" t="s">
        <v>486</v>
      </c>
      <c r="C114" s="10" t="s">
        <v>96</v>
      </c>
      <c r="D114" s="10" t="s">
        <v>77</v>
      </c>
      <c r="E114" s="10" t="s">
        <v>78</v>
      </c>
      <c r="F114" s="10" t="s">
        <v>97</v>
      </c>
      <c r="G114" s="10" t="s">
        <v>98</v>
      </c>
      <c r="H114" s="10"/>
      <c r="I114" s="11">
        <v>15989.0</v>
      </c>
      <c r="J114" s="11">
        <v>23989.0</v>
      </c>
      <c r="K114" s="12">
        <f t="shared" si="1"/>
        <v>0.3334861812</v>
      </c>
      <c r="L114" s="13">
        <f>IFERROR(__xludf.DUMMYFUNCTION("GOOGLEFINANCE(""CURRENCY:INRBRL"") * I114
"),941.45909166182)</f>
        <v>941.4590917</v>
      </c>
      <c r="M114" s="9">
        <v>4.5</v>
      </c>
      <c r="N114" s="9">
        <v>1035.0</v>
      </c>
      <c r="O114" s="9" t="s">
        <v>487</v>
      </c>
      <c r="P114" s="14" t="s">
        <v>488</v>
      </c>
      <c r="U114" s="17"/>
      <c r="V114" s="18"/>
      <c r="W114" s="16"/>
      <c r="X114" s="16"/>
      <c r="Y114" s="16"/>
    </row>
    <row r="115">
      <c r="A115" s="9" t="s">
        <v>489</v>
      </c>
      <c r="B115" s="10" t="s">
        <v>490</v>
      </c>
      <c r="C115" s="10" t="s">
        <v>18</v>
      </c>
      <c r="D115" s="10" t="s">
        <v>19</v>
      </c>
      <c r="E115" s="10" t="s">
        <v>20</v>
      </c>
      <c r="F115" s="10" t="s">
        <v>21</v>
      </c>
      <c r="G115" s="10" t="s">
        <v>22</v>
      </c>
      <c r="H115" s="10" t="s">
        <v>23</v>
      </c>
      <c r="I115" s="11">
        <v>399.0</v>
      </c>
      <c r="J115" s="11">
        <v>999.0</v>
      </c>
      <c r="K115" s="12">
        <f t="shared" si="1"/>
        <v>0.6006006006</v>
      </c>
      <c r="L115" s="13">
        <f>IFERROR(__xludf.DUMMYFUNCTION("GOOGLEFINANCE(""CURRENCY:INRBRL"") * I115
"),23.49378807762)</f>
        <v>23.49378808</v>
      </c>
      <c r="M115" s="9">
        <v>4.49</v>
      </c>
      <c r="N115" s="9">
        <v>178.0</v>
      </c>
      <c r="O115" s="9" t="s">
        <v>491</v>
      </c>
      <c r="P115" s="14" t="s">
        <v>492</v>
      </c>
      <c r="U115" s="17"/>
      <c r="V115" s="18"/>
      <c r="W115" s="16"/>
      <c r="X115" s="16"/>
      <c r="Y115" s="16"/>
    </row>
    <row r="116">
      <c r="A116" s="9" t="s">
        <v>493</v>
      </c>
      <c r="B116" s="10" t="s">
        <v>494</v>
      </c>
      <c r="C116" s="10" t="s">
        <v>227</v>
      </c>
      <c r="D116" s="10" t="s">
        <v>77</v>
      </c>
      <c r="E116" s="10" t="s">
        <v>78</v>
      </c>
      <c r="F116" s="10" t="s">
        <v>79</v>
      </c>
      <c r="G116" s="10" t="s">
        <v>228</v>
      </c>
      <c r="H116" s="10"/>
      <c r="I116" s="11">
        <v>399.0</v>
      </c>
      <c r="J116" s="11">
        <v>1999.0</v>
      </c>
      <c r="K116" s="12">
        <f t="shared" si="1"/>
        <v>0.8004002001</v>
      </c>
      <c r="L116" s="13">
        <f>IFERROR(__xludf.DUMMYFUNCTION("GOOGLEFINANCE(""CURRENCY:INRBRL"") * I116
"),23.49378807762)</f>
        <v>23.49378808</v>
      </c>
      <c r="M116" s="9">
        <v>4.51</v>
      </c>
      <c r="N116" s="9">
        <v>505.0</v>
      </c>
      <c r="O116" s="9" t="s">
        <v>495</v>
      </c>
      <c r="P116" s="14" t="s">
        <v>496</v>
      </c>
      <c r="U116" s="17"/>
      <c r="V116" s="18"/>
      <c r="W116" s="16"/>
      <c r="X116" s="16"/>
      <c r="Y116" s="16"/>
    </row>
    <row r="117">
      <c r="A117" s="9" t="s">
        <v>497</v>
      </c>
      <c r="B117" s="10" t="s">
        <v>498</v>
      </c>
      <c r="C117" s="10" t="s">
        <v>18</v>
      </c>
      <c r="D117" s="10" t="s">
        <v>19</v>
      </c>
      <c r="E117" s="10" t="s">
        <v>20</v>
      </c>
      <c r="F117" s="10" t="s">
        <v>21</v>
      </c>
      <c r="G117" s="10" t="s">
        <v>22</v>
      </c>
      <c r="H117" s="10" t="s">
        <v>23</v>
      </c>
      <c r="I117" s="11">
        <v>210.0</v>
      </c>
      <c r="J117" s="11">
        <v>399.0</v>
      </c>
      <c r="K117" s="12">
        <f t="shared" si="1"/>
        <v>0.4736842105</v>
      </c>
      <c r="L117" s="13">
        <f>IFERROR(__xludf.DUMMYFUNCTION("GOOGLEFINANCE(""CURRENCY:INRBRL"") * I117
"),12.365151619799999)</f>
        <v>12.36515162</v>
      </c>
      <c r="M117" s="9">
        <v>4.49</v>
      </c>
      <c r="N117" s="9">
        <v>1717.0</v>
      </c>
      <c r="O117" s="9" t="s">
        <v>499</v>
      </c>
      <c r="P117" s="14" t="s">
        <v>500</v>
      </c>
      <c r="U117" s="17"/>
      <c r="V117" s="18"/>
      <c r="W117" s="16"/>
      <c r="X117" s="16"/>
      <c r="Y117" s="16"/>
    </row>
    <row r="118">
      <c r="A118" s="9" t="s">
        <v>501</v>
      </c>
      <c r="B118" s="10" t="s">
        <v>502</v>
      </c>
      <c r="C118" s="10" t="s">
        <v>227</v>
      </c>
      <c r="D118" s="10" t="s">
        <v>77</v>
      </c>
      <c r="E118" s="10" t="s">
        <v>78</v>
      </c>
      <c r="F118" s="10" t="s">
        <v>79</v>
      </c>
      <c r="G118" s="10" t="s">
        <v>228</v>
      </c>
      <c r="H118" s="10"/>
      <c r="I118" s="11">
        <v>1299.0</v>
      </c>
      <c r="J118" s="11">
        <v>1999.0</v>
      </c>
      <c r="K118" s="12">
        <f t="shared" si="1"/>
        <v>0.3501750875</v>
      </c>
      <c r="L118" s="13">
        <f>IFERROR(__xludf.DUMMYFUNCTION("GOOGLEFINANCE(""CURRENCY:INRBRL"") * I118
"),76.48729501961999)</f>
        <v>76.48729502</v>
      </c>
      <c r="M118" s="9">
        <v>4.51</v>
      </c>
      <c r="N118" s="9">
        <v>590.0</v>
      </c>
      <c r="O118" s="9" t="s">
        <v>503</v>
      </c>
      <c r="P118" s="14" t="s">
        <v>504</v>
      </c>
      <c r="U118" s="17"/>
      <c r="V118" s="18"/>
      <c r="W118" s="16"/>
      <c r="X118" s="16"/>
      <c r="Y118" s="16"/>
    </row>
    <row r="119">
      <c r="A119" s="9" t="s">
        <v>505</v>
      </c>
      <c r="B119" s="10" t="s">
        <v>506</v>
      </c>
      <c r="C119" s="10" t="s">
        <v>18</v>
      </c>
      <c r="D119" s="10" t="s">
        <v>19</v>
      </c>
      <c r="E119" s="10" t="s">
        <v>20</v>
      </c>
      <c r="F119" s="10" t="s">
        <v>21</v>
      </c>
      <c r="G119" s="10" t="s">
        <v>22</v>
      </c>
      <c r="H119" s="10" t="s">
        <v>23</v>
      </c>
      <c r="I119" s="11">
        <v>347.0</v>
      </c>
      <c r="J119" s="11">
        <v>999.0</v>
      </c>
      <c r="K119" s="12">
        <f t="shared" si="1"/>
        <v>0.6526526527</v>
      </c>
      <c r="L119" s="13">
        <f>IFERROR(__xludf.DUMMYFUNCTION("GOOGLEFINANCE(""CURRENCY:INRBRL"") * I119
"),20.43194100986)</f>
        <v>20.43194101</v>
      </c>
      <c r="M119" s="9">
        <v>4.5</v>
      </c>
      <c r="N119" s="9">
        <v>1121.0</v>
      </c>
      <c r="O119" s="9" t="s">
        <v>507</v>
      </c>
      <c r="P119" s="14" t="s">
        <v>508</v>
      </c>
      <c r="U119" s="17"/>
      <c r="V119" s="18"/>
      <c r="W119" s="16"/>
      <c r="X119" s="16"/>
      <c r="Y119" s="16"/>
    </row>
    <row r="120">
      <c r="A120" s="9" t="s">
        <v>509</v>
      </c>
      <c r="B120" s="10" t="s">
        <v>510</v>
      </c>
      <c r="C120" s="10" t="s">
        <v>18</v>
      </c>
      <c r="D120" s="10" t="s">
        <v>19</v>
      </c>
      <c r="E120" s="10" t="s">
        <v>20</v>
      </c>
      <c r="F120" s="10" t="s">
        <v>21</v>
      </c>
      <c r="G120" s="10" t="s">
        <v>22</v>
      </c>
      <c r="H120" s="10" t="s">
        <v>23</v>
      </c>
      <c r="I120" s="11">
        <v>149.0</v>
      </c>
      <c r="J120" s="11">
        <v>999.0</v>
      </c>
      <c r="K120" s="12">
        <f t="shared" si="1"/>
        <v>0.8508508509</v>
      </c>
      <c r="L120" s="13">
        <f>IFERROR(__xludf.DUMMYFUNCTION("GOOGLEFINANCE(""CURRENCY:INRBRL"") * I120
"),8.77336948262)</f>
        <v>8.773369483</v>
      </c>
      <c r="M120" s="9">
        <v>4.0</v>
      </c>
      <c r="N120" s="9">
        <v>1313.0</v>
      </c>
      <c r="O120" s="9" t="s">
        <v>511</v>
      </c>
      <c r="P120" s="14" t="s">
        <v>512</v>
      </c>
      <c r="U120" s="17"/>
      <c r="V120" s="18"/>
      <c r="W120" s="16"/>
      <c r="X120" s="16"/>
      <c r="Y120" s="16"/>
    </row>
    <row r="121">
      <c r="A121" s="9" t="s">
        <v>513</v>
      </c>
      <c r="B121" s="10" t="s">
        <v>514</v>
      </c>
      <c r="C121" s="10" t="s">
        <v>18</v>
      </c>
      <c r="D121" s="10" t="s">
        <v>19</v>
      </c>
      <c r="E121" s="10" t="s">
        <v>20</v>
      </c>
      <c r="F121" s="10" t="s">
        <v>21</v>
      </c>
      <c r="G121" s="10" t="s">
        <v>22</v>
      </c>
      <c r="H121" s="10" t="s">
        <v>23</v>
      </c>
      <c r="I121" s="11">
        <v>228.0</v>
      </c>
      <c r="J121" s="11">
        <v>899.0</v>
      </c>
      <c r="K121" s="12">
        <f t="shared" si="1"/>
        <v>0.7463848721</v>
      </c>
      <c r="L121" s="13">
        <f>IFERROR(__xludf.DUMMYFUNCTION("GOOGLEFINANCE(""CURRENCY:INRBRL"") * I121
"),13.42502175864)</f>
        <v>13.42502176</v>
      </c>
      <c r="M121" s="9">
        <v>4.51</v>
      </c>
      <c r="N121" s="9">
        <v>132.0</v>
      </c>
      <c r="O121" s="9" t="s">
        <v>515</v>
      </c>
      <c r="P121" s="14" t="s">
        <v>516</v>
      </c>
      <c r="U121" s="17"/>
      <c r="V121" s="18"/>
      <c r="W121" s="16"/>
      <c r="X121" s="16"/>
      <c r="Y121" s="16"/>
    </row>
    <row r="122">
      <c r="A122" s="9" t="s">
        <v>517</v>
      </c>
      <c r="B122" s="10" t="s">
        <v>518</v>
      </c>
      <c r="C122" s="10" t="s">
        <v>18</v>
      </c>
      <c r="D122" s="10" t="s">
        <v>19</v>
      </c>
      <c r="E122" s="10" t="s">
        <v>20</v>
      </c>
      <c r="F122" s="10" t="s">
        <v>21</v>
      </c>
      <c r="G122" s="10" t="s">
        <v>22</v>
      </c>
      <c r="H122" s="10" t="s">
        <v>23</v>
      </c>
      <c r="I122" s="11">
        <v>1599.0</v>
      </c>
      <c r="J122" s="11">
        <v>1999.0</v>
      </c>
      <c r="K122" s="12">
        <f t="shared" si="1"/>
        <v>0.20010005</v>
      </c>
      <c r="L122" s="13">
        <f>IFERROR(__xludf.DUMMYFUNCTION("GOOGLEFINANCE(""CURRENCY:INRBRL"") * I122
"),94.15179733362)</f>
        <v>94.15179733</v>
      </c>
      <c r="M122" s="9">
        <v>4.5</v>
      </c>
      <c r="N122" s="9">
        <v>1951.0</v>
      </c>
      <c r="O122" s="9" t="s">
        <v>519</v>
      </c>
      <c r="P122" s="14" t="s">
        <v>520</v>
      </c>
      <c r="U122" s="17"/>
      <c r="V122" s="18"/>
      <c r="W122" s="16"/>
      <c r="X122" s="16"/>
      <c r="Y122" s="16"/>
    </row>
    <row r="123">
      <c r="A123" s="9" t="s">
        <v>521</v>
      </c>
      <c r="B123" s="10" t="s">
        <v>522</v>
      </c>
      <c r="C123" s="10" t="s">
        <v>227</v>
      </c>
      <c r="D123" s="10" t="s">
        <v>77</v>
      </c>
      <c r="E123" s="10" t="s">
        <v>78</v>
      </c>
      <c r="F123" s="10" t="s">
        <v>79</v>
      </c>
      <c r="G123" s="10" t="s">
        <v>228</v>
      </c>
      <c r="H123" s="10"/>
      <c r="I123" s="11">
        <v>1499.0</v>
      </c>
      <c r="J123" s="11">
        <v>3999.0</v>
      </c>
      <c r="K123" s="12">
        <f t="shared" si="1"/>
        <v>0.6251562891</v>
      </c>
      <c r="L123" s="13">
        <f>IFERROR(__xludf.DUMMYFUNCTION("GOOGLEFINANCE(""CURRENCY:INRBRL"") * I123
"),88.26362989562)</f>
        <v>88.2636299</v>
      </c>
      <c r="M123" s="9">
        <v>4.51</v>
      </c>
      <c r="N123" s="9">
        <v>37.0</v>
      </c>
      <c r="O123" s="9" t="s">
        <v>523</v>
      </c>
      <c r="P123" s="14" t="s">
        <v>524</v>
      </c>
      <c r="U123" s="17"/>
      <c r="V123" s="18"/>
      <c r="W123" s="16"/>
      <c r="X123" s="16"/>
      <c r="Y123" s="16"/>
    </row>
    <row r="124">
      <c r="A124" s="9" t="s">
        <v>525</v>
      </c>
      <c r="B124" s="10" t="s">
        <v>526</v>
      </c>
      <c r="C124" s="10" t="s">
        <v>96</v>
      </c>
      <c r="D124" s="10" t="s">
        <v>77</v>
      </c>
      <c r="E124" s="10" t="s">
        <v>78</v>
      </c>
      <c r="F124" s="10" t="s">
        <v>97</v>
      </c>
      <c r="G124" s="10" t="s">
        <v>98</v>
      </c>
      <c r="H124" s="10"/>
      <c r="I124" s="11">
        <v>8499.0</v>
      </c>
      <c r="J124" s="11">
        <v>15999.0</v>
      </c>
      <c r="K124" s="12">
        <f t="shared" si="1"/>
        <v>0.4687792987</v>
      </c>
      <c r="L124" s="13">
        <f>IFERROR(__xludf.DUMMYFUNCTION("GOOGLEFINANCE(""CURRENCY:INRBRL"") * I124
"),500.43535055562)</f>
        <v>500.4353506</v>
      </c>
      <c r="M124" s="9">
        <v>4.5</v>
      </c>
      <c r="N124" s="9">
        <v>592.0</v>
      </c>
      <c r="O124" s="9" t="s">
        <v>527</v>
      </c>
      <c r="P124" s="14" t="s">
        <v>528</v>
      </c>
      <c r="U124" s="17"/>
      <c r="V124" s="18"/>
      <c r="W124" s="16"/>
      <c r="X124" s="16"/>
      <c r="Y124" s="16"/>
    </row>
    <row r="125">
      <c r="A125" s="9" t="s">
        <v>529</v>
      </c>
      <c r="B125" s="10" t="s">
        <v>530</v>
      </c>
      <c r="C125" s="10" t="s">
        <v>96</v>
      </c>
      <c r="D125" s="10" t="s">
        <v>77</v>
      </c>
      <c r="E125" s="10" t="s">
        <v>78</v>
      </c>
      <c r="F125" s="10" t="s">
        <v>97</v>
      </c>
      <c r="G125" s="10" t="s">
        <v>98</v>
      </c>
      <c r="H125" s="10"/>
      <c r="I125" s="11">
        <v>20989.0</v>
      </c>
      <c r="J125" s="11">
        <v>44989.0</v>
      </c>
      <c r="K125" s="12">
        <f t="shared" si="1"/>
        <v>0.5334637356</v>
      </c>
      <c r="L125" s="13">
        <f>IFERROR(__xludf.DUMMYFUNCTION("GOOGLEFINANCE(""CURRENCY:INRBRL"") * I125
"),1235.86746356182)</f>
        <v>1235.867464</v>
      </c>
      <c r="M125" s="9">
        <v>4.49</v>
      </c>
      <c r="N125" s="9">
        <v>1259.0</v>
      </c>
      <c r="O125" s="9" t="s">
        <v>531</v>
      </c>
      <c r="P125" s="14" t="s">
        <v>532</v>
      </c>
      <c r="U125" s="17"/>
      <c r="V125" s="18"/>
      <c r="W125" s="16"/>
      <c r="X125" s="16"/>
      <c r="Y125" s="16"/>
    </row>
    <row r="126">
      <c r="A126" s="9" t="s">
        <v>533</v>
      </c>
      <c r="B126" s="10" t="s">
        <v>534</v>
      </c>
      <c r="C126" s="10" t="s">
        <v>96</v>
      </c>
      <c r="D126" s="10" t="s">
        <v>77</v>
      </c>
      <c r="E126" s="10" t="s">
        <v>78</v>
      </c>
      <c r="F126" s="10" t="s">
        <v>97</v>
      </c>
      <c r="G126" s="10" t="s">
        <v>98</v>
      </c>
      <c r="H126" s="10"/>
      <c r="I126" s="11">
        <v>32999.0</v>
      </c>
      <c r="J126" s="11">
        <v>44999.0</v>
      </c>
      <c r="K126" s="12">
        <f t="shared" si="1"/>
        <v>0.2666725927</v>
      </c>
      <c r="L126" s="13">
        <f>IFERROR(__xludf.DUMMYFUNCTION("GOOGLEFINANCE(""CURRENCY:INRBRL"") * I126
"),1943.03637286562)</f>
        <v>1943.036373</v>
      </c>
      <c r="M126" s="9">
        <v>4.5</v>
      </c>
      <c r="N126" s="9">
        <v>45238.0</v>
      </c>
      <c r="O126" s="9" t="s">
        <v>535</v>
      </c>
      <c r="P126" s="14" t="s">
        <v>536</v>
      </c>
      <c r="U126" s="17"/>
      <c r="V126" s="18"/>
      <c r="W126" s="16"/>
      <c r="X126" s="16"/>
      <c r="Y126" s="16"/>
    </row>
    <row r="127">
      <c r="A127" s="9" t="s">
        <v>537</v>
      </c>
      <c r="B127" s="10" t="s">
        <v>538</v>
      </c>
      <c r="C127" s="10" t="s">
        <v>76</v>
      </c>
      <c r="D127" s="10" t="s">
        <v>77</v>
      </c>
      <c r="E127" s="10" t="s">
        <v>78</v>
      </c>
      <c r="F127" s="10" t="s">
        <v>79</v>
      </c>
      <c r="G127" s="10" t="s">
        <v>22</v>
      </c>
      <c r="H127" s="10" t="s">
        <v>80</v>
      </c>
      <c r="I127" s="11">
        <v>799.0</v>
      </c>
      <c r="J127" s="11">
        <v>1700.0</v>
      </c>
      <c r="K127" s="12">
        <f t="shared" si="1"/>
        <v>0.53</v>
      </c>
      <c r="L127" s="13">
        <f>IFERROR(__xludf.DUMMYFUNCTION("GOOGLEFINANCE(""CURRENCY:INRBRL"") * I127
"),47.046457829619996)</f>
        <v>47.04645783</v>
      </c>
      <c r="M127" s="9">
        <v>4.49</v>
      </c>
      <c r="N127" s="9">
        <v>28638.0</v>
      </c>
      <c r="O127" s="9" t="s">
        <v>539</v>
      </c>
      <c r="P127" s="14" t="s">
        <v>540</v>
      </c>
      <c r="U127" s="17"/>
      <c r="V127" s="18"/>
      <c r="W127" s="16"/>
      <c r="X127" s="16"/>
      <c r="Y127" s="16"/>
    </row>
    <row r="128">
      <c r="A128" s="9" t="s">
        <v>541</v>
      </c>
      <c r="B128" s="10" t="s">
        <v>542</v>
      </c>
      <c r="C128" s="10" t="s">
        <v>76</v>
      </c>
      <c r="D128" s="10" t="s">
        <v>77</v>
      </c>
      <c r="E128" s="10" t="s">
        <v>78</v>
      </c>
      <c r="F128" s="10" t="s">
        <v>79</v>
      </c>
      <c r="G128" s="10" t="s">
        <v>22</v>
      </c>
      <c r="H128" s="10" t="s">
        <v>80</v>
      </c>
      <c r="I128" s="11">
        <v>229.0</v>
      </c>
      <c r="J128" s="11">
        <v>595.0</v>
      </c>
      <c r="K128" s="12">
        <f t="shared" si="1"/>
        <v>0.6151260504</v>
      </c>
      <c r="L128" s="13">
        <f>IFERROR(__xludf.DUMMYFUNCTION("GOOGLEFINANCE(""CURRENCY:INRBRL"") * I128
"),13.48390343302)</f>
        <v>13.48390343</v>
      </c>
      <c r="M128" s="9">
        <v>4.5</v>
      </c>
      <c r="N128" s="9">
        <v>12835.0</v>
      </c>
      <c r="O128" s="9" t="s">
        <v>543</v>
      </c>
      <c r="P128" s="14" t="s">
        <v>544</v>
      </c>
      <c r="U128" s="17"/>
      <c r="V128" s="18"/>
      <c r="W128" s="16"/>
      <c r="X128" s="16"/>
      <c r="Y128" s="16"/>
    </row>
    <row r="129">
      <c r="A129" s="9" t="s">
        <v>545</v>
      </c>
      <c r="B129" s="10" t="s">
        <v>546</v>
      </c>
      <c r="C129" s="10" t="s">
        <v>96</v>
      </c>
      <c r="D129" s="10" t="s">
        <v>77</v>
      </c>
      <c r="E129" s="10" t="s">
        <v>78</v>
      </c>
      <c r="F129" s="10" t="s">
        <v>97</v>
      </c>
      <c r="G129" s="10" t="s">
        <v>98</v>
      </c>
      <c r="H129" s="10"/>
      <c r="I129" s="11">
        <v>9999.0</v>
      </c>
      <c r="J129" s="11">
        <v>27990.0</v>
      </c>
      <c r="K129" s="12">
        <f t="shared" si="1"/>
        <v>0.6427652733</v>
      </c>
      <c r="L129" s="13">
        <f>IFERROR(__xludf.DUMMYFUNCTION("GOOGLEFINANCE(""CURRENCY:INRBRL"") * I129
"),588.75786212562)</f>
        <v>588.7578621</v>
      </c>
      <c r="M129" s="9">
        <v>4.5</v>
      </c>
      <c r="N129" s="9">
        <v>1269.0</v>
      </c>
      <c r="O129" s="9" t="s">
        <v>547</v>
      </c>
      <c r="P129" s="14" t="s">
        <v>548</v>
      </c>
      <c r="U129" s="17"/>
      <c r="V129" s="18"/>
      <c r="W129" s="16"/>
      <c r="X129" s="16"/>
      <c r="Y129" s="16"/>
    </row>
    <row r="130">
      <c r="A130" s="9" t="s">
        <v>549</v>
      </c>
      <c r="B130" s="10" t="s">
        <v>550</v>
      </c>
      <c r="C130" s="10" t="s">
        <v>227</v>
      </c>
      <c r="D130" s="10" t="s">
        <v>77</v>
      </c>
      <c r="E130" s="10" t="s">
        <v>78</v>
      </c>
      <c r="F130" s="10" t="s">
        <v>79</v>
      </c>
      <c r="G130" s="10" t="s">
        <v>228</v>
      </c>
      <c r="H130" s="10"/>
      <c r="I130" s="11">
        <v>349.0</v>
      </c>
      <c r="J130" s="11">
        <v>599.0</v>
      </c>
      <c r="K130" s="12">
        <f t="shared" si="1"/>
        <v>0.4173622705</v>
      </c>
      <c r="L130" s="13">
        <f>IFERROR(__xludf.DUMMYFUNCTION("GOOGLEFINANCE(""CURRENCY:INRBRL"") * I130
"),20.549704358619998)</f>
        <v>20.54970436</v>
      </c>
      <c r="M130" s="9">
        <v>4.5</v>
      </c>
      <c r="N130" s="9">
        <v>284.0</v>
      </c>
      <c r="O130" s="9" t="s">
        <v>551</v>
      </c>
      <c r="P130" s="14" t="s">
        <v>552</v>
      </c>
      <c r="U130" s="17"/>
      <c r="V130" s="18"/>
      <c r="W130" s="16"/>
      <c r="X130" s="16"/>
      <c r="Y130" s="16"/>
    </row>
    <row r="131">
      <c r="A131" s="9" t="s">
        <v>553</v>
      </c>
      <c r="B131" s="10" t="s">
        <v>554</v>
      </c>
      <c r="C131" s="10" t="s">
        <v>555</v>
      </c>
      <c r="D131" s="10" t="s">
        <v>77</v>
      </c>
      <c r="E131" s="10" t="s">
        <v>78</v>
      </c>
      <c r="F131" s="10" t="s">
        <v>79</v>
      </c>
      <c r="G131" s="10" t="s">
        <v>22</v>
      </c>
      <c r="H131" s="10" t="s">
        <v>556</v>
      </c>
      <c r="I131" s="11">
        <v>489.0</v>
      </c>
      <c r="J131" s="11">
        <v>1200.0</v>
      </c>
      <c r="K131" s="12">
        <f t="shared" si="1"/>
        <v>0.5925</v>
      </c>
      <c r="L131" s="13">
        <f>IFERROR(__xludf.DUMMYFUNCTION("GOOGLEFINANCE(""CURRENCY:INRBRL"") * I131
"),28.79313877182)</f>
        <v>28.79313877</v>
      </c>
      <c r="M131" s="9">
        <v>4.5</v>
      </c>
      <c r="N131" s="9">
        <v>69538.0</v>
      </c>
      <c r="O131" s="9" t="s">
        <v>557</v>
      </c>
      <c r="P131" s="14" t="s">
        <v>558</v>
      </c>
      <c r="U131" s="17"/>
      <c r="V131" s="18"/>
      <c r="W131" s="16"/>
      <c r="X131" s="16"/>
      <c r="Y131" s="16"/>
    </row>
    <row r="132">
      <c r="A132" s="9" t="s">
        <v>559</v>
      </c>
      <c r="B132" s="10" t="s">
        <v>560</v>
      </c>
      <c r="C132" s="10" t="s">
        <v>96</v>
      </c>
      <c r="D132" s="10" t="s">
        <v>77</v>
      </c>
      <c r="E132" s="10" t="s">
        <v>78</v>
      </c>
      <c r="F132" s="10" t="s">
        <v>97</v>
      </c>
      <c r="G132" s="10" t="s">
        <v>98</v>
      </c>
      <c r="H132" s="10"/>
      <c r="I132" s="11">
        <v>23999.0</v>
      </c>
      <c r="J132" s="11">
        <v>34990.0</v>
      </c>
      <c r="K132" s="12">
        <f t="shared" si="1"/>
        <v>0.3141183195</v>
      </c>
      <c r="L132" s="13">
        <f>IFERROR(__xludf.DUMMYFUNCTION("GOOGLEFINANCE(""CURRENCY:INRBRL"") * I132
"),1413.10130344562)</f>
        <v>1413.101303</v>
      </c>
      <c r="M132" s="9">
        <v>4.5</v>
      </c>
      <c r="N132" s="9">
        <v>4703.0</v>
      </c>
      <c r="O132" s="9" t="s">
        <v>386</v>
      </c>
      <c r="P132" s="14" t="s">
        <v>561</v>
      </c>
      <c r="U132" s="17"/>
      <c r="V132" s="18"/>
      <c r="W132" s="16"/>
      <c r="X132" s="16"/>
      <c r="Y132" s="16"/>
    </row>
    <row r="133">
      <c r="A133" s="9" t="s">
        <v>562</v>
      </c>
      <c r="B133" s="10" t="s">
        <v>563</v>
      </c>
      <c r="C133" s="10" t="s">
        <v>18</v>
      </c>
      <c r="D133" s="10" t="s">
        <v>19</v>
      </c>
      <c r="E133" s="10" t="s">
        <v>20</v>
      </c>
      <c r="F133" s="10" t="s">
        <v>21</v>
      </c>
      <c r="G133" s="10" t="s">
        <v>22</v>
      </c>
      <c r="H133" s="10" t="s">
        <v>23</v>
      </c>
      <c r="I133" s="11">
        <v>399.0</v>
      </c>
      <c r="J133" s="11">
        <v>999.0</v>
      </c>
      <c r="K133" s="12">
        <f t="shared" si="1"/>
        <v>0.6006006006</v>
      </c>
      <c r="L133" s="13">
        <f>IFERROR(__xludf.DUMMYFUNCTION("GOOGLEFINANCE(""CURRENCY:INRBRL"") * I133
"),23.49378807762)</f>
        <v>23.49378808</v>
      </c>
      <c r="M133" s="9">
        <v>4.5</v>
      </c>
      <c r="N133" s="9">
        <v>2806.0</v>
      </c>
      <c r="O133" s="9" t="s">
        <v>564</v>
      </c>
      <c r="P133" s="14" t="s">
        <v>565</v>
      </c>
      <c r="U133" s="17"/>
      <c r="V133" s="18"/>
      <c r="W133" s="16"/>
      <c r="X133" s="16"/>
      <c r="Y133" s="16"/>
    </row>
    <row r="134">
      <c r="A134" s="9" t="s">
        <v>566</v>
      </c>
      <c r="B134" s="10" t="s">
        <v>567</v>
      </c>
      <c r="C134" s="10" t="s">
        <v>568</v>
      </c>
      <c r="D134" s="10" t="s">
        <v>77</v>
      </c>
      <c r="E134" s="10" t="s">
        <v>569</v>
      </c>
      <c r="F134" s="10" t="s">
        <v>79</v>
      </c>
      <c r="G134" s="10" t="s">
        <v>570</v>
      </c>
      <c r="H134" s="10" t="s">
        <v>571</v>
      </c>
      <c r="I134" s="11">
        <v>349.0</v>
      </c>
      <c r="J134" s="11">
        <v>1299.0</v>
      </c>
      <c r="K134" s="12">
        <f t="shared" si="1"/>
        <v>0.7313317937</v>
      </c>
      <c r="L134" s="13">
        <f>IFERROR(__xludf.DUMMYFUNCTION("GOOGLEFINANCE(""CURRENCY:INRBRL"") * I134
"),20.549704358619998)</f>
        <v>20.54970436</v>
      </c>
      <c r="M134" s="9">
        <v>4.0</v>
      </c>
      <c r="N134" s="9">
        <v>3295.0</v>
      </c>
      <c r="O134" s="9" t="s">
        <v>572</v>
      </c>
      <c r="P134" s="14" t="s">
        <v>573</v>
      </c>
      <c r="U134" s="17"/>
      <c r="V134" s="18"/>
      <c r="W134" s="16"/>
      <c r="X134" s="16"/>
      <c r="Y134" s="16"/>
    </row>
    <row r="135">
      <c r="A135" s="9" t="s">
        <v>574</v>
      </c>
      <c r="B135" s="10" t="s">
        <v>575</v>
      </c>
      <c r="C135" s="10" t="s">
        <v>18</v>
      </c>
      <c r="D135" s="10" t="s">
        <v>19</v>
      </c>
      <c r="E135" s="10" t="s">
        <v>20</v>
      </c>
      <c r="F135" s="10" t="s">
        <v>21</v>
      </c>
      <c r="G135" s="10" t="s">
        <v>22</v>
      </c>
      <c r="H135" s="10" t="s">
        <v>23</v>
      </c>
      <c r="I135" s="11">
        <v>179.0</v>
      </c>
      <c r="J135" s="11">
        <v>299.0</v>
      </c>
      <c r="K135" s="12">
        <f t="shared" si="1"/>
        <v>0.4013377926</v>
      </c>
      <c r="L135" s="13">
        <f>IFERROR(__xludf.DUMMYFUNCTION("GOOGLEFINANCE(""CURRENCY:INRBRL"") * I135
"),10.53981971402)</f>
        <v>10.53981971</v>
      </c>
      <c r="M135" s="9">
        <v>4.52</v>
      </c>
      <c r="N135" s="9">
        <v>81.0</v>
      </c>
      <c r="O135" s="9" t="s">
        <v>576</v>
      </c>
      <c r="P135" s="14" t="s">
        <v>577</v>
      </c>
      <c r="U135" s="17"/>
      <c r="V135" s="18"/>
      <c r="W135" s="16"/>
      <c r="X135" s="16"/>
      <c r="Y135" s="16"/>
    </row>
    <row r="136">
      <c r="A136" s="9" t="s">
        <v>578</v>
      </c>
      <c r="B136" s="10" t="s">
        <v>579</v>
      </c>
      <c r="C136" s="10" t="s">
        <v>18</v>
      </c>
      <c r="D136" s="10" t="s">
        <v>19</v>
      </c>
      <c r="E136" s="10" t="s">
        <v>20</v>
      </c>
      <c r="F136" s="10" t="s">
        <v>21</v>
      </c>
      <c r="G136" s="10" t="s">
        <v>22</v>
      </c>
      <c r="H136" s="10" t="s">
        <v>23</v>
      </c>
      <c r="I136" s="11">
        <v>689.0</v>
      </c>
      <c r="J136" s="11">
        <v>1499.0</v>
      </c>
      <c r="K136" s="12">
        <f t="shared" si="1"/>
        <v>0.5403602402</v>
      </c>
      <c r="L136" s="13">
        <f>IFERROR(__xludf.DUMMYFUNCTION("GOOGLEFINANCE(""CURRENCY:INRBRL"") * I136
"),40.56947364782)</f>
        <v>40.56947365</v>
      </c>
      <c r="M136" s="9">
        <v>4.5</v>
      </c>
      <c r="N136" s="9">
        <v>42301.0</v>
      </c>
      <c r="O136" s="9" t="s">
        <v>580</v>
      </c>
      <c r="P136" s="14" t="s">
        <v>581</v>
      </c>
      <c r="U136" s="17"/>
      <c r="V136" s="18"/>
      <c r="W136" s="16"/>
      <c r="X136" s="16"/>
      <c r="Y136" s="16"/>
    </row>
    <row r="137">
      <c r="A137" s="9" t="s">
        <v>582</v>
      </c>
      <c r="B137" s="10" t="s">
        <v>583</v>
      </c>
      <c r="C137" s="10" t="s">
        <v>96</v>
      </c>
      <c r="D137" s="10" t="s">
        <v>77</v>
      </c>
      <c r="E137" s="10" t="s">
        <v>78</v>
      </c>
      <c r="F137" s="10" t="s">
        <v>97</v>
      </c>
      <c r="G137" s="10" t="s">
        <v>98</v>
      </c>
      <c r="H137" s="10"/>
      <c r="I137" s="11">
        <v>30990.0</v>
      </c>
      <c r="J137" s="11">
        <v>49990.0</v>
      </c>
      <c r="K137" s="12">
        <f t="shared" si="1"/>
        <v>0.3800760152</v>
      </c>
      <c r="L137" s="13">
        <f>IFERROR(__xludf.DUMMYFUNCTION("GOOGLEFINANCE(""CURRENCY:INRBRL"") * I137
"),1824.7430890362)</f>
        <v>1824.743089</v>
      </c>
      <c r="M137" s="9">
        <v>4.5</v>
      </c>
      <c r="N137" s="9">
        <v>1376.0</v>
      </c>
      <c r="O137" s="9" t="s">
        <v>584</v>
      </c>
      <c r="P137" s="14" t="s">
        <v>585</v>
      </c>
      <c r="U137" s="17"/>
      <c r="V137" s="18"/>
      <c r="W137" s="16"/>
      <c r="X137" s="16"/>
      <c r="Y137" s="16"/>
    </row>
    <row r="138">
      <c r="A138" s="9" t="s">
        <v>586</v>
      </c>
      <c r="B138" s="10" t="s">
        <v>587</v>
      </c>
      <c r="C138" s="10" t="s">
        <v>18</v>
      </c>
      <c r="D138" s="10" t="s">
        <v>19</v>
      </c>
      <c r="E138" s="10" t="s">
        <v>20</v>
      </c>
      <c r="F138" s="10" t="s">
        <v>21</v>
      </c>
      <c r="G138" s="10" t="s">
        <v>22</v>
      </c>
      <c r="H138" s="10" t="s">
        <v>23</v>
      </c>
      <c r="I138" s="11">
        <v>249.0</v>
      </c>
      <c r="J138" s="11">
        <v>931.0</v>
      </c>
      <c r="K138" s="12">
        <f t="shared" si="1"/>
        <v>0.7325456498</v>
      </c>
      <c r="L138" s="13">
        <f>IFERROR(__xludf.DUMMYFUNCTION("GOOGLEFINANCE(""CURRENCY:INRBRL"") * I138
"),14.66153692062)</f>
        <v>14.66153692</v>
      </c>
      <c r="M138" s="9">
        <v>4.52</v>
      </c>
      <c r="N138" s="9">
        <v>1075.0</v>
      </c>
      <c r="O138" s="9" t="s">
        <v>588</v>
      </c>
      <c r="P138" s="14" t="s">
        <v>589</v>
      </c>
      <c r="U138" s="17"/>
      <c r="V138" s="18"/>
      <c r="W138" s="16"/>
      <c r="X138" s="16"/>
      <c r="Y138" s="16"/>
    </row>
    <row r="139">
      <c r="A139" s="9" t="s">
        <v>590</v>
      </c>
      <c r="B139" s="10" t="s">
        <v>591</v>
      </c>
      <c r="C139" s="10" t="s">
        <v>76</v>
      </c>
      <c r="D139" s="10" t="s">
        <v>77</v>
      </c>
      <c r="E139" s="10" t="s">
        <v>78</v>
      </c>
      <c r="F139" s="10" t="s">
        <v>79</v>
      </c>
      <c r="G139" s="10" t="s">
        <v>22</v>
      </c>
      <c r="H139" s="10" t="s">
        <v>80</v>
      </c>
      <c r="I139" s="11">
        <v>999.0</v>
      </c>
      <c r="J139" s="11">
        <v>2399.0</v>
      </c>
      <c r="K139" s="12">
        <f t="shared" si="1"/>
        <v>0.5835764902</v>
      </c>
      <c r="L139" s="13">
        <f>IFERROR(__xludf.DUMMYFUNCTION("GOOGLEFINANCE(""CURRENCY:INRBRL"") * I139
"),58.822792705619996)</f>
        <v>58.82279271</v>
      </c>
      <c r="M139" s="9">
        <v>4.51</v>
      </c>
      <c r="N139" s="9">
        <v>3664.0</v>
      </c>
      <c r="O139" s="9" t="s">
        <v>592</v>
      </c>
      <c r="P139" s="14" t="s">
        <v>593</v>
      </c>
      <c r="U139" s="17"/>
      <c r="V139" s="18"/>
      <c r="W139" s="16"/>
      <c r="X139" s="16"/>
      <c r="Y139" s="16"/>
    </row>
    <row r="140">
      <c r="A140" s="9" t="s">
        <v>594</v>
      </c>
      <c r="B140" s="10" t="s">
        <v>595</v>
      </c>
      <c r="C140" s="10" t="s">
        <v>227</v>
      </c>
      <c r="D140" s="10" t="s">
        <v>77</v>
      </c>
      <c r="E140" s="10" t="s">
        <v>78</v>
      </c>
      <c r="F140" s="10" t="s">
        <v>79</v>
      </c>
      <c r="G140" s="10" t="s">
        <v>228</v>
      </c>
      <c r="H140" s="10"/>
      <c r="I140" s="11">
        <v>399.0</v>
      </c>
      <c r="J140" s="11">
        <v>399.0</v>
      </c>
      <c r="K140" s="12">
        <f t="shared" si="1"/>
        <v>0</v>
      </c>
      <c r="L140" s="13">
        <f>IFERROR(__xludf.DUMMYFUNCTION("GOOGLEFINANCE(""CURRENCY:INRBRL"") * I140
"),23.49378807762)</f>
        <v>23.49378808</v>
      </c>
      <c r="M140" s="9">
        <v>4.52</v>
      </c>
      <c r="N140" s="9">
        <v>1951.0</v>
      </c>
      <c r="O140" s="9" t="s">
        <v>596</v>
      </c>
      <c r="P140" s="14" t="s">
        <v>597</v>
      </c>
      <c r="U140" s="17"/>
      <c r="V140" s="18"/>
      <c r="W140" s="16"/>
      <c r="X140" s="16"/>
      <c r="Y140" s="16"/>
    </row>
    <row r="141">
      <c r="A141" s="9" t="s">
        <v>598</v>
      </c>
      <c r="B141" s="10" t="s">
        <v>599</v>
      </c>
      <c r="C141" s="10" t="s">
        <v>18</v>
      </c>
      <c r="D141" s="10" t="s">
        <v>19</v>
      </c>
      <c r="E141" s="10" t="s">
        <v>20</v>
      </c>
      <c r="F141" s="10" t="s">
        <v>21</v>
      </c>
      <c r="G141" s="10" t="s">
        <v>22</v>
      </c>
      <c r="H141" s="10" t="s">
        <v>23</v>
      </c>
      <c r="I141" s="11">
        <v>349.0</v>
      </c>
      <c r="J141" s="11">
        <v>699.0</v>
      </c>
      <c r="K141" s="12">
        <f t="shared" si="1"/>
        <v>0.5007153076</v>
      </c>
      <c r="L141" s="13">
        <f>IFERROR(__xludf.DUMMYFUNCTION("GOOGLEFINANCE(""CURRENCY:INRBRL"") * I141
"),20.549704358619998)</f>
        <v>20.54970436</v>
      </c>
      <c r="M141" s="9">
        <v>4.5</v>
      </c>
      <c r="N141" s="9">
        <v>2085.0</v>
      </c>
      <c r="O141" s="9" t="s">
        <v>600</v>
      </c>
      <c r="P141" s="14" t="s">
        <v>601</v>
      </c>
      <c r="U141" s="17"/>
      <c r="V141" s="18"/>
      <c r="W141" s="16"/>
      <c r="X141" s="16"/>
      <c r="Y141" s="16"/>
    </row>
    <row r="142">
      <c r="A142" s="9" t="s">
        <v>602</v>
      </c>
      <c r="B142" s="10" t="s">
        <v>603</v>
      </c>
      <c r="C142" s="10" t="s">
        <v>18</v>
      </c>
      <c r="D142" s="10" t="s">
        <v>19</v>
      </c>
      <c r="E142" s="10" t="s">
        <v>20</v>
      </c>
      <c r="F142" s="10" t="s">
        <v>21</v>
      </c>
      <c r="G142" s="10" t="s">
        <v>22</v>
      </c>
      <c r="H142" s="10" t="s">
        <v>23</v>
      </c>
      <c r="I142" s="11">
        <v>399.0</v>
      </c>
      <c r="J142" s="11">
        <v>1099.0</v>
      </c>
      <c r="K142" s="12">
        <f t="shared" si="1"/>
        <v>0.6369426752</v>
      </c>
      <c r="L142" s="13">
        <f>IFERROR(__xludf.DUMMYFUNCTION("GOOGLEFINANCE(""CURRENCY:INRBRL"") * I142
"),23.49378807762)</f>
        <v>23.49378808</v>
      </c>
      <c r="M142" s="9">
        <v>4.49</v>
      </c>
      <c r="N142" s="9">
        <v>2685.0</v>
      </c>
      <c r="O142" s="9" t="s">
        <v>604</v>
      </c>
      <c r="P142" s="14" t="s">
        <v>605</v>
      </c>
      <c r="U142" s="17"/>
      <c r="V142" s="18"/>
      <c r="W142" s="16"/>
      <c r="X142" s="16"/>
      <c r="Y142" s="16"/>
    </row>
    <row r="143">
      <c r="A143" s="9" t="s">
        <v>606</v>
      </c>
      <c r="B143" s="10" t="s">
        <v>607</v>
      </c>
      <c r="C143" s="10" t="s">
        <v>56</v>
      </c>
      <c r="D143" s="10" t="s">
        <v>19</v>
      </c>
      <c r="E143" s="10" t="s">
        <v>57</v>
      </c>
      <c r="F143" s="10" t="s">
        <v>58</v>
      </c>
      <c r="G143" s="10" t="s">
        <v>59</v>
      </c>
      <c r="H143" s="10"/>
      <c r="I143" s="11">
        <v>1699.0</v>
      </c>
      <c r="J143" s="11">
        <v>2999.0</v>
      </c>
      <c r="K143" s="12">
        <f t="shared" si="1"/>
        <v>0.4334778259</v>
      </c>
      <c r="L143" s="13">
        <f>IFERROR(__xludf.DUMMYFUNCTION("GOOGLEFINANCE(""CURRENCY:INRBRL"") * I143
"),100.03996477161999)</f>
        <v>100.0399648</v>
      </c>
      <c r="M143" s="9">
        <v>4.5</v>
      </c>
      <c r="N143" s="9">
        <v>2478.0</v>
      </c>
      <c r="O143" s="9" t="s">
        <v>608</v>
      </c>
      <c r="P143" s="14" t="s">
        <v>609</v>
      </c>
      <c r="U143" s="17"/>
      <c r="V143" s="18"/>
      <c r="W143" s="16"/>
      <c r="X143" s="16"/>
      <c r="Y143" s="16"/>
    </row>
    <row r="144">
      <c r="A144" s="9" t="s">
        <v>610</v>
      </c>
      <c r="B144" s="10" t="s">
        <v>611</v>
      </c>
      <c r="C144" s="10" t="s">
        <v>227</v>
      </c>
      <c r="D144" s="10" t="s">
        <v>77</v>
      </c>
      <c r="E144" s="10" t="s">
        <v>78</v>
      </c>
      <c r="F144" s="10" t="s">
        <v>79</v>
      </c>
      <c r="G144" s="10" t="s">
        <v>228</v>
      </c>
      <c r="H144" s="10"/>
      <c r="I144" s="11">
        <v>655.0</v>
      </c>
      <c r="J144" s="11">
        <v>1099.0</v>
      </c>
      <c r="K144" s="12">
        <f t="shared" si="1"/>
        <v>0.4040036397</v>
      </c>
      <c r="L144" s="13">
        <f>IFERROR(__xludf.DUMMYFUNCTION("GOOGLEFINANCE(""CURRENCY:INRBRL"") * I144
"),38.567496718899996)</f>
        <v>38.56749672</v>
      </c>
      <c r="M144" s="9">
        <v>4.5</v>
      </c>
      <c r="N144" s="9">
        <v>285.0</v>
      </c>
      <c r="O144" s="9" t="s">
        <v>612</v>
      </c>
      <c r="P144" s="14" t="s">
        <v>613</v>
      </c>
      <c r="U144" s="17"/>
      <c r="V144" s="18"/>
      <c r="W144" s="16"/>
      <c r="X144" s="16"/>
      <c r="Y144" s="16"/>
    </row>
    <row r="145">
      <c r="A145" s="9" t="s">
        <v>614</v>
      </c>
      <c r="B145" s="10" t="s">
        <v>615</v>
      </c>
      <c r="C145" s="10" t="s">
        <v>56</v>
      </c>
      <c r="D145" s="10" t="s">
        <v>19</v>
      </c>
      <c r="E145" s="10" t="s">
        <v>57</v>
      </c>
      <c r="F145" s="10" t="s">
        <v>58</v>
      </c>
      <c r="G145" s="10" t="s">
        <v>59</v>
      </c>
      <c r="H145" s="10"/>
      <c r="I145" s="11">
        <v>749.0</v>
      </c>
      <c r="J145" s="11">
        <v>1339.0</v>
      </c>
      <c r="K145" s="12">
        <f t="shared" si="1"/>
        <v>0.4406273338</v>
      </c>
      <c r="L145" s="13">
        <f>IFERROR(__xludf.DUMMYFUNCTION("GOOGLEFINANCE(""CURRENCY:INRBRL"") * I145
"),44.10237411062)</f>
        <v>44.10237411</v>
      </c>
      <c r="M145" s="9">
        <v>4.5</v>
      </c>
      <c r="N145" s="9">
        <v>179692.0</v>
      </c>
      <c r="O145" s="9" t="s">
        <v>616</v>
      </c>
      <c r="P145" s="14" t="s">
        <v>617</v>
      </c>
      <c r="U145" s="17"/>
      <c r="V145" s="18"/>
      <c r="W145" s="16"/>
      <c r="X145" s="16"/>
      <c r="Y145" s="16"/>
    </row>
    <row r="146">
      <c r="A146" s="9" t="s">
        <v>618</v>
      </c>
      <c r="B146" s="10" t="s">
        <v>619</v>
      </c>
      <c r="C146" s="10" t="s">
        <v>96</v>
      </c>
      <c r="D146" s="10" t="s">
        <v>77</v>
      </c>
      <c r="E146" s="10" t="s">
        <v>78</v>
      </c>
      <c r="F146" s="10" t="s">
        <v>97</v>
      </c>
      <c r="G146" s="10" t="s">
        <v>98</v>
      </c>
      <c r="H146" s="10"/>
      <c r="I146" s="11">
        <v>9999.0</v>
      </c>
      <c r="J146" s="11">
        <v>12999.0</v>
      </c>
      <c r="K146" s="12">
        <f t="shared" si="1"/>
        <v>0.2307869836</v>
      </c>
      <c r="L146" s="13">
        <f>IFERROR(__xludf.DUMMYFUNCTION("GOOGLEFINANCE(""CURRENCY:INRBRL"") * I146
"),588.75786212562)</f>
        <v>588.7578621</v>
      </c>
      <c r="M146" s="9">
        <v>4.5</v>
      </c>
      <c r="N146" s="9">
        <v>6088.0</v>
      </c>
      <c r="O146" s="9" t="s">
        <v>620</v>
      </c>
      <c r="P146" s="14" t="s">
        <v>621</v>
      </c>
      <c r="U146" s="17"/>
      <c r="V146" s="18"/>
      <c r="W146" s="16"/>
      <c r="X146" s="16"/>
      <c r="Y146" s="16"/>
    </row>
    <row r="147">
      <c r="A147" s="9" t="s">
        <v>622</v>
      </c>
      <c r="B147" s="10" t="s">
        <v>623</v>
      </c>
      <c r="C147" s="10" t="s">
        <v>227</v>
      </c>
      <c r="D147" s="10" t="s">
        <v>77</v>
      </c>
      <c r="E147" s="10" t="s">
        <v>78</v>
      </c>
      <c r="F147" s="10" t="s">
        <v>79</v>
      </c>
      <c r="G147" s="10" t="s">
        <v>228</v>
      </c>
      <c r="H147" s="10"/>
      <c r="I147" s="11">
        <v>195.0</v>
      </c>
      <c r="J147" s="11">
        <v>499.0</v>
      </c>
      <c r="K147" s="12">
        <f t="shared" si="1"/>
        <v>0.6092184369</v>
      </c>
      <c r="L147" s="13">
        <f>IFERROR(__xludf.DUMMYFUNCTION("GOOGLEFINANCE(""CURRENCY:INRBRL"") * I147
"),11.4819265041)</f>
        <v>11.4819265</v>
      </c>
      <c r="M147" s="9">
        <v>4.51</v>
      </c>
      <c r="N147" s="9">
        <v>1383.0</v>
      </c>
      <c r="O147" s="9" t="s">
        <v>624</v>
      </c>
      <c r="P147" s="14" t="s">
        <v>625</v>
      </c>
      <c r="U147" s="17"/>
      <c r="V147" s="18"/>
      <c r="W147" s="16"/>
      <c r="X147" s="16"/>
      <c r="Y147" s="16"/>
    </row>
    <row r="148">
      <c r="A148" s="9" t="s">
        <v>626</v>
      </c>
      <c r="B148" s="10" t="s">
        <v>627</v>
      </c>
      <c r="C148" s="10" t="s">
        <v>18</v>
      </c>
      <c r="D148" s="10" t="s">
        <v>19</v>
      </c>
      <c r="E148" s="10" t="s">
        <v>20</v>
      </c>
      <c r="F148" s="10" t="s">
        <v>21</v>
      </c>
      <c r="G148" s="10" t="s">
        <v>22</v>
      </c>
      <c r="H148" s="10" t="s">
        <v>23</v>
      </c>
      <c r="I148" s="11">
        <v>999.0</v>
      </c>
      <c r="J148" s="11">
        <v>2100.0</v>
      </c>
      <c r="K148" s="12">
        <f t="shared" si="1"/>
        <v>0.5242857143</v>
      </c>
      <c r="L148" s="13">
        <f>IFERROR(__xludf.DUMMYFUNCTION("GOOGLEFINANCE(""CURRENCY:INRBRL"") * I148
"),58.822792705619996)</f>
        <v>58.82279271</v>
      </c>
      <c r="M148" s="9">
        <v>4.51</v>
      </c>
      <c r="N148" s="9">
        <v>5492.0</v>
      </c>
      <c r="O148" s="9" t="s">
        <v>245</v>
      </c>
      <c r="P148" s="14" t="s">
        <v>628</v>
      </c>
      <c r="U148" s="17"/>
      <c r="V148" s="18"/>
      <c r="W148" s="16"/>
      <c r="X148" s="16"/>
      <c r="Y148" s="16"/>
    </row>
    <row r="149">
      <c r="A149" s="9" t="s">
        <v>629</v>
      </c>
      <c r="B149" s="10" t="s">
        <v>630</v>
      </c>
      <c r="C149" s="10" t="s">
        <v>18</v>
      </c>
      <c r="D149" s="10" t="s">
        <v>19</v>
      </c>
      <c r="E149" s="10" t="s">
        <v>20</v>
      </c>
      <c r="F149" s="10" t="s">
        <v>21</v>
      </c>
      <c r="G149" s="10" t="s">
        <v>22</v>
      </c>
      <c r="H149" s="10" t="s">
        <v>23</v>
      </c>
      <c r="I149" s="11">
        <v>499.0</v>
      </c>
      <c r="J149" s="11">
        <v>899.0</v>
      </c>
      <c r="K149" s="12">
        <f t="shared" si="1"/>
        <v>0.4449388209</v>
      </c>
      <c r="L149" s="13">
        <f>IFERROR(__xludf.DUMMYFUNCTION("GOOGLEFINANCE(""CURRENCY:INRBRL"") * I149
"),29.38195551562)</f>
        <v>29.38195552</v>
      </c>
      <c r="M149" s="9">
        <v>4.5</v>
      </c>
      <c r="N149" s="9">
        <v>919.0</v>
      </c>
      <c r="O149" s="9" t="s">
        <v>631</v>
      </c>
      <c r="P149" s="14" t="s">
        <v>632</v>
      </c>
      <c r="U149" s="17"/>
      <c r="V149" s="18"/>
      <c r="W149" s="16"/>
      <c r="X149" s="16"/>
      <c r="Y149" s="16"/>
    </row>
    <row r="150">
      <c r="A150" s="9" t="s">
        <v>633</v>
      </c>
      <c r="B150" s="10" t="s">
        <v>634</v>
      </c>
      <c r="C150" s="10" t="s">
        <v>635</v>
      </c>
      <c r="D150" s="10" t="s">
        <v>77</v>
      </c>
      <c r="E150" s="10" t="s">
        <v>78</v>
      </c>
      <c r="F150" s="10" t="s">
        <v>79</v>
      </c>
      <c r="G150" s="10" t="s">
        <v>22</v>
      </c>
      <c r="H150" s="10" t="s">
        <v>636</v>
      </c>
      <c r="I150" s="11">
        <v>416.0</v>
      </c>
      <c r="J150" s="11">
        <v>599.0</v>
      </c>
      <c r="K150" s="12">
        <f t="shared" si="1"/>
        <v>0.305509182</v>
      </c>
      <c r="L150" s="13">
        <f>IFERROR(__xludf.DUMMYFUNCTION("GOOGLEFINANCE(""CURRENCY:INRBRL"") * I150
"),24.49477654208)</f>
        <v>24.49477654</v>
      </c>
      <c r="M150" s="9">
        <v>4.5</v>
      </c>
      <c r="N150" s="9">
        <v>30023.0</v>
      </c>
      <c r="O150" s="9" t="s">
        <v>637</v>
      </c>
      <c r="P150" s="14" t="s">
        <v>638</v>
      </c>
      <c r="U150" s="17"/>
      <c r="V150" s="18"/>
      <c r="W150" s="16"/>
      <c r="X150" s="16"/>
      <c r="Y150" s="16"/>
    </row>
    <row r="151">
      <c r="A151" s="9" t="s">
        <v>639</v>
      </c>
      <c r="B151" s="10" t="s">
        <v>640</v>
      </c>
      <c r="C151" s="10" t="s">
        <v>18</v>
      </c>
      <c r="D151" s="10" t="s">
        <v>19</v>
      </c>
      <c r="E151" s="10" t="s">
        <v>20</v>
      </c>
      <c r="F151" s="10" t="s">
        <v>21</v>
      </c>
      <c r="G151" s="10" t="s">
        <v>22</v>
      </c>
      <c r="H151" s="10" t="s">
        <v>23</v>
      </c>
      <c r="I151" s="11">
        <v>368.0</v>
      </c>
      <c r="J151" s="11">
        <v>699.0</v>
      </c>
      <c r="K151" s="12">
        <f t="shared" si="1"/>
        <v>0.4735336195</v>
      </c>
      <c r="L151" s="13">
        <f>IFERROR(__xludf.DUMMYFUNCTION("GOOGLEFINANCE(""CURRENCY:INRBRL"") * I151
"),21.66845617184)</f>
        <v>21.66845617</v>
      </c>
      <c r="M151" s="9">
        <v>4.5</v>
      </c>
      <c r="N151" s="9">
        <v>387.0</v>
      </c>
      <c r="O151" s="9" t="s">
        <v>641</v>
      </c>
      <c r="P151" s="14" t="s">
        <v>642</v>
      </c>
      <c r="U151" s="17"/>
      <c r="V151" s="18"/>
      <c r="W151" s="16"/>
      <c r="X151" s="16"/>
      <c r="Y151" s="16"/>
    </row>
    <row r="152">
      <c r="A152" s="9" t="s">
        <v>643</v>
      </c>
      <c r="B152" s="10" t="s">
        <v>644</v>
      </c>
      <c r="C152" s="10" t="s">
        <v>96</v>
      </c>
      <c r="D152" s="10" t="s">
        <v>77</v>
      </c>
      <c r="E152" s="10" t="s">
        <v>78</v>
      </c>
      <c r="F152" s="10" t="s">
        <v>97</v>
      </c>
      <c r="G152" s="10" t="s">
        <v>98</v>
      </c>
      <c r="H152" s="10"/>
      <c r="I152" s="11">
        <v>29990.0</v>
      </c>
      <c r="J152" s="11">
        <v>65000.0</v>
      </c>
      <c r="K152" s="12">
        <f t="shared" si="1"/>
        <v>0.5386153846</v>
      </c>
      <c r="L152" s="13">
        <f>IFERROR(__xludf.DUMMYFUNCTION("GOOGLEFINANCE(""CURRENCY:INRBRL"") * I152
"),1765.8614146562)</f>
        <v>1765.861415</v>
      </c>
      <c r="M152" s="9">
        <v>4.49</v>
      </c>
      <c r="N152" s="9">
        <v>211.0</v>
      </c>
      <c r="O152" s="9" t="s">
        <v>645</v>
      </c>
      <c r="P152" s="14" t="s">
        <v>646</v>
      </c>
      <c r="U152" s="17"/>
      <c r="V152" s="18"/>
      <c r="W152" s="16"/>
      <c r="X152" s="16"/>
      <c r="Y152" s="16"/>
    </row>
    <row r="153">
      <c r="A153" s="9" t="s">
        <v>647</v>
      </c>
      <c r="B153" s="10" t="s">
        <v>648</v>
      </c>
      <c r="C153" s="10" t="s">
        <v>18</v>
      </c>
      <c r="D153" s="10" t="s">
        <v>19</v>
      </c>
      <c r="E153" s="10" t="s">
        <v>20</v>
      </c>
      <c r="F153" s="10" t="s">
        <v>21</v>
      </c>
      <c r="G153" s="10" t="s">
        <v>22</v>
      </c>
      <c r="H153" s="10" t="s">
        <v>23</v>
      </c>
      <c r="I153" s="11">
        <v>339.0</v>
      </c>
      <c r="J153" s="11">
        <v>1099.0</v>
      </c>
      <c r="K153" s="12">
        <f t="shared" si="1"/>
        <v>0.6915377616</v>
      </c>
      <c r="L153" s="13">
        <f>IFERROR(__xludf.DUMMYFUNCTION("GOOGLEFINANCE(""CURRENCY:INRBRL"") * I153
"),19.96088761482)</f>
        <v>19.96088761</v>
      </c>
      <c r="M153" s="9">
        <v>4.5</v>
      </c>
      <c r="N153" s="9">
        <v>974.0</v>
      </c>
      <c r="O153" s="9" t="s">
        <v>649</v>
      </c>
      <c r="P153" s="14" t="s">
        <v>650</v>
      </c>
      <c r="U153" s="17"/>
      <c r="V153" s="18"/>
      <c r="W153" s="16"/>
      <c r="X153" s="16"/>
      <c r="Y153" s="16"/>
    </row>
    <row r="154">
      <c r="A154" s="9" t="s">
        <v>651</v>
      </c>
      <c r="B154" s="10" t="s">
        <v>652</v>
      </c>
      <c r="C154" s="10" t="s">
        <v>96</v>
      </c>
      <c r="D154" s="10" t="s">
        <v>77</v>
      </c>
      <c r="E154" s="10" t="s">
        <v>78</v>
      </c>
      <c r="F154" s="10" t="s">
        <v>97</v>
      </c>
      <c r="G154" s="10" t="s">
        <v>98</v>
      </c>
      <c r="H154" s="10"/>
      <c r="I154" s="11">
        <v>15490.0</v>
      </c>
      <c r="J154" s="11">
        <v>20900.0</v>
      </c>
      <c r="K154" s="12">
        <f t="shared" si="1"/>
        <v>0.2588516746</v>
      </c>
      <c r="L154" s="13">
        <f>IFERROR(__xludf.DUMMYFUNCTION("GOOGLEFINANCE(""CURRENCY:INRBRL"") * I154
"),912.0771361462)</f>
        <v>912.0771361</v>
      </c>
      <c r="M154" s="9">
        <v>4.5</v>
      </c>
      <c r="N154" s="9">
        <v>16299.0</v>
      </c>
      <c r="O154" s="9" t="s">
        <v>653</v>
      </c>
      <c r="P154" s="14" t="s">
        <v>654</v>
      </c>
      <c r="U154" s="17"/>
      <c r="V154" s="18"/>
      <c r="W154" s="16"/>
      <c r="X154" s="16"/>
      <c r="Y154" s="16"/>
    </row>
    <row r="155">
      <c r="A155" s="9" t="s">
        <v>655</v>
      </c>
      <c r="B155" s="10" t="s">
        <v>656</v>
      </c>
      <c r="C155" s="10" t="s">
        <v>18</v>
      </c>
      <c r="D155" s="10" t="s">
        <v>19</v>
      </c>
      <c r="E155" s="10" t="s">
        <v>20</v>
      </c>
      <c r="F155" s="10" t="s">
        <v>21</v>
      </c>
      <c r="G155" s="10" t="s">
        <v>22</v>
      </c>
      <c r="H155" s="10" t="s">
        <v>23</v>
      </c>
      <c r="I155" s="11">
        <v>499.0</v>
      </c>
      <c r="J155" s="11">
        <v>1299.0</v>
      </c>
      <c r="K155" s="12">
        <f t="shared" si="1"/>
        <v>0.6158583526</v>
      </c>
      <c r="L155" s="13">
        <f>IFERROR(__xludf.DUMMYFUNCTION("GOOGLEFINANCE(""CURRENCY:INRBRL"") * I155
"),29.38195551562)</f>
        <v>29.38195552</v>
      </c>
      <c r="M155" s="9">
        <v>4.5</v>
      </c>
      <c r="N155" s="9">
        <v>30411.0</v>
      </c>
      <c r="O155" s="9" t="s">
        <v>657</v>
      </c>
      <c r="P155" s="14" t="s">
        <v>658</v>
      </c>
      <c r="U155" s="17"/>
      <c r="V155" s="18"/>
      <c r="W155" s="16"/>
      <c r="X155" s="16"/>
      <c r="Y155" s="16"/>
    </row>
    <row r="156">
      <c r="A156" s="9" t="s">
        <v>659</v>
      </c>
      <c r="B156" s="10" t="s">
        <v>660</v>
      </c>
      <c r="C156" s="10" t="s">
        <v>56</v>
      </c>
      <c r="D156" s="10" t="s">
        <v>19</v>
      </c>
      <c r="E156" s="10" t="s">
        <v>57</v>
      </c>
      <c r="F156" s="10" t="s">
        <v>58</v>
      </c>
      <c r="G156" s="10" t="s">
        <v>59</v>
      </c>
      <c r="H156" s="10"/>
      <c r="I156" s="11">
        <v>249.0</v>
      </c>
      <c r="J156" s="11">
        <v>399.0</v>
      </c>
      <c r="K156" s="12">
        <f t="shared" si="1"/>
        <v>0.3759398496</v>
      </c>
      <c r="L156" s="13">
        <f>IFERROR(__xludf.DUMMYFUNCTION("GOOGLEFINANCE(""CURRENCY:INRBRL"") * I156
"),14.66153692062)</f>
        <v>14.66153692</v>
      </c>
      <c r="M156" s="9">
        <v>4.5</v>
      </c>
      <c r="N156" s="9">
        <v>4642.0</v>
      </c>
      <c r="O156" s="9" t="s">
        <v>661</v>
      </c>
      <c r="P156" s="14" t="s">
        <v>662</v>
      </c>
      <c r="U156" s="17"/>
      <c r="V156" s="18"/>
      <c r="W156" s="16"/>
      <c r="X156" s="16"/>
      <c r="Y156" s="16"/>
    </row>
    <row r="157">
      <c r="A157" s="9" t="s">
        <v>663</v>
      </c>
      <c r="B157" s="10" t="s">
        <v>664</v>
      </c>
      <c r="C157" s="10" t="s">
        <v>227</v>
      </c>
      <c r="D157" s="10" t="s">
        <v>77</v>
      </c>
      <c r="E157" s="10" t="s">
        <v>78</v>
      </c>
      <c r="F157" s="10" t="s">
        <v>79</v>
      </c>
      <c r="G157" s="10" t="s">
        <v>228</v>
      </c>
      <c r="H157" s="10"/>
      <c r="I157" s="11">
        <v>399.0</v>
      </c>
      <c r="J157" s="11">
        <v>799.0</v>
      </c>
      <c r="K157" s="12">
        <f t="shared" si="1"/>
        <v>0.5006257822</v>
      </c>
      <c r="L157" s="13">
        <f>IFERROR(__xludf.DUMMYFUNCTION("GOOGLEFINANCE(""CURRENCY:INRBRL"") * I157
"),23.49378807762)</f>
        <v>23.49378808</v>
      </c>
      <c r="M157" s="9">
        <v>4.5</v>
      </c>
      <c r="N157" s="9">
        <v>12.0</v>
      </c>
      <c r="O157" s="9" t="s">
        <v>665</v>
      </c>
      <c r="P157" s="14" t="s">
        <v>666</v>
      </c>
      <c r="U157" s="17"/>
      <c r="V157" s="18"/>
      <c r="W157" s="16"/>
      <c r="X157" s="16"/>
      <c r="Y157" s="16"/>
    </row>
    <row r="158">
      <c r="A158" s="9" t="s">
        <v>667</v>
      </c>
      <c r="B158" s="10" t="s">
        <v>668</v>
      </c>
      <c r="C158" s="10" t="s">
        <v>18</v>
      </c>
      <c r="D158" s="10" t="s">
        <v>19</v>
      </c>
      <c r="E158" s="10" t="s">
        <v>20</v>
      </c>
      <c r="F158" s="10" t="s">
        <v>21</v>
      </c>
      <c r="G158" s="10" t="s">
        <v>22</v>
      </c>
      <c r="H158" s="10" t="s">
        <v>23</v>
      </c>
      <c r="I158" s="11">
        <v>1499.0</v>
      </c>
      <c r="J158" s="11">
        <v>1999.0</v>
      </c>
      <c r="K158" s="12">
        <f t="shared" si="1"/>
        <v>0.2501250625</v>
      </c>
      <c r="L158" s="13">
        <f>IFERROR(__xludf.DUMMYFUNCTION("GOOGLEFINANCE(""CURRENCY:INRBRL"") * I158
"),88.26362989562)</f>
        <v>88.2636299</v>
      </c>
      <c r="M158" s="9">
        <v>4.5</v>
      </c>
      <c r="N158" s="9">
        <v>1951.0</v>
      </c>
      <c r="O158" s="9" t="s">
        <v>669</v>
      </c>
      <c r="P158" s="14" t="s">
        <v>670</v>
      </c>
      <c r="U158" s="17"/>
      <c r="V158" s="18"/>
      <c r="W158" s="16"/>
      <c r="X158" s="16"/>
      <c r="Y158" s="16"/>
    </row>
    <row r="159">
      <c r="A159" s="9" t="s">
        <v>671</v>
      </c>
      <c r="B159" s="10" t="s">
        <v>672</v>
      </c>
      <c r="C159" s="10" t="s">
        <v>673</v>
      </c>
      <c r="D159" s="10" t="s">
        <v>77</v>
      </c>
      <c r="E159" s="10" t="s">
        <v>78</v>
      </c>
      <c r="F159" s="10" t="s">
        <v>674</v>
      </c>
      <c r="G159" s="10"/>
      <c r="H159" s="10"/>
      <c r="I159" s="11">
        <v>9490.0</v>
      </c>
      <c r="J159" s="11">
        <v>15990.0</v>
      </c>
      <c r="K159" s="12">
        <f t="shared" si="1"/>
        <v>0.406504065</v>
      </c>
      <c r="L159" s="13">
        <f>IFERROR(__xludf.DUMMYFUNCTION("GOOGLEFINANCE(""CURRENCY:INRBRL"") * I159
"),558.7870898662)</f>
        <v>558.7870899</v>
      </c>
      <c r="M159" s="9">
        <v>4.52</v>
      </c>
      <c r="N159" s="9">
        <v>1048.0</v>
      </c>
      <c r="O159" s="9" t="s">
        <v>675</v>
      </c>
      <c r="P159" s="14" t="s">
        <v>676</v>
      </c>
      <c r="U159" s="17"/>
      <c r="V159" s="18"/>
      <c r="W159" s="16"/>
      <c r="X159" s="16"/>
      <c r="Y159" s="16"/>
    </row>
    <row r="160">
      <c r="A160" s="9" t="s">
        <v>677</v>
      </c>
      <c r="B160" s="10" t="s">
        <v>678</v>
      </c>
      <c r="C160" s="10" t="s">
        <v>76</v>
      </c>
      <c r="D160" s="10" t="s">
        <v>77</v>
      </c>
      <c r="E160" s="10" t="s">
        <v>78</v>
      </c>
      <c r="F160" s="10" t="s">
        <v>79</v>
      </c>
      <c r="G160" s="10" t="s">
        <v>22</v>
      </c>
      <c r="H160" s="10" t="s">
        <v>80</v>
      </c>
      <c r="I160" s="11">
        <v>637.0</v>
      </c>
      <c r="J160" s="11">
        <v>1499.0</v>
      </c>
      <c r="K160" s="12">
        <f t="shared" si="1"/>
        <v>0.5750500334</v>
      </c>
      <c r="L160" s="13">
        <f>IFERROR(__xludf.DUMMYFUNCTION("GOOGLEFINANCE(""CURRENCY:INRBRL"") * I160
"),37.50762658006)</f>
        <v>37.50762658</v>
      </c>
      <c r="M160" s="9">
        <v>4.49</v>
      </c>
      <c r="N160" s="9">
        <v>24.0</v>
      </c>
      <c r="O160" s="9" t="s">
        <v>679</v>
      </c>
      <c r="P160" s="14" t="s">
        <v>680</v>
      </c>
      <c r="U160" s="17"/>
      <c r="V160" s="18"/>
      <c r="W160" s="16"/>
      <c r="X160" s="16"/>
      <c r="Y160" s="16"/>
    </row>
    <row r="161">
      <c r="A161" s="9" t="s">
        <v>681</v>
      </c>
      <c r="B161" s="10" t="s">
        <v>682</v>
      </c>
      <c r="C161" s="10" t="s">
        <v>227</v>
      </c>
      <c r="D161" s="10" t="s">
        <v>77</v>
      </c>
      <c r="E161" s="10" t="s">
        <v>78</v>
      </c>
      <c r="F161" s="10" t="s">
        <v>79</v>
      </c>
      <c r="G161" s="10" t="s">
        <v>228</v>
      </c>
      <c r="H161" s="10"/>
      <c r="I161" s="11">
        <v>399.0</v>
      </c>
      <c r="J161" s="11">
        <v>899.0</v>
      </c>
      <c r="K161" s="12">
        <f t="shared" si="1"/>
        <v>0.5561735261</v>
      </c>
      <c r="L161" s="13">
        <f>IFERROR(__xludf.DUMMYFUNCTION("GOOGLEFINANCE(""CURRENCY:INRBRL"") * I161
"),23.49378807762)</f>
        <v>23.49378808</v>
      </c>
      <c r="M161" s="9">
        <v>4.52</v>
      </c>
      <c r="N161" s="9">
        <v>254.0</v>
      </c>
      <c r="O161" s="9" t="s">
        <v>683</v>
      </c>
      <c r="P161" s="14" t="s">
        <v>684</v>
      </c>
      <c r="U161" s="17"/>
      <c r="V161" s="18"/>
      <c r="W161" s="16"/>
      <c r="X161" s="16"/>
      <c r="Y161" s="16"/>
    </row>
    <row r="162">
      <c r="A162" s="9" t="s">
        <v>685</v>
      </c>
      <c r="B162" s="10" t="s">
        <v>686</v>
      </c>
      <c r="C162" s="10" t="s">
        <v>635</v>
      </c>
      <c r="D162" s="10" t="s">
        <v>77</v>
      </c>
      <c r="E162" s="10" t="s">
        <v>78</v>
      </c>
      <c r="F162" s="10" t="s">
        <v>79</v>
      </c>
      <c r="G162" s="10" t="s">
        <v>22</v>
      </c>
      <c r="H162" s="10" t="s">
        <v>636</v>
      </c>
      <c r="I162" s="11">
        <v>1089.0</v>
      </c>
      <c r="J162" s="11">
        <v>1600.0</v>
      </c>
      <c r="K162" s="12">
        <f t="shared" si="1"/>
        <v>0.319375</v>
      </c>
      <c r="L162" s="13">
        <f>IFERROR(__xludf.DUMMYFUNCTION("GOOGLEFINANCE(""CURRENCY:INRBRL"") * I162
"),64.12214339982)</f>
        <v>64.1221434</v>
      </c>
      <c r="M162" s="9">
        <v>4.0</v>
      </c>
      <c r="N162" s="9">
        <v>3565.0</v>
      </c>
      <c r="O162" s="9" t="s">
        <v>687</v>
      </c>
      <c r="P162" s="14" t="s">
        <v>688</v>
      </c>
      <c r="U162" s="17"/>
      <c r="V162" s="18"/>
      <c r="W162" s="16"/>
      <c r="X162" s="16"/>
      <c r="Y162" s="16"/>
    </row>
    <row r="163">
      <c r="A163" s="9" t="s">
        <v>689</v>
      </c>
      <c r="B163" s="10" t="s">
        <v>690</v>
      </c>
      <c r="C163" s="10" t="s">
        <v>18</v>
      </c>
      <c r="D163" s="10" t="s">
        <v>19</v>
      </c>
      <c r="E163" s="10" t="s">
        <v>20</v>
      </c>
      <c r="F163" s="10" t="s">
        <v>21</v>
      </c>
      <c r="G163" s="10" t="s">
        <v>22</v>
      </c>
      <c r="H163" s="10" t="s">
        <v>23</v>
      </c>
      <c r="I163" s="11">
        <v>339.0</v>
      </c>
      <c r="J163" s="11">
        <v>999.0</v>
      </c>
      <c r="K163" s="12">
        <f t="shared" si="1"/>
        <v>0.6606606607</v>
      </c>
      <c r="L163" s="13">
        <f>IFERROR(__xludf.DUMMYFUNCTION("GOOGLEFINANCE(""CURRENCY:INRBRL"") * I163
"),19.96088761482)</f>
        <v>19.96088761</v>
      </c>
      <c r="M163" s="9">
        <v>4.5</v>
      </c>
      <c r="N163" s="9">
        <v>6255.0</v>
      </c>
      <c r="O163" s="9" t="s">
        <v>691</v>
      </c>
      <c r="P163" s="14" t="s">
        <v>692</v>
      </c>
      <c r="U163" s="17"/>
      <c r="V163" s="18"/>
      <c r="W163" s="16"/>
      <c r="X163" s="16"/>
      <c r="Y163" s="16"/>
    </row>
    <row r="164">
      <c r="A164" s="9" t="s">
        <v>693</v>
      </c>
      <c r="B164" s="10" t="s">
        <v>694</v>
      </c>
      <c r="C164" s="10" t="s">
        <v>18</v>
      </c>
      <c r="D164" s="10" t="s">
        <v>19</v>
      </c>
      <c r="E164" s="10" t="s">
        <v>20</v>
      </c>
      <c r="F164" s="10" t="s">
        <v>21</v>
      </c>
      <c r="G164" s="10" t="s">
        <v>22</v>
      </c>
      <c r="H164" s="10" t="s">
        <v>23</v>
      </c>
      <c r="I164" s="11">
        <v>149.0</v>
      </c>
      <c r="J164" s="11">
        <v>499.0</v>
      </c>
      <c r="K164" s="12">
        <f t="shared" si="1"/>
        <v>0.7014028056</v>
      </c>
      <c r="L164" s="13">
        <f>IFERROR(__xludf.DUMMYFUNCTION("GOOGLEFINANCE(""CURRENCY:INRBRL"") * I164
"),8.77336948262)</f>
        <v>8.773369483</v>
      </c>
      <c r="M164" s="9">
        <v>4.0</v>
      </c>
      <c r="N164" s="9">
        <v>7732.0</v>
      </c>
      <c r="O164" s="9" t="s">
        <v>695</v>
      </c>
      <c r="P164" s="14" t="s">
        <v>696</v>
      </c>
      <c r="U164" s="17"/>
      <c r="V164" s="18"/>
      <c r="W164" s="16"/>
      <c r="X164" s="16"/>
      <c r="Y164" s="16"/>
    </row>
    <row r="165">
      <c r="A165" s="9" t="s">
        <v>697</v>
      </c>
      <c r="B165" s="10" t="s">
        <v>698</v>
      </c>
      <c r="C165" s="10" t="s">
        <v>18</v>
      </c>
      <c r="D165" s="10" t="s">
        <v>19</v>
      </c>
      <c r="E165" s="10" t="s">
        <v>20</v>
      </c>
      <c r="F165" s="10" t="s">
        <v>21</v>
      </c>
      <c r="G165" s="10" t="s">
        <v>22</v>
      </c>
      <c r="H165" s="10" t="s">
        <v>23</v>
      </c>
      <c r="I165" s="11">
        <v>149.0</v>
      </c>
      <c r="J165" s="11">
        <v>399.0</v>
      </c>
      <c r="K165" s="12">
        <f t="shared" si="1"/>
        <v>0.626566416</v>
      </c>
      <c r="L165" s="13">
        <f>IFERROR(__xludf.DUMMYFUNCTION("GOOGLEFINANCE(""CURRENCY:INRBRL"") * I165
"),8.77336948262)</f>
        <v>8.773369483</v>
      </c>
      <c r="M165" s="9">
        <v>4.52</v>
      </c>
      <c r="N165" s="9">
        <v>57.0</v>
      </c>
      <c r="O165" s="9" t="s">
        <v>699</v>
      </c>
      <c r="P165" s="14" t="s">
        <v>700</v>
      </c>
      <c r="U165" s="17"/>
      <c r="V165" s="18"/>
      <c r="W165" s="16"/>
      <c r="X165" s="16"/>
      <c r="Y165" s="16"/>
    </row>
    <row r="166">
      <c r="A166" s="9" t="s">
        <v>701</v>
      </c>
      <c r="B166" s="10" t="s">
        <v>702</v>
      </c>
      <c r="C166" s="10" t="s">
        <v>18</v>
      </c>
      <c r="D166" s="10" t="s">
        <v>19</v>
      </c>
      <c r="E166" s="10" t="s">
        <v>20</v>
      </c>
      <c r="F166" s="10" t="s">
        <v>21</v>
      </c>
      <c r="G166" s="10" t="s">
        <v>22</v>
      </c>
      <c r="H166" s="10" t="s">
        <v>23</v>
      </c>
      <c r="I166" s="11">
        <v>599.0</v>
      </c>
      <c r="J166" s="11">
        <v>849.0</v>
      </c>
      <c r="K166" s="12">
        <f t="shared" si="1"/>
        <v>0.2944640754</v>
      </c>
      <c r="L166" s="13">
        <f>IFERROR(__xludf.DUMMYFUNCTION("GOOGLEFINANCE(""CURRENCY:INRBRL"") * I166
"),35.270122953619996)</f>
        <v>35.27012295</v>
      </c>
      <c r="M166" s="9">
        <v>4.51</v>
      </c>
      <c r="N166" s="9">
        <v>577.0</v>
      </c>
      <c r="O166" s="9" t="s">
        <v>703</v>
      </c>
      <c r="P166" s="14" t="s">
        <v>704</v>
      </c>
      <c r="U166" s="17"/>
      <c r="V166" s="18"/>
      <c r="W166" s="16"/>
      <c r="X166" s="16"/>
      <c r="Y166" s="16"/>
    </row>
    <row r="167">
      <c r="A167" s="9" t="s">
        <v>705</v>
      </c>
      <c r="B167" s="10" t="s">
        <v>706</v>
      </c>
      <c r="C167" s="10" t="s">
        <v>227</v>
      </c>
      <c r="D167" s="10" t="s">
        <v>77</v>
      </c>
      <c r="E167" s="10" t="s">
        <v>78</v>
      </c>
      <c r="F167" s="10" t="s">
        <v>79</v>
      </c>
      <c r="G167" s="10" t="s">
        <v>228</v>
      </c>
      <c r="H167" s="10"/>
      <c r="I167" s="11">
        <v>299.0</v>
      </c>
      <c r="J167" s="11">
        <v>1199.0</v>
      </c>
      <c r="K167" s="12">
        <f t="shared" si="1"/>
        <v>0.7506255213</v>
      </c>
      <c r="L167" s="13">
        <f>IFERROR(__xludf.DUMMYFUNCTION("GOOGLEFINANCE(""CURRENCY:INRBRL"") * I167
"),17.60562063962)</f>
        <v>17.60562064</v>
      </c>
      <c r="M167" s="9">
        <v>4.52</v>
      </c>
      <c r="N167" s="9">
        <v>1193.0</v>
      </c>
      <c r="O167" s="9" t="s">
        <v>707</v>
      </c>
      <c r="P167" s="14" t="s">
        <v>708</v>
      </c>
      <c r="U167" s="17"/>
      <c r="V167" s="18"/>
      <c r="W167" s="16"/>
      <c r="X167" s="16"/>
      <c r="Y167" s="16"/>
    </row>
    <row r="168">
      <c r="A168" s="9" t="s">
        <v>709</v>
      </c>
      <c r="B168" s="10" t="s">
        <v>710</v>
      </c>
      <c r="C168" s="10" t="s">
        <v>18</v>
      </c>
      <c r="D168" s="10" t="s">
        <v>19</v>
      </c>
      <c r="E168" s="10" t="s">
        <v>20</v>
      </c>
      <c r="F168" s="10" t="s">
        <v>21</v>
      </c>
      <c r="G168" s="10" t="s">
        <v>22</v>
      </c>
      <c r="H168" s="10" t="s">
        <v>23</v>
      </c>
      <c r="I168" s="11">
        <v>399.0</v>
      </c>
      <c r="J168" s="11">
        <v>1299.0</v>
      </c>
      <c r="K168" s="12">
        <f t="shared" si="1"/>
        <v>0.6928406467</v>
      </c>
      <c r="L168" s="13">
        <f>IFERROR(__xludf.DUMMYFUNCTION("GOOGLEFINANCE(""CURRENCY:INRBRL"") * I168
"),23.49378807762)</f>
        <v>23.49378808</v>
      </c>
      <c r="M168" s="9">
        <v>4.5</v>
      </c>
      <c r="N168" s="9">
        <v>1312.0</v>
      </c>
      <c r="O168" s="9" t="s">
        <v>711</v>
      </c>
      <c r="P168" s="14" t="s">
        <v>712</v>
      </c>
      <c r="U168" s="17"/>
      <c r="V168" s="18"/>
      <c r="W168" s="16"/>
      <c r="X168" s="16"/>
      <c r="Y168" s="16"/>
    </row>
    <row r="169">
      <c r="A169" s="9" t="s">
        <v>713</v>
      </c>
      <c r="B169" s="10" t="s">
        <v>714</v>
      </c>
      <c r="C169" s="10" t="s">
        <v>227</v>
      </c>
      <c r="D169" s="10" t="s">
        <v>77</v>
      </c>
      <c r="E169" s="10" t="s">
        <v>78</v>
      </c>
      <c r="F169" s="10" t="s">
        <v>79</v>
      </c>
      <c r="G169" s="10" t="s">
        <v>228</v>
      </c>
      <c r="H169" s="10"/>
      <c r="I169" s="11">
        <v>339.0</v>
      </c>
      <c r="J169" s="11">
        <v>1999.0</v>
      </c>
      <c r="K169" s="12">
        <f t="shared" si="1"/>
        <v>0.8304152076</v>
      </c>
      <c r="L169" s="13">
        <f>IFERROR(__xludf.DUMMYFUNCTION("GOOGLEFINANCE(""CURRENCY:INRBRL"") * I169
"),19.96088761482)</f>
        <v>19.96088761</v>
      </c>
      <c r="M169" s="9">
        <v>4.0</v>
      </c>
      <c r="N169" s="9">
        <v>343.0</v>
      </c>
      <c r="O169" s="9" t="s">
        <v>715</v>
      </c>
      <c r="P169" s="14" t="s">
        <v>716</v>
      </c>
      <c r="U169" s="17"/>
      <c r="V169" s="18"/>
      <c r="W169" s="16"/>
      <c r="X169" s="16"/>
      <c r="Y169" s="16"/>
    </row>
    <row r="170">
      <c r="A170" s="9" t="s">
        <v>717</v>
      </c>
      <c r="B170" s="10" t="s">
        <v>718</v>
      </c>
      <c r="C170" s="10" t="s">
        <v>96</v>
      </c>
      <c r="D170" s="10" t="s">
        <v>77</v>
      </c>
      <c r="E170" s="10" t="s">
        <v>78</v>
      </c>
      <c r="F170" s="10" t="s">
        <v>97</v>
      </c>
      <c r="G170" s="10" t="s">
        <v>98</v>
      </c>
      <c r="H170" s="10"/>
      <c r="I170" s="11">
        <v>12499.0</v>
      </c>
      <c r="J170" s="11">
        <v>22990.0</v>
      </c>
      <c r="K170" s="12">
        <f t="shared" si="1"/>
        <v>0.4563288386</v>
      </c>
      <c r="L170" s="13">
        <f>IFERROR(__xludf.DUMMYFUNCTION("GOOGLEFINANCE(""CURRENCY:INRBRL"") * I170
"),735.96204807562)</f>
        <v>735.9620481</v>
      </c>
      <c r="M170" s="9">
        <v>4.5</v>
      </c>
      <c r="N170" s="9">
        <v>1611.0</v>
      </c>
      <c r="O170" s="9" t="s">
        <v>719</v>
      </c>
      <c r="P170" s="14" t="s">
        <v>720</v>
      </c>
      <c r="U170" s="17"/>
      <c r="V170" s="18"/>
      <c r="W170" s="16"/>
      <c r="X170" s="16"/>
      <c r="Y170" s="16"/>
    </row>
    <row r="171">
      <c r="A171" s="9" t="s">
        <v>721</v>
      </c>
      <c r="B171" s="10" t="s">
        <v>722</v>
      </c>
      <c r="C171" s="10" t="s">
        <v>18</v>
      </c>
      <c r="D171" s="10" t="s">
        <v>19</v>
      </c>
      <c r="E171" s="10" t="s">
        <v>20</v>
      </c>
      <c r="F171" s="10" t="s">
        <v>21</v>
      </c>
      <c r="G171" s="10" t="s">
        <v>22</v>
      </c>
      <c r="H171" s="10" t="s">
        <v>23</v>
      </c>
      <c r="I171" s="11">
        <v>249.0</v>
      </c>
      <c r="J171" s="11">
        <v>399.0</v>
      </c>
      <c r="K171" s="12">
        <f t="shared" si="1"/>
        <v>0.3759398496</v>
      </c>
      <c r="L171" s="13">
        <f>IFERROR(__xludf.DUMMYFUNCTION("GOOGLEFINANCE(""CURRENCY:INRBRL"") * I171
"),14.66153692062)</f>
        <v>14.66153692</v>
      </c>
      <c r="M171" s="9">
        <v>4.0</v>
      </c>
      <c r="N171" s="9">
        <v>6558.0</v>
      </c>
      <c r="O171" s="9" t="s">
        <v>723</v>
      </c>
      <c r="P171" s="14" t="s">
        <v>724</v>
      </c>
      <c r="U171" s="17"/>
      <c r="V171" s="18"/>
      <c r="W171" s="16"/>
      <c r="X171" s="16"/>
      <c r="Y171" s="16"/>
    </row>
    <row r="172">
      <c r="A172" s="9" t="s">
        <v>725</v>
      </c>
      <c r="B172" s="10" t="s">
        <v>726</v>
      </c>
      <c r="C172" s="10" t="s">
        <v>56</v>
      </c>
      <c r="D172" s="10" t="s">
        <v>19</v>
      </c>
      <c r="E172" s="10" t="s">
        <v>57</v>
      </c>
      <c r="F172" s="10" t="s">
        <v>58</v>
      </c>
      <c r="G172" s="10" t="s">
        <v>59</v>
      </c>
      <c r="H172" s="10"/>
      <c r="I172" s="11">
        <v>1399.0</v>
      </c>
      <c r="J172" s="11">
        <v>2499.0</v>
      </c>
      <c r="K172" s="12">
        <f t="shared" si="1"/>
        <v>0.4401760704</v>
      </c>
      <c r="L172" s="13">
        <f>IFERROR(__xludf.DUMMYFUNCTION("GOOGLEFINANCE(""CURRENCY:INRBRL"") * I172
"),82.37546245762)</f>
        <v>82.37546246</v>
      </c>
      <c r="M172" s="9">
        <v>4.5</v>
      </c>
      <c r="N172" s="9">
        <v>23169.0</v>
      </c>
      <c r="O172" s="9" t="s">
        <v>727</v>
      </c>
      <c r="P172" s="14" t="s">
        <v>728</v>
      </c>
      <c r="U172" s="17"/>
      <c r="V172" s="18"/>
      <c r="W172" s="16"/>
      <c r="X172" s="16"/>
      <c r="Y172" s="16"/>
    </row>
    <row r="173">
      <c r="A173" s="9" t="s">
        <v>729</v>
      </c>
      <c r="B173" s="10" t="s">
        <v>730</v>
      </c>
      <c r="C173" s="10" t="s">
        <v>96</v>
      </c>
      <c r="D173" s="10" t="s">
        <v>77</v>
      </c>
      <c r="E173" s="10" t="s">
        <v>78</v>
      </c>
      <c r="F173" s="10" t="s">
        <v>97</v>
      </c>
      <c r="G173" s="10" t="s">
        <v>98</v>
      </c>
      <c r="H173" s="10"/>
      <c r="I173" s="11">
        <v>32999.0</v>
      </c>
      <c r="J173" s="11">
        <v>47990.0</v>
      </c>
      <c r="K173" s="12">
        <f t="shared" si="1"/>
        <v>0.3123775787</v>
      </c>
      <c r="L173" s="13">
        <f>IFERROR(__xludf.DUMMYFUNCTION("GOOGLEFINANCE(""CURRENCY:INRBRL"") * I173
"),1943.03637286562)</f>
        <v>1943.036373</v>
      </c>
      <c r="M173" s="9">
        <v>4.5</v>
      </c>
      <c r="N173" s="9">
        <v>4703.0</v>
      </c>
      <c r="O173" s="9" t="s">
        <v>386</v>
      </c>
      <c r="P173" s="14" t="s">
        <v>731</v>
      </c>
      <c r="U173" s="17"/>
      <c r="V173" s="18"/>
      <c r="W173" s="16"/>
      <c r="X173" s="16"/>
      <c r="Y173" s="16"/>
    </row>
    <row r="174">
      <c r="A174" s="9" t="s">
        <v>732</v>
      </c>
      <c r="B174" s="10" t="s">
        <v>733</v>
      </c>
      <c r="C174" s="10" t="s">
        <v>18</v>
      </c>
      <c r="D174" s="10" t="s">
        <v>19</v>
      </c>
      <c r="E174" s="10" t="s">
        <v>20</v>
      </c>
      <c r="F174" s="10" t="s">
        <v>21</v>
      </c>
      <c r="G174" s="10" t="s">
        <v>22</v>
      </c>
      <c r="H174" s="10" t="s">
        <v>23</v>
      </c>
      <c r="I174" s="11">
        <v>149.0</v>
      </c>
      <c r="J174" s="11">
        <v>399.0</v>
      </c>
      <c r="K174" s="12">
        <f t="shared" si="1"/>
        <v>0.626566416</v>
      </c>
      <c r="L174" s="13">
        <f>IFERROR(__xludf.DUMMYFUNCTION("GOOGLEFINANCE(""CURRENCY:INRBRL"") * I174
"),8.77336948262)</f>
        <v>8.773369483</v>
      </c>
      <c r="M174" s="9">
        <v>4.0</v>
      </c>
      <c r="N174" s="9">
        <v>1423.0</v>
      </c>
      <c r="O174" s="9" t="s">
        <v>734</v>
      </c>
      <c r="P174" s="14" t="s">
        <v>735</v>
      </c>
      <c r="U174" s="17"/>
      <c r="V174" s="18"/>
      <c r="W174" s="16"/>
      <c r="X174" s="16"/>
      <c r="Y174" s="16"/>
    </row>
    <row r="175">
      <c r="A175" s="9" t="s">
        <v>736</v>
      </c>
      <c r="B175" s="10" t="s">
        <v>737</v>
      </c>
      <c r="C175" s="10" t="s">
        <v>18</v>
      </c>
      <c r="D175" s="10" t="s">
        <v>19</v>
      </c>
      <c r="E175" s="10" t="s">
        <v>20</v>
      </c>
      <c r="F175" s="10" t="s">
        <v>21</v>
      </c>
      <c r="G175" s="10" t="s">
        <v>22</v>
      </c>
      <c r="H175" s="10" t="s">
        <v>23</v>
      </c>
      <c r="I175" s="11">
        <v>325.0</v>
      </c>
      <c r="J175" s="11">
        <v>999.0</v>
      </c>
      <c r="K175" s="12">
        <f t="shared" si="1"/>
        <v>0.6746746747</v>
      </c>
      <c r="L175" s="13">
        <f>IFERROR(__xludf.DUMMYFUNCTION("GOOGLEFINANCE(""CURRENCY:INRBRL"") * I175
"),19.1365441735)</f>
        <v>19.13654417</v>
      </c>
      <c r="M175" s="9">
        <v>4.5</v>
      </c>
      <c r="N175" s="9">
        <v>2651.0</v>
      </c>
      <c r="O175" s="9" t="s">
        <v>738</v>
      </c>
      <c r="P175" s="14" t="s">
        <v>739</v>
      </c>
      <c r="U175" s="17"/>
      <c r="V175" s="18"/>
      <c r="W175" s="16"/>
      <c r="X175" s="16"/>
      <c r="Y175" s="16"/>
    </row>
    <row r="176">
      <c r="A176" s="9" t="s">
        <v>740</v>
      </c>
      <c r="B176" s="10" t="s">
        <v>741</v>
      </c>
      <c r="C176" s="10" t="s">
        <v>18</v>
      </c>
      <c r="D176" s="10" t="s">
        <v>19</v>
      </c>
      <c r="E176" s="10" t="s">
        <v>20</v>
      </c>
      <c r="F176" s="10" t="s">
        <v>21</v>
      </c>
      <c r="G176" s="10" t="s">
        <v>22</v>
      </c>
      <c r="H176" s="10" t="s">
        <v>23</v>
      </c>
      <c r="I176" s="11">
        <v>399.0</v>
      </c>
      <c r="J176" s="11">
        <v>1999.0</v>
      </c>
      <c r="K176" s="12">
        <f t="shared" si="1"/>
        <v>0.8004002001</v>
      </c>
      <c r="L176" s="13">
        <f>IFERROR(__xludf.DUMMYFUNCTION("GOOGLEFINANCE(""CURRENCY:INRBRL"") * I176
"),23.49378807762)</f>
        <v>23.49378808</v>
      </c>
      <c r="M176" s="9">
        <v>5.0</v>
      </c>
      <c r="N176" s="9">
        <v>5.0</v>
      </c>
      <c r="O176" s="9" t="s">
        <v>742</v>
      </c>
      <c r="P176" s="14" t="s">
        <v>743</v>
      </c>
      <c r="U176" s="17"/>
      <c r="V176" s="18"/>
      <c r="W176" s="16"/>
      <c r="X176" s="16"/>
      <c r="Y176" s="16"/>
    </row>
    <row r="177">
      <c r="A177" s="9" t="s">
        <v>744</v>
      </c>
      <c r="B177" s="10" t="s">
        <v>745</v>
      </c>
      <c r="C177" s="10" t="s">
        <v>56</v>
      </c>
      <c r="D177" s="10" t="s">
        <v>19</v>
      </c>
      <c r="E177" s="10" t="s">
        <v>57</v>
      </c>
      <c r="F177" s="10" t="s">
        <v>58</v>
      </c>
      <c r="G177" s="10" t="s">
        <v>59</v>
      </c>
      <c r="H177" s="10"/>
      <c r="I177" s="11">
        <v>199.0</v>
      </c>
      <c r="J177" s="11">
        <v>499.0</v>
      </c>
      <c r="K177" s="12">
        <f t="shared" si="1"/>
        <v>0.6012024048</v>
      </c>
      <c r="L177" s="13">
        <f>IFERROR(__xludf.DUMMYFUNCTION("GOOGLEFINANCE(""CURRENCY:INRBRL"") * I177
"),11.71745320162)</f>
        <v>11.7174532</v>
      </c>
      <c r="M177" s="9">
        <v>4.51</v>
      </c>
      <c r="N177" s="9">
        <v>612.0</v>
      </c>
      <c r="O177" s="9" t="s">
        <v>746</v>
      </c>
      <c r="P177" s="14" t="s">
        <v>747</v>
      </c>
      <c r="U177" s="17"/>
      <c r="V177" s="18"/>
      <c r="W177" s="16"/>
      <c r="X177" s="16"/>
      <c r="Y177" s="16"/>
    </row>
    <row r="178">
      <c r="A178" s="9" t="s">
        <v>748</v>
      </c>
      <c r="B178" s="10" t="s">
        <v>749</v>
      </c>
      <c r="C178" s="10" t="s">
        <v>18</v>
      </c>
      <c r="D178" s="10" t="s">
        <v>19</v>
      </c>
      <c r="E178" s="10" t="s">
        <v>20</v>
      </c>
      <c r="F178" s="10" t="s">
        <v>21</v>
      </c>
      <c r="G178" s="10" t="s">
        <v>22</v>
      </c>
      <c r="H178" s="10" t="s">
        <v>23</v>
      </c>
      <c r="I178" s="11">
        <v>88.0</v>
      </c>
      <c r="J178" s="11">
        <v>299.0</v>
      </c>
      <c r="K178" s="12">
        <f t="shared" si="1"/>
        <v>0.7056856187</v>
      </c>
      <c r="L178" s="13">
        <f>IFERROR(__xludf.DUMMYFUNCTION("GOOGLEFINANCE(""CURRENCY:INRBRL"") * I178
"),5.18158734544)</f>
        <v>5.181587345</v>
      </c>
      <c r="M178" s="9">
        <v>4.0</v>
      </c>
      <c r="N178" s="9">
        <v>9378.0</v>
      </c>
      <c r="O178" s="9" t="s">
        <v>750</v>
      </c>
      <c r="P178" s="14" t="s">
        <v>751</v>
      </c>
      <c r="U178" s="17"/>
      <c r="V178" s="18"/>
      <c r="W178" s="16"/>
      <c r="X178" s="16"/>
      <c r="Y178" s="16"/>
    </row>
    <row r="179">
      <c r="A179" s="9" t="s">
        <v>752</v>
      </c>
      <c r="B179" s="10" t="s">
        <v>753</v>
      </c>
      <c r="C179" s="10" t="s">
        <v>18</v>
      </c>
      <c r="D179" s="10" t="s">
        <v>19</v>
      </c>
      <c r="E179" s="10" t="s">
        <v>20</v>
      </c>
      <c r="F179" s="10" t="s">
        <v>21</v>
      </c>
      <c r="G179" s="10" t="s">
        <v>22</v>
      </c>
      <c r="H179" s="10" t="s">
        <v>23</v>
      </c>
      <c r="I179" s="11">
        <v>399.0</v>
      </c>
      <c r="J179" s="11">
        <v>1099.0</v>
      </c>
      <c r="K179" s="12">
        <f t="shared" si="1"/>
        <v>0.6369426752</v>
      </c>
      <c r="L179" s="13">
        <f>IFERROR(__xludf.DUMMYFUNCTION("GOOGLEFINANCE(""CURRENCY:INRBRL"") * I179
"),23.49378807762)</f>
        <v>23.49378808</v>
      </c>
      <c r="M179" s="9">
        <v>4.49</v>
      </c>
      <c r="N179" s="9">
        <v>2685.0</v>
      </c>
      <c r="O179" s="9" t="s">
        <v>754</v>
      </c>
      <c r="P179" s="14" t="s">
        <v>755</v>
      </c>
      <c r="U179" s="17"/>
      <c r="V179" s="18"/>
      <c r="W179" s="16"/>
      <c r="X179" s="16"/>
      <c r="Y179" s="16"/>
    </row>
    <row r="180">
      <c r="A180" s="9" t="s">
        <v>756</v>
      </c>
      <c r="B180" s="10" t="s">
        <v>757</v>
      </c>
      <c r="C180" s="10" t="s">
        <v>18</v>
      </c>
      <c r="D180" s="10" t="s">
        <v>19</v>
      </c>
      <c r="E180" s="10" t="s">
        <v>20</v>
      </c>
      <c r="F180" s="10" t="s">
        <v>21</v>
      </c>
      <c r="G180" s="10" t="s">
        <v>22</v>
      </c>
      <c r="H180" s="10" t="s">
        <v>23</v>
      </c>
      <c r="I180" s="11">
        <v>57.98</v>
      </c>
      <c r="J180" s="11">
        <v>199.0</v>
      </c>
      <c r="K180" s="12">
        <f t="shared" si="1"/>
        <v>0.7086432161</v>
      </c>
      <c r="L180" s="13">
        <f>IFERROR(__xludf.DUMMYFUNCTION("GOOGLEFINANCE(""CURRENCY:INRBRL"") * I180
"),3.4139594805524)</f>
        <v>3.413959481</v>
      </c>
      <c r="M180" s="9">
        <v>4.0</v>
      </c>
      <c r="N180" s="9">
        <v>9378.0</v>
      </c>
      <c r="O180" s="9" t="s">
        <v>758</v>
      </c>
      <c r="P180" s="14" t="s">
        <v>759</v>
      </c>
      <c r="U180" s="17"/>
      <c r="V180" s="18"/>
      <c r="W180" s="16"/>
      <c r="X180" s="16"/>
      <c r="Y180" s="16"/>
    </row>
    <row r="181">
      <c r="A181" s="9" t="s">
        <v>760</v>
      </c>
      <c r="B181" s="10" t="s">
        <v>761</v>
      </c>
      <c r="C181" s="10" t="s">
        <v>227</v>
      </c>
      <c r="D181" s="10" t="s">
        <v>77</v>
      </c>
      <c r="E181" s="10" t="s">
        <v>78</v>
      </c>
      <c r="F181" s="10" t="s">
        <v>79</v>
      </c>
      <c r="G181" s="10" t="s">
        <v>228</v>
      </c>
      <c r="H181" s="10"/>
      <c r="I181" s="11">
        <v>799.0</v>
      </c>
      <c r="J181" s="11">
        <v>1999.0</v>
      </c>
      <c r="K181" s="12">
        <f t="shared" si="1"/>
        <v>0.6003001501</v>
      </c>
      <c r="L181" s="13">
        <f>IFERROR(__xludf.DUMMYFUNCTION("GOOGLEFINANCE(""CURRENCY:INRBRL"") * I181
"),47.046457829619996)</f>
        <v>47.04645783</v>
      </c>
      <c r="M181" s="9">
        <v>4.5</v>
      </c>
      <c r="N181" s="9">
        <v>576.0</v>
      </c>
      <c r="O181" s="9" t="s">
        <v>762</v>
      </c>
      <c r="P181" s="14" t="s">
        <v>763</v>
      </c>
      <c r="U181" s="17"/>
      <c r="V181" s="18"/>
      <c r="W181" s="16"/>
      <c r="X181" s="16"/>
      <c r="Y181" s="16"/>
    </row>
    <row r="182">
      <c r="A182" s="9" t="s">
        <v>764</v>
      </c>
      <c r="B182" s="10" t="s">
        <v>765</v>
      </c>
      <c r="C182" s="10" t="s">
        <v>227</v>
      </c>
      <c r="D182" s="10" t="s">
        <v>77</v>
      </c>
      <c r="E182" s="10" t="s">
        <v>78</v>
      </c>
      <c r="F182" s="10" t="s">
        <v>79</v>
      </c>
      <c r="G182" s="10" t="s">
        <v>228</v>
      </c>
      <c r="H182" s="10"/>
      <c r="I182" s="11">
        <v>205.0</v>
      </c>
      <c r="J182" s="11">
        <v>499.0</v>
      </c>
      <c r="K182" s="12">
        <f t="shared" si="1"/>
        <v>0.5891783567</v>
      </c>
      <c r="L182" s="13">
        <f>IFERROR(__xludf.DUMMYFUNCTION("GOOGLEFINANCE(""CURRENCY:INRBRL"") * I182
"),12.0707432479)</f>
        <v>12.07074325</v>
      </c>
      <c r="M182" s="9">
        <v>4.51</v>
      </c>
      <c r="N182" s="9">
        <v>313.0</v>
      </c>
      <c r="O182" s="9" t="s">
        <v>766</v>
      </c>
      <c r="P182" s="14" t="s">
        <v>767</v>
      </c>
      <c r="U182" s="17"/>
      <c r="V182" s="18"/>
      <c r="W182" s="16"/>
      <c r="X182" s="16"/>
      <c r="Y182" s="16"/>
    </row>
    <row r="183">
      <c r="A183" s="9" t="s">
        <v>768</v>
      </c>
      <c r="B183" s="10" t="s">
        <v>769</v>
      </c>
      <c r="C183" s="10" t="s">
        <v>18</v>
      </c>
      <c r="D183" s="10" t="s">
        <v>19</v>
      </c>
      <c r="E183" s="10" t="s">
        <v>20</v>
      </c>
      <c r="F183" s="10" t="s">
        <v>21</v>
      </c>
      <c r="G183" s="10" t="s">
        <v>22</v>
      </c>
      <c r="H183" s="10" t="s">
        <v>23</v>
      </c>
      <c r="I183" s="11">
        <v>299.0</v>
      </c>
      <c r="J183" s="11">
        <v>699.0</v>
      </c>
      <c r="K183" s="12">
        <f t="shared" si="1"/>
        <v>0.5722460658</v>
      </c>
      <c r="L183" s="13">
        <f>IFERROR(__xludf.DUMMYFUNCTION("GOOGLEFINANCE(""CURRENCY:INRBRL"") * I183
"),17.60562063962)</f>
        <v>17.60562064</v>
      </c>
      <c r="M183" s="9">
        <v>4.49</v>
      </c>
      <c r="N183" s="9">
        <v>2957.0</v>
      </c>
      <c r="O183" s="9" t="s">
        <v>770</v>
      </c>
      <c r="P183" s="14" t="s">
        <v>771</v>
      </c>
      <c r="U183" s="17"/>
      <c r="V183" s="18"/>
      <c r="W183" s="16"/>
      <c r="X183" s="16"/>
      <c r="Y183" s="16"/>
    </row>
    <row r="184">
      <c r="A184" s="9" t="s">
        <v>772</v>
      </c>
      <c r="B184" s="10" t="s">
        <v>773</v>
      </c>
      <c r="C184" s="10" t="s">
        <v>18</v>
      </c>
      <c r="D184" s="10" t="s">
        <v>19</v>
      </c>
      <c r="E184" s="10" t="s">
        <v>20</v>
      </c>
      <c r="F184" s="10" t="s">
        <v>21</v>
      </c>
      <c r="G184" s="10" t="s">
        <v>22</v>
      </c>
      <c r="H184" s="10" t="s">
        <v>23</v>
      </c>
      <c r="I184" s="11">
        <v>849.0</v>
      </c>
      <c r="J184" s="11">
        <v>999.0</v>
      </c>
      <c r="K184" s="12">
        <f t="shared" si="1"/>
        <v>0.1501501502</v>
      </c>
      <c r="L184" s="13">
        <f>IFERROR(__xludf.DUMMYFUNCTION("GOOGLEFINANCE(""CURRENCY:INRBRL"") * I184
"),49.99054154862)</f>
        <v>49.99054155</v>
      </c>
      <c r="M184" s="9">
        <v>4.49</v>
      </c>
      <c r="N184" s="9">
        <v>6736.0</v>
      </c>
      <c r="O184" s="9" t="s">
        <v>774</v>
      </c>
      <c r="P184" s="14" t="s">
        <v>775</v>
      </c>
      <c r="U184" s="17"/>
      <c r="V184" s="18"/>
      <c r="W184" s="16"/>
      <c r="X184" s="16"/>
      <c r="Y184" s="16"/>
    </row>
    <row r="185">
      <c r="A185" s="9" t="s">
        <v>776</v>
      </c>
      <c r="B185" s="10" t="s">
        <v>777</v>
      </c>
      <c r="C185" s="10" t="s">
        <v>18</v>
      </c>
      <c r="D185" s="10" t="s">
        <v>19</v>
      </c>
      <c r="E185" s="10" t="s">
        <v>20</v>
      </c>
      <c r="F185" s="10" t="s">
        <v>21</v>
      </c>
      <c r="G185" s="10" t="s">
        <v>22</v>
      </c>
      <c r="H185" s="10" t="s">
        <v>23</v>
      </c>
      <c r="I185" s="11">
        <v>949.0</v>
      </c>
      <c r="J185" s="11">
        <v>1999.0</v>
      </c>
      <c r="K185" s="12">
        <f t="shared" si="1"/>
        <v>0.5252626313</v>
      </c>
      <c r="L185" s="13">
        <f>IFERROR(__xludf.DUMMYFUNCTION("GOOGLEFINANCE(""CURRENCY:INRBRL"") * I185
"),55.87870898662)</f>
        <v>55.87870899</v>
      </c>
      <c r="M185" s="9">
        <v>4.5</v>
      </c>
      <c r="N185" s="9">
        <v>13552.0</v>
      </c>
      <c r="O185" s="9" t="s">
        <v>778</v>
      </c>
      <c r="P185" s="14" t="s">
        <v>779</v>
      </c>
      <c r="U185" s="17"/>
      <c r="V185" s="18"/>
      <c r="W185" s="16"/>
      <c r="X185" s="16"/>
      <c r="Y185" s="16"/>
    </row>
    <row r="186">
      <c r="A186" s="9" t="s">
        <v>780</v>
      </c>
      <c r="B186" s="10" t="s">
        <v>781</v>
      </c>
      <c r="C186" s="10" t="s">
        <v>18</v>
      </c>
      <c r="D186" s="10" t="s">
        <v>19</v>
      </c>
      <c r="E186" s="10" t="s">
        <v>20</v>
      </c>
      <c r="F186" s="10" t="s">
        <v>21</v>
      </c>
      <c r="G186" s="10" t="s">
        <v>22</v>
      </c>
      <c r="H186" s="10" t="s">
        <v>23</v>
      </c>
      <c r="I186" s="11">
        <v>499.0</v>
      </c>
      <c r="J186" s="11">
        <v>1200.0</v>
      </c>
      <c r="K186" s="12">
        <f t="shared" si="1"/>
        <v>0.5841666667</v>
      </c>
      <c r="L186" s="13">
        <f>IFERROR(__xludf.DUMMYFUNCTION("GOOGLEFINANCE(""CURRENCY:INRBRL"") * I186
"),29.38195551562)</f>
        <v>29.38195552</v>
      </c>
      <c r="M186" s="9">
        <v>4.5</v>
      </c>
      <c r="N186" s="9">
        <v>5451.0</v>
      </c>
      <c r="O186" s="9" t="s">
        <v>782</v>
      </c>
      <c r="P186" s="14" t="s">
        <v>783</v>
      </c>
      <c r="U186" s="17"/>
      <c r="V186" s="18"/>
      <c r="W186" s="16"/>
      <c r="X186" s="16"/>
      <c r="Y186" s="16"/>
    </row>
    <row r="187">
      <c r="A187" s="9" t="s">
        <v>784</v>
      </c>
      <c r="B187" s="10" t="s">
        <v>785</v>
      </c>
      <c r="C187" s="10" t="s">
        <v>18</v>
      </c>
      <c r="D187" s="10" t="s">
        <v>19</v>
      </c>
      <c r="E187" s="10" t="s">
        <v>20</v>
      </c>
      <c r="F187" s="10" t="s">
        <v>21</v>
      </c>
      <c r="G187" s="10" t="s">
        <v>22</v>
      </c>
      <c r="H187" s="10" t="s">
        <v>23</v>
      </c>
      <c r="I187" s="11">
        <v>299.0</v>
      </c>
      <c r="J187" s="11">
        <v>485.0</v>
      </c>
      <c r="K187" s="12">
        <f t="shared" si="1"/>
        <v>0.3835051546</v>
      </c>
      <c r="L187" s="13">
        <f>IFERROR(__xludf.DUMMYFUNCTION("GOOGLEFINANCE(""CURRENCY:INRBRL"") * I187
"),17.60562063962)</f>
        <v>17.60562064</v>
      </c>
      <c r="M187" s="9">
        <v>4.5</v>
      </c>
      <c r="N187" s="9">
        <v>10911.0</v>
      </c>
      <c r="O187" s="9" t="s">
        <v>786</v>
      </c>
      <c r="P187" s="14" t="s">
        <v>787</v>
      </c>
      <c r="U187" s="17"/>
      <c r="V187" s="18"/>
      <c r="W187" s="16"/>
      <c r="X187" s="16"/>
      <c r="Y187" s="16"/>
    </row>
    <row r="188">
      <c r="A188" s="9" t="s">
        <v>788</v>
      </c>
      <c r="B188" s="10" t="s">
        <v>789</v>
      </c>
      <c r="C188" s="10" t="s">
        <v>18</v>
      </c>
      <c r="D188" s="10" t="s">
        <v>19</v>
      </c>
      <c r="E188" s="10" t="s">
        <v>20</v>
      </c>
      <c r="F188" s="10" t="s">
        <v>21</v>
      </c>
      <c r="G188" s="10" t="s">
        <v>22</v>
      </c>
      <c r="H188" s="10" t="s">
        <v>23</v>
      </c>
      <c r="I188" s="11">
        <v>949.0</v>
      </c>
      <c r="J188" s="11">
        <v>1999.0</v>
      </c>
      <c r="K188" s="12">
        <f t="shared" si="1"/>
        <v>0.5252626313</v>
      </c>
      <c r="L188" s="13">
        <f>IFERROR(__xludf.DUMMYFUNCTION("GOOGLEFINANCE(""CURRENCY:INRBRL"") * I188
"),55.87870898662)</f>
        <v>55.87870899</v>
      </c>
      <c r="M188" s="9">
        <v>4.5</v>
      </c>
      <c r="N188" s="9">
        <v>13552.0</v>
      </c>
      <c r="O188" s="9" t="s">
        <v>790</v>
      </c>
      <c r="P188" s="14" t="s">
        <v>791</v>
      </c>
      <c r="U188" s="17"/>
      <c r="V188" s="18"/>
      <c r="W188" s="16"/>
      <c r="X188" s="16"/>
      <c r="Y188" s="16"/>
    </row>
    <row r="189">
      <c r="A189" s="9" t="s">
        <v>792</v>
      </c>
      <c r="B189" s="10" t="s">
        <v>793</v>
      </c>
      <c r="C189" s="10" t="s">
        <v>18</v>
      </c>
      <c r="D189" s="10" t="s">
        <v>19</v>
      </c>
      <c r="E189" s="10" t="s">
        <v>20</v>
      </c>
      <c r="F189" s="10" t="s">
        <v>21</v>
      </c>
      <c r="G189" s="10" t="s">
        <v>22</v>
      </c>
      <c r="H189" s="10" t="s">
        <v>23</v>
      </c>
      <c r="I189" s="11">
        <v>379.0</v>
      </c>
      <c r="J189" s="11">
        <v>1099.0</v>
      </c>
      <c r="K189" s="12">
        <f t="shared" si="1"/>
        <v>0.6551410373</v>
      </c>
      <c r="L189" s="13">
        <f>IFERROR(__xludf.DUMMYFUNCTION("GOOGLEFINANCE(""CURRENCY:INRBRL"") * I189
"),22.31615459002)</f>
        <v>22.31615459</v>
      </c>
      <c r="M189" s="9">
        <v>4.5</v>
      </c>
      <c r="N189" s="9">
        <v>2806.0</v>
      </c>
      <c r="O189" s="9" t="s">
        <v>794</v>
      </c>
      <c r="P189" s="14" t="s">
        <v>795</v>
      </c>
      <c r="U189" s="17"/>
      <c r="V189" s="18"/>
      <c r="W189" s="16"/>
      <c r="X189" s="16"/>
      <c r="Y189" s="16"/>
    </row>
    <row r="190">
      <c r="A190" s="9" t="s">
        <v>796</v>
      </c>
      <c r="B190" s="10" t="s">
        <v>797</v>
      </c>
      <c r="C190" s="10" t="s">
        <v>96</v>
      </c>
      <c r="D190" s="10" t="s">
        <v>77</v>
      </c>
      <c r="E190" s="10" t="s">
        <v>78</v>
      </c>
      <c r="F190" s="10" t="s">
        <v>97</v>
      </c>
      <c r="G190" s="10" t="s">
        <v>98</v>
      </c>
      <c r="H190" s="10"/>
      <c r="I190" s="11">
        <v>8990.0</v>
      </c>
      <c r="J190" s="11">
        <v>18990.0</v>
      </c>
      <c r="K190" s="12">
        <f t="shared" si="1"/>
        <v>0.5265929437</v>
      </c>
      <c r="L190" s="13">
        <f>IFERROR(__xludf.DUMMYFUNCTION("GOOGLEFINANCE(""CURRENCY:INRBRL"") * I190
"),529.3462526762)</f>
        <v>529.3462527</v>
      </c>
      <c r="M190" s="9">
        <v>4.52</v>
      </c>
      <c r="N190" s="9">
        <v>350.0</v>
      </c>
      <c r="O190" s="9" t="s">
        <v>798</v>
      </c>
      <c r="P190" s="14" t="s">
        <v>799</v>
      </c>
      <c r="U190" s="17"/>
      <c r="V190" s="18"/>
      <c r="W190" s="16"/>
      <c r="X190" s="16"/>
      <c r="Y190" s="16"/>
    </row>
    <row r="191">
      <c r="A191" s="9" t="s">
        <v>800</v>
      </c>
      <c r="B191" s="10" t="s">
        <v>801</v>
      </c>
      <c r="C191" s="10" t="s">
        <v>635</v>
      </c>
      <c r="D191" s="10" t="s">
        <v>77</v>
      </c>
      <c r="E191" s="10" t="s">
        <v>78</v>
      </c>
      <c r="F191" s="10" t="s">
        <v>79</v>
      </c>
      <c r="G191" s="10" t="s">
        <v>22</v>
      </c>
      <c r="H191" s="10" t="s">
        <v>636</v>
      </c>
      <c r="I191" s="11">
        <v>486.0</v>
      </c>
      <c r="J191" s="11">
        <v>1999.0</v>
      </c>
      <c r="K191" s="12">
        <f t="shared" si="1"/>
        <v>0.7568784392</v>
      </c>
      <c r="L191" s="13">
        <f>IFERROR(__xludf.DUMMYFUNCTION("GOOGLEFINANCE(""CURRENCY:INRBRL"") * I191
"),28.61649374868)</f>
        <v>28.61649375</v>
      </c>
      <c r="M191" s="9">
        <v>4.5</v>
      </c>
      <c r="N191" s="9">
        <v>30023.0</v>
      </c>
      <c r="O191" s="9" t="s">
        <v>802</v>
      </c>
      <c r="P191" s="14" t="s">
        <v>803</v>
      </c>
      <c r="U191" s="17"/>
      <c r="V191" s="18"/>
      <c r="W191" s="16"/>
      <c r="X191" s="16"/>
      <c r="Y191" s="16"/>
    </row>
    <row r="192">
      <c r="A192" s="9" t="s">
        <v>804</v>
      </c>
      <c r="B192" s="10" t="s">
        <v>805</v>
      </c>
      <c r="C192" s="10" t="s">
        <v>249</v>
      </c>
      <c r="D192" s="10" t="s">
        <v>77</v>
      </c>
      <c r="E192" s="10" t="s">
        <v>78</v>
      </c>
      <c r="F192" s="10" t="s">
        <v>97</v>
      </c>
      <c r="G192" s="10" t="s">
        <v>250</v>
      </c>
      <c r="H192" s="10"/>
      <c r="I192" s="11">
        <v>5699.0</v>
      </c>
      <c r="J192" s="11">
        <v>11000.0</v>
      </c>
      <c r="K192" s="12">
        <f t="shared" si="1"/>
        <v>0.4819090909</v>
      </c>
      <c r="L192" s="13">
        <f>IFERROR(__xludf.DUMMYFUNCTION("GOOGLEFINANCE(""CURRENCY:INRBRL"") * I192
"),335.56666229162)</f>
        <v>335.5666623</v>
      </c>
      <c r="M192" s="9">
        <v>4.5</v>
      </c>
      <c r="N192" s="9">
        <v>4003.0</v>
      </c>
      <c r="O192" s="9" t="s">
        <v>806</v>
      </c>
      <c r="P192" s="14" t="s">
        <v>807</v>
      </c>
      <c r="U192" s="17"/>
      <c r="V192" s="18"/>
      <c r="W192" s="16"/>
      <c r="X192" s="16"/>
      <c r="Y192" s="16"/>
    </row>
    <row r="193">
      <c r="A193" s="9" t="s">
        <v>808</v>
      </c>
      <c r="B193" s="10" t="s">
        <v>809</v>
      </c>
      <c r="C193" s="10" t="s">
        <v>18</v>
      </c>
      <c r="D193" s="10" t="s">
        <v>19</v>
      </c>
      <c r="E193" s="10" t="s">
        <v>20</v>
      </c>
      <c r="F193" s="10" t="s">
        <v>21</v>
      </c>
      <c r="G193" s="10" t="s">
        <v>22</v>
      </c>
      <c r="H193" s="10" t="s">
        <v>23</v>
      </c>
      <c r="I193" s="11">
        <v>709.0</v>
      </c>
      <c r="J193" s="11">
        <v>1999.0</v>
      </c>
      <c r="K193" s="12">
        <f t="shared" si="1"/>
        <v>0.6453226613</v>
      </c>
      <c r="L193" s="13">
        <f>IFERROR(__xludf.DUMMYFUNCTION("GOOGLEFINANCE(""CURRENCY:INRBRL"") * I193
"),41.74710713542)</f>
        <v>41.74710714</v>
      </c>
      <c r="M193" s="9">
        <v>4.49</v>
      </c>
      <c r="N193" s="9">
        <v>178817.0</v>
      </c>
      <c r="O193" s="9" t="s">
        <v>810</v>
      </c>
      <c r="P193" s="14" t="s">
        <v>811</v>
      </c>
      <c r="U193" s="17"/>
      <c r="V193" s="18"/>
      <c r="W193" s="16"/>
      <c r="X193" s="16"/>
      <c r="Y193" s="16"/>
    </row>
    <row r="194">
      <c r="A194" s="9" t="s">
        <v>812</v>
      </c>
      <c r="B194" s="10" t="s">
        <v>813</v>
      </c>
      <c r="C194" s="10" t="s">
        <v>96</v>
      </c>
      <c r="D194" s="10" t="s">
        <v>77</v>
      </c>
      <c r="E194" s="10" t="s">
        <v>78</v>
      </c>
      <c r="F194" s="10" t="s">
        <v>97</v>
      </c>
      <c r="G194" s="10" t="s">
        <v>98</v>
      </c>
      <c r="H194" s="10"/>
      <c r="I194" s="11">
        <v>47990.0</v>
      </c>
      <c r="J194" s="11">
        <v>70900.0</v>
      </c>
      <c r="K194" s="12">
        <f t="shared" si="1"/>
        <v>0.3231311707</v>
      </c>
      <c r="L194" s="13">
        <f>IFERROR(__xludf.DUMMYFUNCTION("GOOGLEFINANCE(""CURRENCY:INRBRL"") * I194
"),2825.7315534962)</f>
        <v>2825.731553</v>
      </c>
      <c r="M194" s="9">
        <v>4.5</v>
      </c>
      <c r="N194" s="9">
        <v>7109.0</v>
      </c>
      <c r="O194" s="9" t="s">
        <v>283</v>
      </c>
      <c r="P194" s="14" t="s">
        <v>814</v>
      </c>
      <c r="U194" s="17"/>
      <c r="V194" s="18"/>
      <c r="W194" s="16"/>
      <c r="X194" s="16"/>
      <c r="Y194" s="16"/>
    </row>
    <row r="195">
      <c r="A195" s="9" t="s">
        <v>815</v>
      </c>
      <c r="B195" s="10" t="s">
        <v>816</v>
      </c>
      <c r="C195" s="10" t="s">
        <v>227</v>
      </c>
      <c r="D195" s="10" t="s">
        <v>77</v>
      </c>
      <c r="E195" s="10" t="s">
        <v>78</v>
      </c>
      <c r="F195" s="10" t="s">
        <v>79</v>
      </c>
      <c r="G195" s="10" t="s">
        <v>228</v>
      </c>
      <c r="H195" s="10"/>
      <c r="I195" s="11">
        <v>299.0</v>
      </c>
      <c r="J195" s="11">
        <v>1199.0</v>
      </c>
      <c r="K195" s="12">
        <f t="shared" si="1"/>
        <v>0.7506255213</v>
      </c>
      <c r="L195" s="13">
        <f>IFERROR(__xludf.DUMMYFUNCTION("GOOGLEFINANCE(""CURRENCY:INRBRL"") * I195
"),17.60562063962)</f>
        <v>17.60562064</v>
      </c>
      <c r="M195" s="9">
        <v>4.51</v>
      </c>
      <c r="N195" s="9">
        <v>490.0</v>
      </c>
      <c r="O195" s="9" t="s">
        <v>817</v>
      </c>
      <c r="P195" s="14" t="s">
        <v>818</v>
      </c>
      <c r="U195" s="17"/>
      <c r="V195" s="18"/>
      <c r="W195" s="16"/>
      <c r="X195" s="16"/>
      <c r="Y195" s="16"/>
    </row>
    <row r="196">
      <c r="A196" s="9" t="s">
        <v>819</v>
      </c>
      <c r="B196" s="10" t="s">
        <v>820</v>
      </c>
      <c r="C196" s="10" t="s">
        <v>18</v>
      </c>
      <c r="D196" s="10" t="s">
        <v>19</v>
      </c>
      <c r="E196" s="10" t="s">
        <v>20</v>
      </c>
      <c r="F196" s="10" t="s">
        <v>21</v>
      </c>
      <c r="G196" s="10" t="s">
        <v>22</v>
      </c>
      <c r="H196" s="10" t="s">
        <v>23</v>
      </c>
      <c r="I196" s="11">
        <v>320.0</v>
      </c>
      <c r="J196" s="11">
        <v>599.0</v>
      </c>
      <c r="K196" s="12">
        <f t="shared" si="1"/>
        <v>0.4657762938</v>
      </c>
      <c r="L196" s="13">
        <f>IFERROR(__xludf.DUMMYFUNCTION("GOOGLEFINANCE(""CURRENCY:INRBRL"") * I196
"),18.8421358016)</f>
        <v>18.8421358</v>
      </c>
      <c r="M196" s="9">
        <v>4.49</v>
      </c>
      <c r="N196" s="9">
        <v>491.0</v>
      </c>
      <c r="O196" s="9" t="s">
        <v>821</v>
      </c>
      <c r="P196" s="14" t="s">
        <v>822</v>
      </c>
      <c r="U196" s="17"/>
      <c r="V196" s="18"/>
      <c r="W196" s="16"/>
      <c r="X196" s="16"/>
      <c r="Y196" s="16"/>
    </row>
    <row r="197">
      <c r="A197" s="9" t="s">
        <v>823</v>
      </c>
      <c r="B197" s="10" t="s">
        <v>824</v>
      </c>
      <c r="C197" s="10" t="s">
        <v>18</v>
      </c>
      <c r="D197" s="10" t="s">
        <v>19</v>
      </c>
      <c r="E197" s="10" t="s">
        <v>20</v>
      </c>
      <c r="F197" s="10" t="s">
        <v>21</v>
      </c>
      <c r="G197" s="10" t="s">
        <v>22</v>
      </c>
      <c r="H197" s="10" t="s">
        <v>23</v>
      </c>
      <c r="I197" s="11">
        <v>139.0</v>
      </c>
      <c r="J197" s="11">
        <v>549.0</v>
      </c>
      <c r="K197" s="12">
        <f t="shared" si="1"/>
        <v>0.7468123862</v>
      </c>
      <c r="L197" s="13">
        <f>IFERROR(__xludf.DUMMYFUNCTION("GOOGLEFINANCE(""CURRENCY:INRBRL"") * I197
"),8.184552738819999)</f>
        <v>8.184552739</v>
      </c>
      <c r="M197" s="9">
        <v>4.52</v>
      </c>
      <c r="N197" s="9">
        <v>61.0</v>
      </c>
      <c r="O197" s="9" t="s">
        <v>825</v>
      </c>
      <c r="P197" s="14" t="s">
        <v>826</v>
      </c>
      <c r="U197" s="17"/>
      <c r="V197" s="18"/>
      <c r="W197" s="16"/>
      <c r="X197" s="16"/>
      <c r="Y197" s="16"/>
    </row>
    <row r="198">
      <c r="A198" s="9" t="s">
        <v>827</v>
      </c>
      <c r="B198" s="10" t="s">
        <v>828</v>
      </c>
      <c r="C198" s="10" t="s">
        <v>18</v>
      </c>
      <c r="D198" s="10" t="s">
        <v>19</v>
      </c>
      <c r="E198" s="10" t="s">
        <v>20</v>
      </c>
      <c r="F198" s="10" t="s">
        <v>21</v>
      </c>
      <c r="G198" s="10" t="s">
        <v>22</v>
      </c>
      <c r="H198" s="10" t="s">
        <v>23</v>
      </c>
      <c r="I198" s="11">
        <v>129.0</v>
      </c>
      <c r="J198" s="11">
        <v>249.0</v>
      </c>
      <c r="K198" s="12">
        <f t="shared" si="1"/>
        <v>0.4819277108</v>
      </c>
      <c r="L198" s="13">
        <f>IFERROR(__xludf.DUMMYFUNCTION("GOOGLEFINANCE(""CURRENCY:INRBRL"") * I198
"),7.59573599502)</f>
        <v>7.595735995</v>
      </c>
      <c r="M198" s="9">
        <v>4.0</v>
      </c>
      <c r="N198" s="9">
        <v>9378.0</v>
      </c>
      <c r="O198" s="9" t="s">
        <v>829</v>
      </c>
      <c r="P198" s="14" t="s">
        <v>830</v>
      </c>
      <c r="U198" s="17"/>
      <c r="V198" s="18"/>
      <c r="W198" s="16"/>
      <c r="X198" s="16"/>
      <c r="Y198" s="16"/>
    </row>
    <row r="199">
      <c r="A199" s="9" t="s">
        <v>831</v>
      </c>
      <c r="B199" s="10" t="s">
        <v>832</v>
      </c>
      <c r="C199" s="10" t="s">
        <v>96</v>
      </c>
      <c r="D199" s="10" t="s">
        <v>77</v>
      </c>
      <c r="E199" s="10" t="s">
        <v>78</v>
      </c>
      <c r="F199" s="10" t="s">
        <v>97</v>
      </c>
      <c r="G199" s="10" t="s">
        <v>98</v>
      </c>
      <c r="H199" s="10"/>
      <c r="I199" s="11">
        <v>24999.0</v>
      </c>
      <c r="J199" s="11">
        <v>35999.0</v>
      </c>
      <c r="K199" s="12">
        <f t="shared" si="1"/>
        <v>0.3055640434</v>
      </c>
      <c r="L199" s="13">
        <f>IFERROR(__xludf.DUMMYFUNCTION("GOOGLEFINANCE(""CURRENCY:INRBRL"") * I199
"),1471.9829778256199)</f>
        <v>1471.982978</v>
      </c>
      <c r="M199" s="9">
        <v>4.5</v>
      </c>
      <c r="N199" s="9">
        <v>3284.0</v>
      </c>
      <c r="O199" s="9" t="s">
        <v>451</v>
      </c>
      <c r="P199" s="14" t="s">
        <v>833</v>
      </c>
      <c r="U199" s="17"/>
      <c r="V199" s="18"/>
      <c r="W199" s="16"/>
      <c r="X199" s="16"/>
      <c r="Y199" s="16"/>
    </row>
    <row r="200">
      <c r="A200" s="9" t="s">
        <v>834</v>
      </c>
      <c r="B200" s="10" t="s">
        <v>835</v>
      </c>
      <c r="C200" s="10" t="s">
        <v>18</v>
      </c>
      <c r="D200" s="10" t="s">
        <v>19</v>
      </c>
      <c r="E200" s="10" t="s">
        <v>20</v>
      </c>
      <c r="F200" s="10" t="s">
        <v>21</v>
      </c>
      <c r="G200" s="10" t="s">
        <v>22</v>
      </c>
      <c r="H200" s="10" t="s">
        <v>23</v>
      </c>
      <c r="I200" s="11">
        <v>999.0</v>
      </c>
      <c r="J200" s="11">
        <v>1699.0</v>
      </c>
      <c r="K200" s="12">
        <f t="shared" si="1"/>
        <v>0.412007063</v>
      </c>
      <c r="L200" s="13">
        <f>IFERROR(__xludf.DUMMYFUNCTION("GOOGLEFINANCE(""CURRENCY:INRBRL"") * I200
"),58.822792705619996)</f>
        <v>58.82279271</v>
      </c>
      <c r="M200" s="9">
        <v>4.5</v>
      </c>
      <c r="N200" s="9">
        <v>7318.0</v>
      </c>
      <c r="O200" s="9" t="s">
        <v>836</v>
      </c>
      <c r="P200" s="14" t="s">
        <v>837</v>
      </c>
      <c r="U200" s="17"/>
      <c r="V200" s="18"/>
      <c r="W200" s="16"/>
      <c r="X200" s="16"/>
      <c r="Y200" s="16"/>
    </row>
    <row r="201">
      <c r="A201" s="9" t="s">
        <v>838</v>
      </c>
      <c r="B201" s="10" t="s">
        <v>839</v>
      </c>
      <c r="C201" s="10" t="s">
        <v>18</v>
      </c>
      <c r="D201" s="10" t="s">
        <v>19</v>
      </c>
      <c r="E201" s="10" t="s">
        <v>20</v>
      </c>
      <c r="F201" s="10" t="s">
        <v>21</v>
      </c>
      <c r="G201" s="10" t="s">
        <v>22</v>
      </c>
      <c r="H201" s="10" t="s">
        <v>23</v>
      </c>
      <c r="I201" s="11">
        <v>225.0</v>
      </c>
      <c r="J201" s="11">
        <v>499.0</v>
      </c>
      <c r="K201" s="12">
        <f t="shared" si="1"/>
        <v>0.5490981964</v>
      </c>
      <c r="L201" s="13">
        <f>IFERROR(__xludf.DUMMYFUNCTION("GOOGLEFINANCE(""CURRENCY:INRBRL"") * I201
"),13.248376735499999)</f>
        <v>13.24837674</v>
      </c>
      <c r="M201" s="9">
        <v>4.49</v>
      </c>
      <c r="N201" s="9">
        <v>789.0</v>
      </c>
      <c r="O201" s="9" t="s">
        <v>840</v>
      </c>
      <c r="P201" s="14" t="s">
        <v>841</v>
      </c>
      <c r="U201" s="17"/>
      <c r="V201" s="18"/>
      <c r="W201" s="16"/>
      <c r="X201" s="16"/>
      <c r="Y201" s="16"/>
    </row>
    <row r="202">
      <c r="A202" s="9" t="s">
        <v>842</v>
      </c>
      <c r="B202" s="10" t="s">
        <v>843</v>
      </c>
      <c r="C202" s="10" t="s">
        <v>227</v>
      </c>
      <c r="D202" s="10" t="s">
        <v>77</v>
      </c>
      <c r="E202" s="10" t="s">
        <v>78</v>
      </c>
      <c r="F202" s="10" t="s">
        <v>79</v>
      </c>
      <c r="G202" s="10" t="s">
        <v>228</v>
      </c>
      <c r="H202" s="10"/>
      <c r="I202" s="11">
        <v>547.0</v>
      </c>
      <c r="J202" s="11">
        <v>2999.0</v>
      </c>
      <c r="K202" s="12">
        <f t="shared" si="1"/>
        <v>0.8176058686</v>
      </c>
      <c r="L202" s="13">
        <f>IFERROR(__xludf.DUMMYFUNCTION("GOOGLEFINANCE(""CURRENCY:INRBRL"") * I202
"),32.20827588586)</f>
        <v>32.20827589</v>
      </c>
      <c r="M202" s="9">
        <v>4.5</v>
      </c>
      <c r="N202" s="9">
        <v>407.0</v>
      </c>
      <c r="O202" s="9" t="s">
        <v>844</v>
      </c>
      <c r="P202" s="14" t="s">
        <v>845</v>
      </c>
      <c r="U202" s="17"/>
      <c r="V202" s="18"/>
      <c r="W202" s="16"/>
      <c r="X202" s="16"/>
      <c r="Y202" s="16"/>
    </row>
    <row r="203">
      <c r="A203" s="9" t="s">
        <v>846</v>
      </c>
      <c r="B203" s="10" t="s">
        <v>847</v>
      </c>
      <c r="C203" s="10" t="s">
        <v>18</v>
      </c>
      <c r="D203" s="10" t="s">
        <v>19</v>
      </c>
      <c r="E203" s="10" t="s">
        <v>20</v>
      </c>
      <c r="F203" s="10" t="s">
        <v>21</v>
      </c>
      <c r="G203" s="10" t="s">
        <v>22</v>
      </c>
      <c r="H203" s="10" t="s">
        <v>23</v>
      </c>
      <c r="I203" s="11">
        <v>259.0</v>
      </c>
      <c r="J203" s="11">
        <v>699.0</v>
      </c>
      <c r="K203" s="12">
        <f t="shared" si="1"/>
        <v>0.6294706724</v>
      </c>
      <c r="L203" s="13">
        <f>IFERROR(__xludf.DUMMYFUNCTION("GOOGLEFINANCE(""CURRENCY:INRBRL"") * I203
"),15.25035366442)</f>
        <v>15.25035366</v>
      </c>
      <c r="M203" s="9">
        <v>4.51</v>
      </c>
      <c r="N203" s="9">
        <v>2399.0</v>
      </c>
      <c r="O203" s="9" t="s">
        <v>848</v>
      </c>
      <c r="P203" s="14" t="s">
        <v>849</v>
      </c>
      <c r="U203" s="17"/>
      <c r="V203" s="18"/>
      <c r="W203" s="16"/>
      <c r="X203" s="16"/>
      <c r="Y203" s="16"/>
    </row>
    <row r="204">
      <c r="A204" s="9" t="s">
        <v>850</v>
      </c>
      <c r="B204" s="10" t="s">
        <v>851</v>
      </c>
      <c r="C204" s="10" t="s">
        <v>227</v>
      </c>
      <c r="D204" s="10" t="s">
        <v>77</v>
      </c>
      <c r="E204" s="10" t="s">
        <v>78</v>
      </c>
      <c r="F204" s="10" t="s">
        <v>79</v>
      </c>
      <c r="G204" s="10" t="s">
        <v>228</v>
      </c>
      <c r="H204" s="10"/>
      <c r="I204" s="11">
        <v>239.0</v>
      </c>
      <c r="J204" s="11">
        <v>699.0</v>
      </c>
      <c r="K204" s="12">
        <f t="shared" si="1"/>
        <v>0.6580829757</v>
      </c>
      <c r="L204" s="13">
        <f>IFERROR(__xludf.DUMMYFUNCTION("GOOGLEFINANCE(""CURRENCY:INRBRL"") * I204
"),14.072720176819999)</f>
        <v>14.07272018</v>
      </c>
      <c r="M204" s="9">
        <v>4.5</v>
      </c>
      <c r="N204" s="9">
        <v>264.0</v>
      </c>
      <c r="O204" s="9" t="s">
        <v>852</v>
      </c>
      <c r="P204" s="14" t="s">
        <v>853</v>
      </c>
      <c r="U204" s="17"/>
      <c r="V204" s="18"/>
      <c r="W204" s="16"/>
      <c r="X204" s="16"/>
      <c r="Y204" s="16"/>
    </row>
    <row r="205">
      <c r="A205" s="9" t="s">
        <v>854</v>
      </c>
      <c r="B205" s="10" t="s">
        <v>855</v>
      </c>
      <c r="C205" s="10" t="s">
        <v>227</v>
      </c>
      <c r="D205" s="10" t="s">
        <v>77</v>
      </c>
      <c r="E205" s="10" t="s">
        <v>78</v>
      </c>
      <c r="F205" s="10" t="s">
        <v>79</v>
      </c>
      <c r="G205" s="10" t="s">
        <v>228</v>
      </c>
      <c r="H205" s="10"/>
      <c r="I205" s="11">
        <v>349.0</v>
      </c>
      <c r="J205" s="11">
        <v>999.0</v>
      </c>
      <c r="K205" s="12">
        <f t="shared" si="1"/>
        <v>0.6506506507</v>
      </c>
      <c r="L205" s="13">
        <f>IFERROR(__xludf.DUMMYFUNCTION("GOOGLEFINANCE(""CURRENCY:INRBRL"") * I205
"),20.549704358619998)</f>
        <v>20.54970436</v>
      </c>
      <c r="M205" s="9">
        <v>4.0</v>
      </c>
      <c r="N205" s="9">
        <v>839.0</v>
      </c>
      <c r="O205" s="9" t="s">
        <v>856</v>
      </c>
      <c r="P205" s="14" t="s">
        <v>857</v>
      </c>
      <c r="U205" s="17"/>
      <c r="V205" s="18"/>
      <c r="W205" s="16"/>
      <c r="X205" s="16"/>
      <c r="Y205" s="16"/>
    </row>
    <row r="206">
      <c r="A206" s="9" t="s">
        <v>858</v>
      </c>
      <c r="B206" s="10" t="s">
        <v>859</v>
      </c>
      <c r="C206" s="10" t="s">
        <v>76</v>
      </c>
      <c r="D206" s="10" t="s">
        <v>77</v>
      </c>
      <c r="E206" s="10" t="s">
        <v>78</v>
      </c>
      <c r="F206" s="10" t="s">
        <v>79</v>
      </c>
      <c r="G206" s="10" t="s">
        <v>22</v>
      </c>
      <c r="H206" s="10" t="s">
        <v>80</v>
      </c>
      <c r="I206" s="11">
        <v>467.0</v>
      </c>
      <c r="J206" s="11">
        <v>599.0</v>
      </c>
      <c r="K206" s="12">
        <f t="shared" si="1"/>
        <v>0.2203672788</v>
      </c>
      <c r="L206" s="13">
        <f>IFERROR(__xludf.DUMMYFUNCTION("GOOGLEFINANCE(""CURRENCY:INRBRL"") * I206
"),27.49774193546)</f>
        <v>27.49774194</v>
      </c>
      <c r="M206" s="9">
        <v>4.5</v>
      </c>
      <c r="N206" s="9">
        <v>44054.0</v>
      </c>
      <c r="O206" s="9" t="s">
        <v>860</v>
      </c>
      <c r="P206" s="14" t="s">
        <v>861</v>
      </c>
      <c r="U206" s="17"/>
      <c r="V206" s="18"/>
      <c r="W206" s="16"/>
      <c r="X206" s="16"/>
      <c r="Y206" s="16"/>
    </row>
    <row r="207">
      <c r="A207" s="9" t="s">
        <v>862</v>
      </c>
      <c r="B207" s="10" t="s">
        <v>863</v>
      </c>
      <c r="C207" s="10" t="s">
        <v>18</v>
      </c>
      <c r="D207" s="10" t="s">
        <v>19</v>
      </c>
      <c r="E207" s="10" t="s">
        <v>20</v>
      </c>
      <c r="F207" s="10" t="s">
        <v>21</v>
      </c>
      <c r="G207" s="10" t="s">
        <v>22</v>
      </c>
      <c r="H207" s="10" t="s">
        <v>23</v>
      </c>
      <c r="I207" s="11">
        <v>449.0</v>
      </c>
      <c r="J207" s="11">
        <v>599.0</v>
      </c>
      <c r="K207" s="12">
        <f t="shared" si="1"/>
        <v>0.2504173623</v>
      </c>
      <c r="L207" s="13">
        <f>IFERROR(__xludf.DUMMYFUNCTION("GOOGLEFINANCE(""CURRENCY:INRBRL"") * I207
"),26.437871796619998)</f>
        <v>26.4378718</v>
      </c>
      <c r="M207" s="9">
        <v>4.0</v>
      </c>
      <c r="N207" s="9">
        <v>3231.0</v>
      </c>
      <c r="O207" s="9" t="s">
        <v>864</v>
      </c>
      <c r="P207" s="14" t="s">
        <v>865</v>
      </c>
      <c r="U207" s="17"/>
      <c r="V207" s="18"/>
      <c r="W207" s="16"/>
      <c r="X207" s="16"/>
      <c r="Y207" s="16"/>
    </row>
    <row r="208">
      <c r="A208" s="9" t="s">
        <v>866</v>
      </c>
      <c r="B208" s="10" t="s">
        <v>867</v>
      </c>
      <c r="C208" s="10" t="s">
        <v>96</v>
      </c>
      <c r="D208" s="10" t="s">
        <v>77</v>
      </c>
      <c r="E208" s="10" t="s">
        <v>78</v>
      </c>
      <c r="F208" s="10" t="s">
        <v>97</v>
      </c>
      <c r="G208" s="10" t="s">
        <v>98</v>
      </c>
      <c r="H208" s="10"/>
      <c r="I208" s="11">
        <v>11990.0</v>
      </c>
      <c r="J208" s="11">
        <v>31990.0</v>
      </c>
      <c r="K208" s="12">
        <f t="shared" si="1"/>
        <v>0.6251953736</v>
      </c>
      <c r="L208" s="13">
        <f>IFERROR(__xludf.DUMMYFUNCTION("GOOGLEFINANCE(""CURRENCY:INRBRL"") * I208
"),705.9912758162)</f>
        <v>705.9912758</v>
      </c>
      <c r="M208" s="9">
        <v>4.5</v>
      </c>
      <c r="N208" s="9">
        <v>64.0</v>
      </c>
      <c r="O208" s="9" t="s">
        <v>350</v>
      </c>
      <c r="P208" s="14" t="s">
        <v>868</v>
      </c>
      <c r="U208" s="17"/>
      <c r="V208" s="18"/>
      <c r="W208" s="16"/>
      <c r="X208" s="16"/>
      <c r="Y208" s="16"/>
    </row>
    <row r="209">
      <c r="A209" s="9" t="s">
        <v>869</v>
      </c>
      <c r="B209" s="10" t="s">
        <v>870</v>
      </c>
      <c r="C209" s="10" t="s">
        <v>18</v>
      </c>
      <c r="D209" s="10" t="s">
        <v>19</v>
      </c>
      <c r="E209" s="10" t="s">
        <v>20</v>
      </c>
      <c r="F209" s="10" t="s">
        <v>21</v>
      </c>
      <c r="G209" s="10" t="s">
        <v>22</v>
      </c>
      <c r="H209" s="10" t="s">
        <v>23</v>
      </c>
      <c r="I209" s="11">
        <v>350.0</v>
      </c>
      <c r="J209" s="11">
        <v>599.0</v>
      </c>
      <c r="K209" s="12">
        <f t="shared" si="1"/>
        <v>0.4156928214</v>
      </c>
      <c r="L209" s="13">
        <f>IFERROR(__xludf.DUMMYFUNCTION("GOOGLEFINANCE(""CURRENCY:INRBRL"") * I209
"),20.608586032999998)</f>
        <v>20.60858603</v>
      </c>
      <c r="M209" s="9">
        <v>4.52</v>
      </c>
      <c r="N209" s="9">
        <v>8314.0</v>
      </c>
      <c r="O209" s="9" t="s">
        <v>871</v>
      </c>
      <c r="P209" s="14" t="s">
        <v>872</v>
      </c>
      <c r="U209" s="17"/>
      <c r="V209" s="18"/>
      <c r="W209" s="16"/>
      <c r="X209" s="16"/>
      <c r="Y209" s="16"/>
    </row>
    <row r="210">
      <c r="A210" s="9" t="s">
        <v>873</v>
      </c>
      <c r="B210" s="10" t="s">
        <v>874</v>
      </c>
      <c r="C210" s="10" t="s">
        <v>18</v>
      </c>
      <c r="D210" s="10" t="s">
        <v>19</v>
      </c>
      <c r="E210" s="10" t="s">
        <v>20</v>
      </c>
      <c r="F210" s="10" t="s">
        <v>21</v>
      </c>
      <c r="G210" s="10" t="s">
        <v>22</v>
      </c>
      <c r="H210" s="10" t="s">
        <v>23</v>
      </c>
      <c r="I210" s="11">
        <v>252.0</v>
      </c>
      <c r="J210" s="11">
        <v>999.0</v>
      </c>
      <c r="K210" s="12">
        <f t="shared" si="1"/>
        <v>0.7477477477</v>
      </c>
      <c r="L210" s="13">
        <f>IFERROR(__xludf.DUMMYFUNCTION("GOOGLEFINANCE(""CURRENCY:INRBRL"") * I210
"),14.83818194376)</f>
        <v>14.83818194</v>
      </c>
      <c r="M210" s="9">
        <v>4.51</v>
      </c>
      <c r="N210" s="9">
        <v>2249.0</v>
      </c>
      <c r="O210" s="9" t="s">
        <v>875</v>
      </c>
      <c r="P210" s="14" t="s">
        <v>876</v>
      </c>
      <c r="U210" s="17"/>
      <c r="V210" s="18"/>
      <c r="W210" s="16"/>
      <c r="X210" s="16"/>
      <c r="Y210" s="16"/>
    </row>
    <row r="211">
      <c r="A211" s="9" t="s">
        <v>877</v>
      </c>
      <c r="B211" s="10" t="s">
        <v>878</v>
      </c>
      <c r="C211" s="10" t="s">
        <v>227</v>
      </c>
      <c r="D211" s="10" t="s">
        <v>77</v>
      </c>
      <c r="E211" s="10" t="s">
        <v>78</v>
      </c>
      <c r="F211" s="10" t="s">
        <v>79</v>
      </c>
      <c r="G211" s="10" t="s">
        <v>228</v>
      </c>
      <c r="H211" s="10"/>
      <c r="I211" s="11">
        <v>204.0</v>
      </c>
      <c r="J211" s="11">
        <v>599.0</v>
      </c>
      <c r="K211" s="12">
        <f t="shared" si="1"/>
        <v>0.6594323873</v>
      </c>
      <c r="L211" s="13">
        <f>IFERROR(__xludf.DUMMYFUNCTION("GOOGLEFINANCE(""CURRENCY:INRBRL"") * I211
"),12.01186157352)</f>
        <v>12.01186157</v>
      </c>
      <c r="M211" s="9">
        <v>4.51</v>
      </c>
      <c r="N211" s="9">
        <v>339.0</v>
      </c>
      <c r="O211" s="9" t="s">
        <v>879</v>
      </c>
      <c r="P211" s="14" t="s">
        <v>880</v>
      </c>
      <c r="U211" s="17"/>
      <c r="V211" s="18"/>
      <c r="W211" s="16"/>
      <c r="X211" s="16"/>
      <c r="Y211" s="16"/>
    </row>
    <row r="212">
      <c r="A212" s="9" t="s">
        <v>881</v>
      </c>
      <c r="B212" s="10" t="s">
        <v>882</v>
      </c>
      <c r="C212" s="10" t="s">
        <v>673</v>
      </c>
      <c r="D212" s="10" t="s">
        <v>77</v>
      </c>
      <c r="E212" s="10" t="s">
        <v>78</v>
      </c>
      <c r="F212" s="10" t="s">
        <v>674</v>
      </c>
      <c r="G212" s="10"/>
      <c r="H212" s="10"/>
      <c r="I212" s="11">
        <v>6490.0</v>
      </c>
      <c r="J212" s="11">
        <v>9990.0</v>
      </c>
      <c r="K212" s="12">
        <f t="shared" si="1"/>
        <v>0.3503503504</v>
      </c>
      <c r="L212" s="13">
        <f>IFERROR(__xludf.DUMMYFUNCTION("GOOGLEFINANCE(""CURRENCY:INRBRL"") * I212
"),382.14206672619997)</f>
        <v>382.1420667</v>
      </c>
      <c r="M212" s="9">
        <v>4.0</v>
      </c>
      <c r="N212" s="9">
        <v>27.0</v>
      </c>
      <c r="O212" s="9" t="s">
        <v>883</v>
      </c>
      <c r="P212" s="14" t="s">
        <v>884</v>
      </c>
      <c r="U212" s="17"/>
      <c r="V212" s="18"/>
      <c r="W212" s="16"/>
      <c r="X212" s="16"/>
      <c r="Y212" s="16"/>
    </row>
    <row r="213">
      <c r="A213" s="9" t="s">
        <v>885</v>
      </c>
      <c r="B213" s="10" t="s">
        <v>886</v>
      </c>
      <c r="C213" s="10" t="s">
        <v>227</v>
      </c>
      <c r="D213" s="10" t="s">
        <v>77</v>
      </c>
      <c r="E213" s="10" t="s">
        <v>78</v>
      </c>
      <c r="F213" s="10" t="s">
        <v>79</v>
      </c>
      <c r="G213" s="10" t="s">
        <v>228</v>
      </c>
      <c r="H213" s="10"/>
      <c r="I213" s="11">
        <v>235.0</v>
      </c>
      <c r="J213" s="11">
        <v>599.0</v>
      </c>
      <c r="K213" s="12">
        <f t="shared" si="1"/>
        <v>0.6076794658</v>
      </c>
      <c r="L213" s="13">
        <f>IFERROR(__xludf.DUMMYFUNCTION("GOOGLEFINANCE(""CURRENCY:INRBRL"") * I213
"),13.8371934793)</f>
        <v>13.83719348</v>
      </c>
      <c r="M213" s="9">
        <v>4.5</v>
      </c>
      <c r="N213" s="9">
        <v>197.0</v>
      </c>
      <c r="O213" s="9" t="s">
        <v>887</v>
      </c>
      <c r="P213" s="14" t="s">
        <v>888</v>
      </c>
      <c r="U213" s="17"/>
      <c r="V213" s="18"/>
      <c r="W213" s="16"/>
      <c r="X213" s="16"/>
      <c r="Y213" s="16"/>
    </row>
    <row r="214">
      <c r="A214" s="9" t="s">
        <v>889</v>
      </c>
      <c r="B214" s="10" t="s">
        <v>890</v>
      </c>
      <c r="C214" s="10" t="s">
        <v>18</v>
      </c>
      <c r="D214" s="10" t="s">
        <v>19</v>
      </c>
      <c r="E214" s="10" t="s">
        <v>20</v>
      </c>
      <c r="F214" s="10" t="s">
        <v>21</v>
      </c>
      <c r="G214" s="10" t="s">
        <v>22</v>
      </c>
      <c r="H214" s="10" t="s">
        <v>23</v>
      </c>
      <c r="I214" s="11">
        <v>299.0</v>
      </c>
      <c r="J214" s="11">
        <v>800.0</v>
      </c>
      <c r="K214" s="12">
        <f t="shared" si="1"/>
        <v>0.62625</v>
      </c>
      <c r="L214" s="13">
        <f>IFERROR(__xludf.DUMMYFUNCTION("GOOGLEFINANCE(""CURRENCY:INRBRL"") * I214
"),17.60562063962)</f>
        <v>17.60562064</v>
      </c>
      <c r="M214" s="9">
        <v>4.51</v>
      </c>
      <c r="N214" s="9">
        <v>74977.0</v>
      </c>
      <c r="O214" s="9" t="s">
        <v>891</v>
      </c>
      <c r="P214" s="14" t="s">
        <v>892</v>
      </c>
      <c r="U214" s="17"/>
      <c r="V214" s="18"/>
      <c r="W214" s="16"/>
      <c r="X214" s="16"/>
      <c r="Y214" s="16"/>
    </row>
    <row r="215">
      <c r="A215" s="9" t="s">
        <v>893</v>
      </c>
      <c r="B215" s="10" t="s">
        <v>894</v>
      </c>
      <c r="C215" s="10" t="s">
        <v>18</v>
      </c>
      <c r="D215" s="10" t="s">
        <v>19</v>
      </c>
      <c r="E215" s="10" t="s">
        <v>20</v>
      </c>
      <c r="F215" s="10" t="s">
        <v>21</v>
      </c>
      <c r="G215" s="10" t="s">
        <v>22</v>
      </c>
      <c r="H215" s="10" t="s">
        <v>23</v>
      </c>
      <c r="I215" s="11">
        <v>799.0</v>
      </c>
      <c r="J215" s="11">
        <v>1999.0</v>
      </c>
      <c r="K215" s="12">
        <f t="shared" si="1"/>
        <v>0.6003001501</v>
      </c>
      <c r="L215" s="13">
        <f>IFERROR(__xludf.DUMMYFUNCTION("GOOGLEFINANCE(""CURRENCY:INRBRL"") * I215
"),47.046457829619996)</f>
        <v>47.04645783</v>
      </c>
      <c r="M215" s="9">
        <v>4.5</v>
      </c>
      <c r="N215" s="9">
        <v>8583.0</v>
      </c>
      <c r="O215" s="9" t="s">
        <v>895</v>
      </c>
      <c r="P215" s="14" t="s">
        <v>896</v>
      </c>
      <c r="U215" s="17"/>
      <c r="V215" s="18"/>
      <c r="W215" s="16"/>
      <c r="X215" s="16"/>
      <c r="Y215" s="16"/>
    </row>
    <row r="216">
      <c r="A216" s="9" t="s">
        <v>897</v>
      </c>
      <c r="B216" s="10" t="s">
        <v>898</v>
      </c>
      <c r="C216" s="10" t="s">
        <v>227</v>
      </c>
      <c r="D216" s="10" t="s">
        <v>77</v>
      </c>
      <c r="E216" s="10" t="s">
        <v>78</v>
      </c>
      <c r="F216" s="10" t="s">
        <v>79</v>
      </c>
      <c r="G216" s="10" t="s">
        <v>228</v>
      </c>
      <c r="H216" s="10"/>
      <c r="I216" s="11">
        <v>299.0</v>
      </c>
      <c r="J216" s="11">
        <v>999.0</v>
      </c>
      <c r="K216" s="12">
        <f t="shared" si="1"/>
        <v>0.7007007007</v>
      </c>
      <c r="L216" s="13">
        <f>IFERROR(__xludf.DUMMYFUNCTION("GOOGLEFINANCE(""CURRENCY:INRBRL"") * I216
"),17.60562063962)</f>
        <v>17.60562064</v>
      </c>
      <c r="M216" s="9">
        <v>4.51</v>
      </c>
      <c r="N216" s="9">
        <v>928.0</v>
      </c>
      <c r="O216" s="9" t="s">
        <v>899</v>
      </c>
      <c r="P216" s="14" t="s">
        <v>900</v>
      </c>
      <c r="U216" s="17"/>
      <c r="V216" s="18"/>
      <c r="W216" s="16"/>
      <c r="X216" s="16"/>
      <c r="Y216" s="16"/>
    </row>
    <row r="217">
      <c r="A217" s="9" t="s">
        <v>901</v>
      </c>
      <c r="B217" s="10" t="s">
        <v>902</v>
      </c>
      <c r="C217" s="10" t="s">
        <v>249</v>
      </c>
      <c r="D217" s="10" t="s">
        <v>77</v>
      </c>
      <c r="E217" s="10" t="s">
        <v>78</v>
      </c>
      <c r="F217" s="10" t="s">
        <v>97</v>
      </c>
      <c r="G217" s="10" t="s">
        <v>250</v>
      </c>
      <c r="H217" s="10"/>
      <c r="I217" s="11">
        <v>6999.0</v>
      </c>
      <c r="J217" s="11">
        <v>16990.0</v>
      </c>
      <c r="K217" s="12">
        <f t="shared" si="1"/>
        <v>0.5880517952</v>
      </c>
      <c r="L217" s="13">
        <f>IFERROR(__xludf.DUMMYFUNCTION("GOOGLEFINANCE(""CURRENCY:INRBRL"") * I217
"),412.11283898562)</f>
        <v>412.112839</v>
      </c>
      <c r="M217" s="9">
        <v>4.51</v>
      </c>
      <c r="N217" s="9">
        <v>110.0</v>
      </c>
      <c r="O217" s="9" t="s">
        <v>903</v>
      </c>
      <c r="P217" s="14" t="s">
        <v>904</v>
      </c>
      <c r="U217" s="17"/>
      <c r="V217" s="18"/>
      <c r="W217" s="16"/>
      <c r="X217" s="16"/>
      <c r="Y217" s="16"/>
    </row>
    <row r="218">
      <c r="A218" s="9" t="s">
        <v>905</v>
      </c>
      <c r="B218" s="10" t="s">
        <v>906</v>
      </c>
      <c r="C218" s="10" t="s">
        <v>96</v>
      </c>
      <c r="D218" s="10" t="s">
        <v>77</v>
      </c>
      <c r="E218" s="10" t="s">
        <v>78</v>
      </c>
      <c r="F218" s="10" t="s">
        <v>97</v>
      </c>
      <c r="G218" s="10" t="s">
        <v>98</v>
      </c>
      <c r="H218" s="10"/>
      <c r="I218" s="11">
        <v>42999.0</v>
      </c>
      <c r="J218" s="11">
        <v>59999.0</v>
      </c>
      <c r="K218" s="12">
        <f t="shared" si="1"/>
        <v>0.2833380556</v>
      </c>
      <c r="L218" s="13">
        <f>IFERROR(__xludf.DUMMYFUNCTION("GOOGLEFINANCE(""CURRENCY:INRBRL"") * I218
"),2531.85311666562)</f>
        <v>2531.853117</v>
      </c>
      <c r="M218" s="9">
        <v>4.49</v>
      </c>
      <c r="N218" s="9">
        <v>6753.0</v>
      </c>
      <c r="O218" s="9" t="s">
        <v>907</v>
      </c>
      <c r="P218" s="14" t="s">
        <v>908</v>
      </c>
      <c r="U218" s="17"/>
      <c r="V218" s="18"/>
      <c r="W218" s="16"/>
      <c r="X218" s="16"/>
      <c r="Y218" s="16"/>
    </row>
    <row r="219">
      <c r="A219" s="9" t="s">
        <v>909</v>
      </c>
      <c r="B219" s="10" t="s">
        <v>910</v>
      </c>
      <c r="C219" s="10" t="s">
        <v>76</v>
      </c>
      <c r="D219" s="10" t="s">
        <v>77</v>
      </c>
      <c r="E219" s="10" t="s">
        <v>78</v>
      </c>
      <c r="F219" s="10" t="s">
        <v>79</v>
      </c>
      <c r="G219" s="10" t="s">
        <v>22</v>
      </c>
      <c r="H219" s="10" t="s">
        <v>80</v>
      </c>
      <c r="I219" s="11">
        <v>173.0</v>
      </c>
      <c r="J219" s="11">
        <v>999.0</v>
      </c>
      <c r="K219" s="12">
        <f t="shared" si="1"/>
        <v>0.8268268268</v>
      </c>
      <c r="L219" s="13">
        <f>IFERROR(__xludf.DUMMYFUNCTION("GOOGLEFINANCE(""CURRENCY:INRBRL"") * I219
"),10.18652966774)</f>
        <v>10.18652967</v>
      </c>
      <c r="M219" s="9">
        <v>4.5</v>
      </c>
      <c r="N219" s="9">
        <v>1237.0</v>
      </c>
      <c r="O219" s="9" t="s">
        <v>911</v>
      </c>
      <c r="P219" s="14" t="s">
        <v>912</v>
      </c>
      <c r="U219" s="17"/>
      <c r="V219" s="18"/>
      <c r="W219" s="16"/>
      <c r="X219" s="16"/>
      <c r="Y219" s="16"/>
    </row>
    <row r="220">
      <c r="A220" s="9" t="s">
        <v>913</v>
      </c>
      <c r="B220" s="10" t="s">
        <v>914</v>
      </c>
      <c r="C220" s="10" t="s">
        <v>915</v>
      </c>
      <c r="D220" s="10" t="s">
        <v>77</v>
      </c>
      <c r="E220" s="10" t="s">
        <v>569</v>
      </c>
      <c r="F220" s="10" t="s">
        <v>79</v>
      </c>
      <c r="G220" s="10" t="s">
        <v>916</v>
      </c>
      <c r="H220" s="10"/>
      <c r="I220" s="11">
        <v>209.0</v>
      </c>
      <c r="J220" s="11">
        <v>600.0</v>
      </c>
      <c r="K220" s="12">
        <f t="shared" si="1"/>
        <v>0.6516666667</v>
      </c>
      <c r="L220" s="13">
        <f>IFERROR(__xludf.DUMMYFUNCTION("GOOGLEFINANCE(""CURRENCY:INRBRL"") * I220
"),12.30626994542)</f>
        <v>12.30626995</v>
      </c>
      <c r="M220" s="9">
        <v>4.5</v>
      </c>
      <c r="N220" s="9">
        <v>18872.0</v>
      </c>
      <c r="O220" s="9" t="s">
        <v>917</v>
      </c>
      <c r="P220" s="14" t="s">
        <v>918</v>
      </c>
      <c r="U220" s="17"/>
      <c r="V220" s="18"/>
      <c r="W220" s="16"/>
      <c r="X220" s="16"/>
      <c r="Y220" s="16"/>
    </row>
    <row r="221">
      <c r="A221" s="9" t="s">
        <v>919</v>
      </c>
      <c r="B221" s="10" t="s">
        <v>920</v>
      </c>
      <c r="C221" s="10" t="s">
        <v>18</v>
      </c>
      <c r="D221" s="10" t="s">
        <v>19</v>
      </c>
      <c r="E221" s="10" t="s">
        <v>20</v>
      </c>
      <c r="F221" s="10" t="s">
        <v>21</v>
      </c>
      <c r="G221" s="10" t="s">
        <v>22</v>
      </c>
      <c r="H221" s="10" t="s">
        <v>23</v>
      </c>
      <c r="I221" s="11">
        <v>848.99</v>
      </c>
      <c r="J221" s="11">
        <v>1490.0</v>
      </c>
      <c r="K221" s="12">
        <f t="shared" si="1"/>
        <v>0.4302080537</v>
      </c>
      <c r="L221" s="13">
        <f>IFERROR(__xludf.DUMMYFUNCTION("GOOGLEFINANCE(""CURRENCY:INRBRL"") * I221
"),49.9899527318762)</f>
        <v>49.98995273</v>
      </c>
      <c r="M221" s="9">
        <v>4.52</v>
      </c>
      <c r="N221" s="9">
        <v>356.0</v>
      </c>
      <c r="O221" s="9" t="s">
        <v>921</v>
      </c>
      <c r="P221" s="14" t="s">
        <v>922</v>
      </c>
      <c r="U221" s="17"/>
      <c r="V221" s="18"/>
      <c r="W221" s="16"/>
      <c r="X221" s="16"/>
      <c r="Y221" s="16"/>
    </row>
    <row r="222">
      <c r="A222" s="9" t="s">
        <v>923</v>
      </c>
      <c r="B222" s="10" t="s">
        <v>924</v>
      </c>
      <c r="C222" s="10" t="s">
        <v>18</v>
      </c>
      <c r="D222" s="10" t="s">
        <v>19</v>
      </c>
      <c r="E222" s="10" t="s">
        <v>20</v>
      </c>
      <c r="F222" s="10" t="s">
        <v>21</v>
      </c>
      <c r="G222" s="10" t="s">
        <v>22</v>
      </c>
      <c r="H222" s="10" t="s">
        <v>23</v>
      </c>
      <c r="I222" s="11">
        <v>649.0</v>
      </c>
      <c r="J222" s="11">
        <v>1999.0</v>
      </c>
      <c r="K222" s="12">
        <f t="shared" si="1"/>
        <v>0.6753376688</v>
      </c>
      <c r="L222" s="13">
        <f>IFERROR(__xludf.DUMMYFUNCTION("GOOGLEFINANCE(""CURRENCY:INRBRL"") * I222
"),38.21420667262)</f>
        <v>38.21420667</v>
      </c>
      <c r="M222" s="9">
        <v>4.5</v>
      </c>
      <c r="N222" s="9">
        <v>24269.0</v>
      </c>
      <c r="O222" s="9" t="s">
        <v>925</v>
      </c>
      <c r="P222" s="14" t="s">
        <v>926</v>
      </c>
      <c r="U222" s="17"/>
      <c r="V222" s="18"/>
      <c r="W222" s="16"/>
      <c r="X222" s="16"/>
      <c r="Y222" s="16"/>
    </row>
    <row r="223">
      <c r="A223" s="9" t="s">
        <v>927</v>
      </c>
      <c r="B223" s="10" t="s">
        <v>928</v>
      </c>
      <c r="C223" s="10" t="s">
        <v>227</v>
      </c>
      <c r="D223" s="10" t="s">
        <v>77</v>
      </c>
      <c r="E223" s="10" t="s">
        <v>78</v>
      </c>
      <c r="F223" s="10" t="s">
        <v>79</v>
      </c>
      <c r="G223" s="10" t="s">
        <v>228</v>
      </c>
      <c r="H223" s="10"/>
      <c r="I223" s="11">
        <v>299.0</v>
      </c>
      <c r="J223" s="11">
        <v>899.0</v>
      </c>
      <c r="K223" s="12">
        <f t="shared" si="1"/>
        <v>0.6674082314</v>
      </c>
      <c r="L223" s="13">
        <f>IFERROR(__xludf.DUMMYFUNCTION("GOOGLEFINANCE(""CURRENCY:INRBRL"") * I223
"),17.60562063962)</f>
        <v>17.60562064</v>
      </c>
      <c r="M223" s="9">
        <v>4.51</v>
      </c>
      <c r="N223" s="9">
        <v>425.0</v>
      </c>
      <c r="O223" s="9" t="s">
        <v>929</v>
      </c>
      <c r="P223" s="14" t="s">
        <v>930</v>
      </c>
      <c r="U223" s="17"/>
      <c r="V223" s="18"/>
      <c r="W223" s="16"/>
      <c r="X223" s="16"/>
      <c r="Y223" s="16"/>
    </row>
    <row r="224">
      <c r="A224" s="9" t="s">
        <v>931</v>
      </c>
      <c r="B224" s="10" t="s">
        <v>932</v>
      </c>
      <c r="C224" s="10" t="s">
        <v>311</v>
      </c>
      <c r="D224" s="10" t="s">
        <v>77</v>
      </c>
      <c r="E224" s="10" t="s">
        <v>78</v>
      </c>
      <c r="F224" s="10" t="s">
        <v>79</v>
      </c>
      <c r="G224" s="10" t="s">
        <v>312</v>
      </c>
      <c r="H224" s="10" t="s">
        <v>313</v>
      </c>
      <c r="I224" s="11">
        <v>399.0</v>
      </c>
      <c r="J224" s="11">
        <v>799.0</v>
      </c>
      <c r="K224" s="12">
        <f t="shared" si="1"/>
        <v>0.5006257822</v>
      </c>
      <c r="L224" s="13">
        <f>IFERROR(__xludf.DUMMYFUNCTION("GOOGLEFINANCE(""CURRENCY:INRBRL"") * I224
"),23.49378807762)</f>
        <v>23.49378808</v>
      </c>
      <c r="M224" s="9">
        <v>4.49</v>
      </c>
      <c r="N224" s="9">
        <v>1161.0</v>
      </c>
      <c r="O224" s="9" t="s">
        <v>933</v>
      </c>
      <c r="P224" s="14" t="s">
        <v>934</v>
      </c>
      <c r="U224" s="17"/>
      <c r="V224" s="18"/>
      <c r="W224" s="16"/>
      <c r="X224" s="16"/>
      <c r="Y224" s="16"/>
    </row>
    <row r="225">
      <c r="A225" s="9" t="s">
        <v>935</v>
      </c>
      <c r="B225" s="10" t="s">
        <v>936</v>
      </c>
      <c r="C225" s="10" t="s">
        <v>18</v>
      </c>
      <c r="D225" s="10" t="s">
        <v>19</v>
      </c>
      <c r="E225" s="10" t="s">
        <v>20</v>
      </c>
      <c r="F225" s="10" t="s">
        <v>21</v>
      </c>
      <c r="G225" s="10" t="s">
        <v>22</v>
      </c>
      <c r="H225" s="10" t="s">
        <v>23</v>
      </c>
      <c r="I225" s="11">
        <v>249.0</v>
      </c>
      <c r="J225" s="11">
        <v>499.0</v>
      </c>
      <c r="K225" s="12">
        <f t="shared" si="1"/>
        <v>0.501002004</v>
      </c>
      <c r="L225" s="13">
        <f>IFERROR(__xludf.DUMMYFUNCTION("GOOGLEFINANCE(""CURRENCY:INRBRL"") * I225
"),14.66153692062)</f>
        <v>14.66153692</v>
      </c>
      <c r="M225" s="9">
        <v>4.49</v>
      </c>
      <c r="N225" s="9">
        <v>1508.0</v>
      </c>
      <c r="O225" s="9" t="s">
        <v>937</v>
      </c>
      <c r="P225" s="14" t="s">
        <v>938</v>
      </c>
      <c r="U225" s="17"/>
      <c r="V225" s="18"/>
      <c r="W225" s="16"/>
      <c r="X225" s="16"/>
      <c r="Y225" s="16"/>
    </row>
    <row r="226">
      <c r="A226" s="9" t="s">
        <v>939</v>
      </c>
      <c r="B226" s="10" t="s">
        <v>940</v>
      </c>
      <c r="C226" s="10" t="s">
        <v>941</v>
      </c>
      <c r="D226" s="10" t="s">
        <v>77</v>
      </c>
      <c r="E226" s="10" t="s">
        <v>78</v>
      </c>
      <c r="F226" s="10" t="s">
        <v>942</v>
      </c>
      <c r="G226" s="10" t="s">
        <v>943</v>
      </c>
      <c r="H226" s="10"/>
      <c r="I226" s="11">
        <v>1249.0</v>
      </c>
      <c r="J226" s="11">
        <v>2299.0</v>
      </c>
      <c r="K226" s="12">
        <f t="shared" si="1"/>
        <v>0.4567203132</v>
      </c>
      <c r="L226" s="13">
        <f>IFERROR(__xludf.DUMMYFUNCTION("GOOGLEFINANCE(""CURRENCY:INRBRL"") * I226
"),73.54321130062)</f>
        <v>73.5432113</v>
      </c>
      <c r="M226" s="9">
        <v>4.5</v>
      </c>
      <c r="N226" s="9">
        <v>7636.0</v>
      </c>
      <c r="O226" s="9" t="s">
        <v>944</v>
      </c>
      <c r="P226" s="14" t="s">
        <v>945</v>
      </c>
      <c r="U226" s="17"/>
      <c r="V226" s="18"/>
      <c r="W226" s="16"/>
      <c r="X226" s="16"/>
      <c r="Y226" s="16"/>
    </row>
    <row r="227">
      <c r="A227" s="9" t="s">
        <v>946</v>
      </c>
      <c r="B227" s="10" t="s">
        <v>947</v>
      </c>
      <c r="C227" s="10" t="s">
        <v>227</v>
      </c>
      <c r="D227" s="10" t="s">
        <v>77</v>
      </c>
      <c r="E227" s="10" t="s">
        <v>78</v>
      </c>
      <c r="F227" s="10" t="s">
        <v>79</v>
      </c>
      <c r="G227" s="10" t="s">
        <v>228</v>
      </c>
      <c r="H227" s="10"/>
      <c r="I227" s="11">
        <v>213.0</v>
      </c>
      <c r="J227" s="11">
        <v>499.0</v>
      </c>
      <c r="K227" s="12">
        <f t="shared" si="1"/>
        <v>0.5731462926</v>
      </c>
      <c r="L227" s="13">
        <f>IFERROR(__xludf.DUMMYFUNCTION("GOOGLEFINANCE(""CURRENCY:INRBRL"") * I227
"),12.54179664294)</f>
        <v>12.54179664</v>
      </c>
      <c r="M227" s="9">
        <v>4.51</v>
      </c>
      <c r="N227" s="9">
        <v>246.0</v>
      </c>
      <c r="O227" s="9" t="s">
        <v>948</v>
      </c>
      <c r="P227" s="14" t="s">
        <v>949</v>
      </c>
      <c r="U227" s="17"/>
      <c r="V227" s="18"/>
      <c r="W227" s="16"/>
      <c r="X227" s="16"/>
      <c r="Y227" s="16"/>
    </row>
    <row r="228">
      <c r="A228" s="9" t="s">
        <v>950</v>
      </c>
      <c r="B228" s="10" t="s">
        <v>951</v>
      </c>
      <c r="C228" s="10" t="s">
        <v>227</v>
      </c>
      <c r="D228" s="10" t="s">
        <v>77</v>
      </c>
      <c r="E228" s="10" t="s">
        <v>78</v>
      </c>
      <c r="F228" s="10" t="s">
        <v>79</v>
      </c>
      <c r="G228" s="10" t="s">
        <v>228</v>
      </c>
      <c r="H228" s="10"/>
      <c r="I228" s="11">
        <v>209.0</v>
      </c>
      <c r="J228" s="11">
        <v>499.0</v>
      </c>
      <c r="K228" s="12">
        <f t="shared" si="1"/>
        <v>0.5811623246</v>
      </c>
      <c r="L228" s="13">
        <f>IFERROR(__xludf.DUMMYFUNCTION("GOOGLEFINANCE(""CURRENCY:INRBRL"") * I228
"),12.30626994542)</f>
        <v>12.30626995</v>
      </c>
      <c r="M228" s="9">
        <v>4.0</v>
      </c>
      <c r="N228" s="9">
        <v>479.0</v>
      </c>
      <c r="O228" s="9" t="s">
        <v>952</v>
      </c>
      <c r="P228" s="14" t="s">
        <v>953</v>
      </c>
      <c r="U228" s="17"/>
      <c r="V228" s="18"/>
      <c r="W228" s="16"/>
      <c r="X228" s="16"/>
      <c r="Y228" s="16"/>
    </row>
    <row r="229">
      <c r="A229" s="9" t="s">
        <v>954</v>
      </c>
      <c r="B229" s="10" t="s">
        <v>955</v>
      </c>
      <c r="C229" s="10" t="s">
        <v>76</v>
      </c>
      <c r="D229" s="10" t="s">
        <v>77</v>
      </c>
      <c r="E229" s="10" t="s">
        <v>78</v>
      </c>
      <c r="F229" s="10" t="s">
        <v>79</v>
      </c>
      <c r="G229" s="10" t="s">
        <v>22</v>
      </c>
      <c r="H229" s="10" t="s">
        <v>80</v>
      </c>
      <c r="I229" s="11">
        <v>598.0</v>
      </c>
      <c r="J229" s="11">
        <v>4999.0</v>
      </c>
      <c r="K229" s="12">
        <f t="shared" si="1"/>
        <v>0.8803760752</v>
      </c>
      <c r="L229" s="13">
        <f>IFERROR(__xludf.DUMMYFUNCTION("GOOGLEFINANCE(""CURRENCY:INRBRL"") * I229
"),35.21124127924)</f>
        <v>35.21124128</v>
      </c>
      <c r="M229" s="9">
        <v>4.5</v>
      </c>
      <c r="N229" s="9">
        <v>910.0</v>
      </c>
      <c r="O229" s="9" t="s">
        <v>956</v>
      </c>
      <c r="P229" s="14" t="s">
        <v>957</v>
      </c>
      <c r="U229" s="17"/>
      <c r="V229" s="18"/>
      <c r="W229" s="16"/>
      <c r="X229" s="16"/>
      <c r="Y229" s="16"/>
    </row>
    <row r="230">
      <c r="A230" s="9" t="s">
        <v>958</v>
      </c>
      <c r="B230" s="10" t="s">
        <v>959</v>
      </c>
      <c r="C230" s="10" t="s">
        <v>18</v>
      </c>
      <c r="D230" s="10" t="s">
        <v>19</v>
      </c>
      <c r="E230" s="10" t="s">
        <v>20</v>
      </c>
      <c r="F230" s="10" t="s">
        <v>21</v>
      </c>
      <c r="G230" s="10" t="s">
        <v>22</v>
      </c>
      <c r="H230" s="10" t="s">
        <v>23</v>
      </c>
      <c r="I230" s="11">
        <v>799.0</v>
      </c>
      <c r="J230" s="11">
        <v>1749.0</v>
      </c>
      <c r="K230" s="12">
        <f t="shared" si="1"/>
        <v>0.5431675243</v>
      </c>
      <c r="L230" s="13">
        <f>IFERROR(__xludf.DUMMYFUNCTION("GOOGLEFINANCE(""CURRENCY:INRBRL"") * I230
"),47.046457829619996)</f>
        <v>47.04645783</v>
      </c>
      <c r="M230" s="9">
        <v>4.49</v>
      </c>
      <c r="N230" s="9">
        <v>5626.0</v>
      </c>
      <c r="O230" s="9" t="s">
        <v>960</v>
      </c>
      <c r="P230" s="14" t="s">
        <v>961</v>
      </c>
      <c r="U230" s="17"/>
      <c r="V230" s="18"/>
      <c r="W230" s="16"/>
      <c r="X230" s="16"/>
      <c r="Y230" s="16"/>
    </row>
    <row r="231">
      <c r="A231" s="9" t="s">
        <v>962</v>
      </c>
      <c r="B231" s="10" t="s">
        <v>963</v>
      </c>
      <c r="C231" s="10" t="s">
        <v>18</v>
      </c>
      <c r="D231" s="10" t="s">
        <v>19</v>
      </c>
      <c r="E231" s="10" t="s">
        <v>20</v>
      </c>
      <c r="F231" s="10" t="s">
        <v>21</v>
      </c>
      <c r="G231" s="10" t="s">
        <v>22</v>
      </c>
      <c r="H231" s="10" t="s">
        <v>23</v>
      </c>
      <c r="I231" s="11">
        <v>159.0</v>
      </c>
      <c r="J231" s="11">
        <v>595.0</v>
      </c>
      <c r="K231" s="12">
        <f t="shared" si="1"/>
        <v>0.7327731092</v>
      </c>
      <c r="L231" s="13">
        <f>IFERROR(__xludf.DUMMYFUNCTION("GOOGLEFINANCE(""CURRENCY:INRBRL"") * I231
"),9.36218622642)</f>
        <v>9.362186226</v>
      </c>
      <c r="M231" s="9">
        <v>4.5</v>
      </c>
      <c r="N231" s="9">
        <v>14184.0</v>
      </c>
      <c r="O231" s="9" t="s">
        <v>964</v>
      </c>
      <c r="P231" s="14" t="s">
        <v>965</v>
      </c>
      <c r="U231" s="17"/>
      <c r="V231" s="18"/>
      <c r="W231" s="16"/>
      <c r="X231" s="16"/>
      <c r="Y231" s="16"/>
    </row>
    <row r="232">
      <c r="A232" s="9" t="s">
        <v>966</v>
      </c>
      <c r="B232" s="10" t="s">
        <v>967</v>
      </c>
      <c r="C232" s="10" t="s">
        <v>968</v>
      </c>
      <c r="D232" s="10" t="s">
        <v>19</v>
      </c>
      <c r="E232" s="10" t="s">
        <v>20</v>
      </c>
      <c r="F232" s="10" t="s">
        <v>21</v>
      </c>
      <c r="G232" s="10" t="s">
        <v>22</v>
      </c>
      <c r="H232" s="10" t="s">
        <v>969</v>
      </c>
      <c r="I232" s="11">
        <v>499.0</v>
      </c>
      <c r="J232" s="11">
        <v>1100.0</v>
      </c>
      <c r="K232" s="12">
        <f t="shared" si="1"/>
        <v>0.5463636364</v>
      </c>
      <c r="L232" s="13">
        <f>IFERROR(__xludf.DUMMYFUNCTION("GOOGLEFINANCE(""CURRENCY:INRBRL"") * I232
"),29.38195551562)</f>
        <v>29.38195552</v>
      </c>
      <c r="M232" s="9">
        <v>4.5</v>
      </c>
      <c r="N232" s="9">
        <v>25177.0</v>
      </c>
      <c r="O232" s="9" t="s">
        <v>970</v>
      </c>
      <c r="P232" s="14" t="s">
        <v>971</v>
      </c>
      <c r="U232" s="17"/>
      <c r="V232" s="18"/>
      <c r="W232" s="16"/>
      <c r="X232" s="16"/>
      <c r="Y232" s="16"/>
    </row>
    <row r="233">
      <c r="A233" s="9" t="s">
        <v>972</v>
      </c>
      <c r="B233" s="10" t="s">
        <v>973</v>
      </c>
      <c r="C233" s="10" t="s">
        <v>96</v>
      </c>
      <c r="D233" s="10" t="s">
        <v>77</v>
      </c>
      <c r="E233" s="10" t="s">
        <v>78</v>
      </c>
      <c r="F233" s="10" t="s">
        <v>97</v>
      </c>
      <c r="G233" s="10" t="s">
        <v>98</v>
      </c>
      <c r="H233" s="10"/>
      <c r="I233" s="11">
        <v>31999.0</v>
      </c>
      <c r="J233" s="11">
        <v>49999.0</v>
      </c>
      <c r="K233" s="12">
        <f t="shared" si="1"/>
        <v>0.3600072001</v>
      </c>
      <c r="L233" s="13">
        <f>IFERROR(__xludf.DUMMYFUNCTION("GOOGLEFINANCE(""CURRENCY:INRBRL"") * I233
"),1884.15469848562)</f>
        <v>1884.154698</v>
      </c>
      <c r="M233" s="9">
        <v>4.5</v>
      </c>
      <c r="N233" s="9">
        <v>21252.0</v>
      </c>
      <c r="O233" s="9" t="s">
        <v>974</v>
      </c>
      <c r="P233" s="14" t="s">
        <v>975</v>
      </c>
      <c r="U233" s="17"/>
      <c r="V233" s="18"/>
      <c r="W233" s="16"/>
      <c r="X233" s="16"/>
      <c r="Y233" s="16"/>
    </row>
    <row r="234">
      <c r="A234" s="9" t="s">
        <v>976</v>
      </c>
      <c r="B234" s="10" t="s">
        <v>977</v>
      </c>
      <c r="C234" s="10" t="s">
        <v>96</v>
      </c>
      <c r="D234" s="10" t="s">
        <v>77</v>
      </c>
      <c r="E234" s="10" t="s">
        <v>78</v>
      </c>
      <c r="F234" s="10" t="s">
        <v>97</v>
      </c>
      <c r="G234" s="10" t="s">
        <v>98</v>
      </c>
      <c r="H234" s="10"/>
      <c r="I234" s="11">
        <v>32990.0</v>
      </c>
      <c r="J234" s="11">
        <v>56790.0</v>
      </c>
      <c r="K234" s="12">
        <f t="shared" si="1"/>
        <v>0.4190878676</v>
      </c>
      <c r="L234" s="13">
        <f>IFERROR(__xludf.DUMMYFUNCTION("GOOGLEFINANCE(""CURRENCY:INRBRL"") * I234
"),1942.5064377961999)</f>
        <v>1942.506438</v>
      </c>
      <c r="M234" s="9">
        <v>4.5</v>
      </c>
      <c r="N234" s="9">
        <v>567.0</v>
      </c>
      <c r="O234" s="9" t="s">
        <v>978</v>
      </c>
      <c r="P234" s="14" t="s">
        <v>979</v>
      </c>
      <c r="U234" s="17"/>
      <c r="V234" s="18"/>
      <c r="W234" s="16"/>
      <c r="X234" s="16"/>
      <c r="Y234" s="16"/>
    </row>
    <row r="235">
      <c r="A235" s="9" t="s">
        <v>980</v>
      </c>
      <c r="B235" s="10" t="s">
        <v>981</v>
      </c>
      <c r="C235" s="10" t="s">
        <v>227</v>
      </c>
      <c r="D235" s="10" t="s">
        <v>77</v>
      </c>
      <c r="E235" s="10" t="s">
        <v>78</v>
      </c>
      <c r="F235" s="10" t="s">
        <v>79</v>
      </c>
      <c r="G235" s="10" t="s">
        <v>228</v>
      </c>
      <c r="H235" s="10"/>
      <c r="I235" s="11">
        <v>299.0</v>
      </c>
      <c r="J235" s="11">
        <v>1199.0</v>
      </c>
      <c r="K235" s="12">
        <f t="shared" si="1"/>
        <v>0.7506255213</v>
      </c>
      <c r="L235" s="13">
        <f>IFERROR(__xludf.DUMMYFUNCTION("GOOGLEFINANCE(""CURRENCY:INRBRL"") * I235
"),17.60562063962)</f>
        <v>17.60562064</v>
      </c>
      <c r="M235" s="9">
        <v>4.5</v>
      </c>
      <c r="N235" s="9">
        <v>466.0</v>
      </c>
      <c r="O235" s="9" t="s">
        <v>982</v>
      </c>
      <c r="P235" s="14" t="s">
        <v>983</v>
      </c>
      <c r="U235" s="17"/>
      <c r="V235" s="18"/>
      <c r="W235" s="16"/>
      <c r="X235" s="16"/>
      <c r="Y235" s="16"/>
    </row>
    <row r="236">
      <c r="A236" s="9" t="s">
        <v>984</v>
      </c>
      <c r="B236" s="10" t="s">
        <v>985</v>
      </c>
      <c r="C236" s="10" t="s">
        <v>18</v>
      </c>
      <c r="D236" s="10" t="s">
        <v>19</v>
      </c>
      <c r="E236" s="10" t="s">
        <v>20</v>
      </c>
      <c r="F236" s="10" t="s">
        <v>21</v>
      </c>
      <c r="G236" s="10" t="s">
        <v>22</v>
      </c>
      <c r="H236" s="10" t="s">
        <v>23</v>
      </c>
      <c r="I236" s="11">
        <v>128.31</v>
      </c>
      <c r="J236" s="11">
        <v>549.0</v>
      </c>
      <c r="K236" s="12">
        <f t="shared" si="1"/>
        <v>0.766284153</v>
      </c>
      <c r="L236" s="13">
        <f>IFERROR(__xludf.DUMMYFUNCTION("GOOGLEFINANCE(""CURRENCY:INRBRL"") * I236
"),7.5551076396978)</f>
        <v>7.55510764</v>
      </c>
      <c r="M236" s="9">
        <v>4.52</v>
      </c>
      <c r="N236" s="9">
        <v>61.0</v>
      </c>
      <c r="O236" s="9" t="s">
        <v>825</v>
      </c>
      <c r="P236" s="14" t="s">
        <v>986</v>
      </c>
      <c r="U236" s="17"/>
      <c r="V236" s="18"/>
      <c r="W236" s="16"/>
      <c r="X236" s="16"/>
      <c r="Y236" s="16"/>
    </row>
    <row r="237">
      <c r="A237" s="9" t="s">
        <v>987</v>
      </c>
      <c r="B237" s="10" t="s">
        <v>988</v>
      </c>
      <c r="C237" s="10" t="s">
        <v>18</v>
      </c>
      <c r="D237" s="10" t="s">
        <v>19</v>
      </c>
      <c r="E237" s="10" t="s">
        <v>20</v>
      </c>
      <c r="F237" s="10" t="s">
        <v>21</v>
      </c>
      <c r="G237" s="10" t="s">
        <v>22</v>
      </c>
      <c r="H237" s="10" t="s">
        <v>23</v>
      </c>
      <c r="I237" s="11">
        <v>599.0</v>
      </c>
      <c r="J237" s="11">
        <v>849.0</v>
      </c>
      <c r="K237" s="12">
        <f t="shared" si="1"/>
        <v>0.2944640754</v>
      </c>
      <c r="L237" s="13">
        <f>IFERROR(__xludf.DUMMYFUNCTION("GOOGLEFINANCE(""CURRENCY:INRBRL"") * I237
"),35.270122953619996)</f>
        <v>35.27012295</v>
      </c>
      <c r="M237" s="9">
        <v>4.51</v>
      </c>
      <c r="N237" s="9">
        <v>474.0</v>
      </c>
      <c r="O237" s="9" t="s">
        <v>703</v>
      </c>
      <c r="P237" s="14" t="s">
        <v>989</v>
      </c>
      <c r="U237" s="17"/>
      <c r="V237" s="18"/>
      <c r="W237" s="16"/>
      <c r="X237" s="16"/>
      <c r="Y237" s="16"/>
    </row>
    <row r="238">
      <c r="A238" s="9" t="s">
        <v>990</v>
      </c>
      <c r="B238" s="10" t="s">
        <v>991</v>
      </c>
      <c r="C238" s="10" t="s">
        <v>227</v>
      </c>
      <c r="D238" s="10" t="s">
        <v>77</v>
      </c>
      <c r="E238" s="10" t="s">
        <v>78</v>
      </c>
      <c r="F238" s="10" t="s">
        <v>79</v>
      </c>
      <c r="G238" s="10" t="s">
        <v>228</v>
      </c>
      <c r="H238" s="10"/>
      <c r="I238" s="11">
        <v>399.0</v>
      </c>
      <c r="J238" s="11">
        <v>899.0</v>
      </c>
      <c r="K238" s="12">
        <f t="shared" si="1"/>
        <v>0.5561735261</v>
      </c>
      <c r="L238" s="13">
        <f>IFERROR(__xludf.DUMMYFUNCTION("GOOGLEFINANCE(""CURRENCY:INRBRL"") * I238
"),23.49378807762)</f>
        <v>23.49378808</v>
      </c>
      <c r="M238" s="9">
        <v>4.5</v>
      </c>
      <c r="N238" s="9">
        <v>431.0</v>
      </c>
      <c r="O238" s="9" t="s">
        <v>992</v>
      </c>
      <c r="P238" s="14" t="s">
        <v>993</v>
      </c>
      <c r="U238" s="17"/>
      <c r="V238" s="18"/>
      <c r="W238" s="16"/>
      <c r="X238" s="16"/>
      <c r="Y238" s="16"/>
    </row>
    <row r="239">
      <c r="A239" s="9" t="s">
        <v>994</v>
      </c>
      <c r="B239" s="10" t="s">
        <v>995</v>
      </c>
      <c r="C239" s="10" t="s">
        <v>18</v>
      </c>
      <c r="D239" s="10" t="s">
        <v>19</v>
      </c>
      <c r="E239" s="10" t="s">
        <v>20</v>
      </c>
      <c r="F239" s="10" t="s">
        <v>21</v>
      </c>
      <c r="G239" s="10" t="s">
        <v>22</v>
      </c>
      <c r="H239" s="10" t="s">
        <v>23</v>
      </c>
      <c r="I239" s="11">
        <v>449.0</v>
      </c>
      <c r="J239" s="11">
        <v>1099.0</v>
      </c>
      <c r="K239" s="12">
        <f t="shared" si="1"/>
        <v>0.5914467698</v>
      </c>
      <c r="L239" s="13">
        <f>IFERROR(__xludf.DUMMYFUNCTION("GOOGLEFINANCE(""CURRENCY:INRBRL"") * I239
"),26.437871796619998)</f>
        <v>26.4378718</v>
      </c>
      <c r="M239" s="9">
        <v>4.0</v>
      </c>
      <c r="N239" s="9">
        <v>242.0</v>
      </c>
      <c r="O239" s="9" t="s">
        <v>996</v>
      </c>
      <c r="P239" s="14" t="s">
        <v>997</v>
      </c>
      <c r="U239" s="17"/>
      <c r="V239" s="18"/>
      <c r="W239" s="16"/>
      <c r="X239" s="16"/>
      <c r="Y239" s="16"/>
    </row>
    <row r="240">
      <c r="A240" s="9" t="s">
        <v>998</v>
      </c>
      <c r="B240" s="10" t="s">
        <v>999</v>
      </c>
      <c r="C240" s="10" t="s">
        <v>18</v>
      </c>
      <c r="D240" s="10" t="s">
        <v>19</v>
      </c>
      <c r="E240" s="10" t="s">
        <v>20</v>
      </c>
      <c r="F240" s="10" t="s">
        <v>21</v>
      </c>
      <c r="G240" s="10" t="s">
        <v>22</v>
      </c>
      <c r="H240" s="10" t="s">
        <v>23</v>
      </c>
      <c r="I240" s="11">
        <v>254.0</v>
      </c>
      <c r="J240" s="11">
        <v>799.0</v>
      </c>
      <c r="K240" s="12">
        <f t="shared" si="1"/>
        <v>0.6821026283</v>
      </c>
      <c r="L240" s="13">
        <f>IFERROR(__xludf.DUMMYFUNCTION("GOOGLEFINANCE(""CURRENCY:INRBRL"") * I240
"),14.95594529252)</f>
        <v>14.95594529</v>
      </c>
      <c r="M240" s="9">
        <v>4.0</v>
      </c>
      <c r="N240" s="9">
        <v>2905.0</v>
      </c>
      <c r="O240" s="9" t="s">
        <v>1000</v>
      </c>
      <c r="P240" s="14" t="s">
        <v>1001</v>
      </c>
      <c r="U240" s="17"/>
      <c r="V240" s="18"/>
      <c r="W240" s="16"/>
      <c r="X240" s="16"/>
      <c r="Y240" s="16"/>
    </row>
    <row r="241">
      <c r="A241" s="9" t="s">
        <v>1002</v>
      </c>
      <c r="B241" s="10" t="s">
        <v>1003</v>
      </c>
      <c r="C241" s="10" t="s">
        <v>1004</v>
      </c>
      <c r="D241" s="10" t="s">
        <v>77</v>
      </c>
      <c r="E241" s="10" t="s">
        <v>78</v>
      </c>
      <c r="F241" s="10" t="s">
        <v>79</v>
      </c>
      <c r="G241" s="10" t="s">
        <v>22</v>
      </c>
      <c r="H241" s="10" t="s">
        <v>1005</v>
      </c>
      <c r="I241" s="11">
        <v>399.0</v>
      </c>
      <c r="J241" s="11">
        <v>795.0</v>
      </c>
      <c r="K241" s="12">
        <f t="shared" si="1"/>
        <v>0.4981132075</v>
      </c>
      <c r="L241" s="13">
        <f>IFERROR(__xludf.DUMMYFUNCTION("GOOGLEFINANCE(""CURRENCY:INRBRL"") * I241
"),23.49378807762)</f>
        <v>23.49378808</v>
      </c>
      <c r="M241" s="9">
        <v>4.5</v>
      </c>
      <c r="N241" s="9">
        <v>12091.0</v>
      </c>
      <c r="O241" s="9" t="s">
        <v>1006</v>
      </c>
      <c r="P241" s="14" t="s">
        <v>1007</v>
      </c>
      <c r="U241" s="17"/>
      <c r="V241" s="18"/>
      <c r="W241" s="16"/>
      <c r="X241" s="16"/>
      <c r="Y241" s="16"/>
    </row>
    <row r="242">
      <c r="A242" s="9" t="s">
        <v>1008</v>
      </c>
      <c r="B242" s="10" t="s">
        <v>1009</v>
      </c>
      <c r="C242" s="10" t="s">
        <v>18</v>
      </c>
      <c r="D242" s="10" t="s">
        <v>19</v>
      </c>
      <c r="E242" s="10" t="s">
        <v>20</v>
      </c>
      <c r="F242" s="10" t="s">
        <v>21</v>
      </c>
      <c r="G242" s="10" t="s">
        <v>22</v>
      </c>
      <c r="H242" s="10" t="s">
        <v>23</v>
      </c>
      <c r="I242" s="11">
        <v>179.0</v>
      </c>
      <c r="J242" s="11">
        <v>399.0</v>
      </c>
      <c r="K242" s="12">
        <f t="shared" si="1"/>
        <v>0.5513784461</v>
      </c>
      <c r="L242" s="13">
        <f>IFERROR(__xludf.DUMMYFUNCTION("GOOGLEFINANCE(""CURRENCY:INRBRL"") * I242
"),10.53981971402)</f>
        <v>10.53981971</v>
      </c>
      <c r="M242" s="9">
        <v>4.0</v>
      </c>
      <c r="N242" s="9">
        <v>1423.0</v>
      </c>
      <c r="O242" s="9" t="s">
        <v>346</v>
      </c>
      <c r="P242" s="14" t="s">
        <v>1010</v>
      </c>
      <c r="U242" s="17"/>
      <c r="V242" s="18"/>
      <c r="W242" s="16"/>
      <c r="X242" s="16"/>
      <c r="Y242" s="16"/>
    </row>
    <row r="243">
      <c r="A243" s="9" t="s">
        <v>1011</v>
      </c>
      <c r="B243" s="10" t="s">
        <v>1012</v>
      </c>
      <c r="C243" s="10" t="s">
        <v>18</v>
      </c>
      <c r="D243" s="10" t="s">
        <v>19</v>
      </c>
      <c r="E243" s="10" t="s">
        <v>20</v>
      </c>
      <c r="F243" s="10" t="s">
        <v>21</v>
      </c>
      <c r="G243" s="10" t="s">
        <v>22</v>
      </c>
      <c r="H243" s="10" t="s">
        <v>23</v>
      </c>
      <c r="I243" s="11">
        <v>339.0</v>
      </c>
      <c r="J243" s="11">
        <v>999.0</v>
      </c>
      <c r="K243" s="12">
        <f t="shared" si="1"/>
        <v>0.6606606607</v>
      </c>
      <c r="L243" s="13">
        <f>IFERROR(__xludf.DUMMYFUNCTION("GOOGLEFINANCE(""CURRENCY:INRBRL"") * I243
"),19.96088761482)</f>
        <v>19.96088761</v>
      </c>
      <c r="M243" s="9">
        <v>4.5</v>
      </c>
      <c r="N243" s="9">
        <v>6255.0</v>
      </c>
      <c r="O243" s="9" t="s">
        <v>691</v>
      </c>
      <c r="P243" s="14" t="s">
        <v>1013</v>
      </c>
      <c r="U243" s="17"/>
      <c r="V243" s="18"/>
      <c r="W243" s="16"/>
      <c r="X243" s="16"/>
      <c r="Y243" s="16"/>
    </row>
    <row r="244">
      <c r="A244" s="9" t="s">
        <v>1014</v>
      </c>
      <c r="B244" s="10" t="s">
        <v>1015</v>
      </c>
      <c r="C244" s="10" t="s">
        <v>311</v>
      </c>
      <c r="D244" s="10" t="s">
        <v>77</v>
      </c>
      <c r="E244" s="10" t="s">
        <v>78</v>
      </c>
      <c r="F244" s="10" t="s">
        <v>79</v>
      </c>
      <c r="G244" s="10" t="s">
        <v>312</v>
      </c>
      <c r="H244" s="10" t="s">
        <v>313</v>
      </c>
      <c r="I244" s="11">
        <v>399.0</v>
      </c>
      <c r="J244" s="11">
        <v>999.0</v>
      </c>
      <c r="K244" s="12">
        <f t="shared" si="1"/>
        <v>0.6006006006</v>
      </c>
      <c r="L244" s="13">
        <f>IFERROR(__xludf.DUMMYFUNCTION("GOOGLEFINANCE(""CURRENCY:INRBRL"") * I244
"),23.49378807762)</f>
        <v>23.49378808</v>
      </c>
      <c r="M244" s="9">
        <v>4.0</v>
      </c>
      <c r="N244" s="9">
        <v>1236.0</v>
      </c>
      <c r="O244" s="9" t="s">
        <v>1016</v>
      </c>
      <c r="P244" s="14" t="s">
        <v>1017</v>
      </c>
      <c r="U244" s="17"/>
      <c r="V244" s="18"/>
      <c r="W244" s="16"/>
      <c r="X244" s="16"/>
      <c r="Y244" s="16"/>
    </row>
    <row r="245">
      <c r="A245" s="9" t="s">
        <v>1018</v>
      </c>
      <c r="B245" s="10" t="s">
        <v>1019</v>
      </c>
      <c r="C245" s="10" t="s">
        <v>227</v>
      </c>
      <c r="D245" s="10" t="s">
        <v>77</v>
      </c>
      <c r="E245" s="10" t="s">
        <v>78</v>
      </c>
      <c r="F245" s="10" t="s">
        <v>79</v>
      </c>
      <c r="G245" s="10" t="s">
        <v>228</v>
      </c>
      <c r="H245" s="10"/>
      <c r="I245" s="11">
        <v>199.0</v>
      </c>
      <c r="J245" s="11">
        <v>399.0</v>
      </c>
      <c r="K245" s="12">
        <f t="shared" si="1"/>
        <v>0.5012531328</v>
      </c>
      <c r="L245" s="13">
        <f>IFERROR(__xludf.DUMMYFUNCTION("GOOGLEFINANCE(""CURRENCY:INRBRL"") * I245
"),11.71745320162)</f>
        <v>11.7174532</v>
      </c>
      <c r="M245" s="9">
        <v>4.5</v>
      </c>
      <c r="N245" s="9">
        <v>1335.0</v>
      </c>
      <c r="O245" s="9" t="s">
        <v>1020</v>
      </c>
      <c r="P245" s="14" t="s">
        <v>1021</v>
      </c>
      <c r="U245" s="17"/>
      <c r="V245" s="18"/>
      <c r="W245" s="16"/>
      <c r="X245" s="16"/>
      <c r="Y245" s="16"/>
    </row>
    <row r="246">
      <c r="A246" s="9" t="s">
        <v>1022</v>
      </c>
      <c r="B246" s="10" t="s">
        <v>1023</v>
      </c>
      <c r="C246" s="10" t="s">
        <v>227</v>
      </c>
      <c r="D246" s="10" t="s">
        <v>77</v>
      </c>
      <c r="E246" s="10" t="s">
        <v>78</v>
      </c>
      <c r="F246" s="10" t="s">
        <v>79</v>
      </c>
      <c r="G246" s="10" t="s">
        <v>228</v>
      </c>
      <c r="H246" s="10"/>
      <c r="I246" s="11">
        <v>349.0</v>
      </c>
      <c r="J246" s="11">
        <v>1999.0</v>
      </c>
      <c r="K246" s="12">
        <f t="shared" si="1"/>
        <v>0.8254127064</v>
      </c>
      <c r="L246" s="13">
        <f>IFERROR(__xludf.DUMMYFUNCTION("GOOGLEFINANCE(""CURRENCY:INRBRL"") * I246
"),20.549704358619998)</f>
        <v>20.54970436</v>
      </c>
      <c r="M246" s="9">
        <v>4.51</v>
      </c>
      <c r="N246" s="9">
        <v>197.0</v>
      </c>
      <c r="O246" s="9" t="s">
        <v>1024</v>
      </c>
      <c r="P246" s="14" t="s">
        <v>1025</v>
      </c>
      <c r="U246" s="17"/>
      <c r="V246" s="18"/>
      <c r="W246" s="16"/>
      <c r="X246" s="16"/>
      <c r="Y246" s="16"/>
    </row>
    <row r="247">
      <c r="A247" s="9" t="s">
        <v>1026</v>
      </c>
      <c r="B247" s="10" t="s">
        <v>1027</v>
      </c>
      <c r="C247" s="10" t="s">
        <v>18</v>
      </c>
      <c r="D247" s="10" t="s">
        <v>19</v>
      </c>
      <c r="E247" s="10" t="s">
        <v>20</v>
      </c>
      <c r="F247" s="10" t="s">
        <v>21</v>
      </c>
      <c r="G247" s="10" t="s">
        <v>22</v>
      </c>
      <c r="H247" s="10" t="s">
        <v>23</v>
      </c>
      <c r="I247" s="11">
        <v>299.0</v>
      </c>
      <c r="J247" s="11">
        <v>798.0</v>
      </c>
      <c r="K247" s="12">
        <f t="shared" si="1"/>
        <v>0.6253132832</v>
      </c>
      <c r="L247" s="13">
        <f>IFERROR(__xludf.DUMMYFUNCTION("GOOGLEFINANCE(""CURRENCY:INRBRL"") * I247
"),17.60562063962)</f>
        <v>17.60562064</v>
      </c>
      <c r="M247" s="9">
        <v>4.5</v>
      </c>
      <c r="N247" s="9">
        <v>28791.0</v>
      </c>
      <c r="O247" s="9" t="s">
        <v>1028</v>
      </c>
      <c r="P247" s="14" t="s">
        <v>1029</v>
      </c>
      <c r="U247" s="17"/>
      <c r="V247" s="18"/>
      <c r="W247" s="16"/>
      <c r="X247" s="16"/>
      <c r="Y247" s="16"/>
    </row>
    <row r="248">
      <c r="A248" s="9" t="s">
        <v>1030</v>
      </c>
      <c r="B248" s="10" t="s">
        <v>1031</v>
      </c>
      <c r="C248" s="10" t="s">
        <v>18</v>
      </c>
      <c r="D248" s="10" t="s">
        <v>19</v>
      </c>
      <c r="E248" s="10" t="s">
        <v>20</v>
      </c>
      <c r="F248" s="10" t="s">
        <v>21</v>
      </c>
      <c r="G248" s="10" t="s">
        <v>22</v>
      </c>
      <c r="H248" s="10" t="s">
        <v>23</v>
      </c>
      <c r="I248" s="11">
        <v>89.0</v>
      </c>
      <c r="J248" s="11">
        <v>800.0</v>
      </c>
      <c r="K248" s="12">
        <f t="shared" si="1"/>
        <v>0.88875</v>
      </c>
      <c r="L248" s="13">
        <f>IFERROR(__xludf.DUMMYFUNCTION("GOOGLEFINANCE(""CURRENCY:INRBRL"") * I248
"),5.24046901982)</f>
        <v>5.24046902</v>
      </c>
      <c r="M248" s="9">
        <v>4.52</v>
      </c>
      <c r="N248" s="9">
        <v>1075.0</v>
      </c>
      <c r="O248" s="9" t="s">
        <v>1032</v>
      </c>
      <c r="P248" s="14" t="s">
        <v>1033</v>
      </c>
      <c r="U248" s="17"/>
      <c r="V248" s="18"/>
      <c r="W248" s="16"/>
      <c r="X248" s="16"/>
      <c r="Y248" s="16"/>
    </row>
    <row r="249">
      <c r="A249" s="9" t="s">
        <v>1034</v>
      </c>
      <c r="B249" s="10" t="s">
        <v>1035</v>
      </c>
      <c r="C249" s="10" t="s">
        <v>18</v>
      </c>
      <c r="D249" s="10" t="s">
        <v>19</v>
      </c>
      <c r="E249" s="10" t="s">
        <v>20</v>
      </c>
      <c r="F249" s="10" t="s">
        <v>21</v>
      </c>
      <c r="G249" s="10" t="s">
        <v>22</v>
      </c>
      <c r="H249" s="10" t="s">
        <v>23</v>
      </c>
      <c r="I249" s="11">
        <v>549.0</v>
      </c>
      <c r="J249" s="11">
        <v>995.0</v>
      </c>
      <c r="K249" s="12">
        <f t="shared" si="1"/>
        <v>0.448241206</v>
      </c>
      <c r="L249" s="13">
        <f>IFERROR(__xludf.DUMMYFUNCTION("GOOGLEFINANCE(""CURRENCY:INRBRL"") * I249
"),32.32603923462)</f>
        <v>32.32603923</v>
      </c>
      <c r="M249" s="9">
        <v>4.5</v>
      </c>
      <c r="N249" s="9">
        <v>29746.0</v>
      </c>
      <c r="O249" s="9" t="s">
        <v>1036</v>
      </c>
      <c r="P249" s="14" t="s">
        <v>1037</v>
      </c>
      <c r="U249" s="17"/>
      <c r="V249" s="18"/>
      <c r="W249" s="16"/>
      <c r="X249" s="16"/>
      <c r="Y249" s="16"/>
    </row>
    <row r="250">
      <c r="A250" s="9" t="s">
        <v>1038</v>
      </c>
      <c r="B250" s="10" t="s">
        <v>1039</v>
      </c>
      <c r="C250" s="10" t="s">
        <v>18</v>
      </c>
      <c r="D250" s="10" t="s">
        <v>19</v>
      </c>
      <c r="E250" s="10" t="s">
        <v>20</v>
      </c>
      <c r="F250" s="10" t="s">
        <v>21</v>
      </c>
      <c r="G250" s="10" t="s">
        <v>22</v>
      </c>
      <c r="H250" s="10" t="s">
        <v>23</v>
      </c>
      <c r="I250" s="11">
        <v>129.0</v>
      </c>
      <c r="J250" s="11">
        <v>1000.0</v>
      </c>
      <c r="K250" s="12">
        <f t="shared" si="1"/>
        <v>0.871</v>
      </c>
      <c r="L250" s="13">
        <f>IFERROR(__xludf.DUMMYFUNCTION("GOOGLEFINANCE(""CURRENCY:INRBRL"") * I250
"),7.59573599502)</f>
        <v>7.595735995</v>
      </c>
      <c r="M250" s="9">
        <v>4.52</v>
      </c>
      <c r="N250" s="9">
        <v>295.0</v>
      </c>
      <c r="O250" s="9" t="s">
        <v>1040</v>
      </c>
      <c r="P250" s="14" t="s">
        <v>1041</v>
      </c>
      <c r="U250" s="17"/>
      <c r="V250" s="18"/>
      <c r="W250" s="16"/>
      <c r="X250" s="16"/>
      <c r="Y250" s="16"/>
    </row>
    <row r="251">
      <c r="A251" s="9" t="s">
        <v>1042</v>
      </c>
      <c r="B251" s="10" t="s">
        <v>1043</v>
      </c>
      <c r="C251" s="10" t="s">
        <v>96</v>
      </c>
      <c r="D251" s="10" t="s">
        <v>77</v>
      </c>
      <c r="E251" s="10" t="s">
        <v>78</v>
      </c>
      <c r="F251" s="10" t="s">
        <v>97</v>
      </c>
      <c r="G251" s="10" t="s">
        <v>98</v>
      </c>
      <c r="H251" s="10"/>
      <c r="I251" s="11">
        <v>77990.0</v>
      </c>
      <c r="J251" s="11">
        <v>139900.0</v>
      </c>
      <c r="K251" s="12">
        <f t="shared" si="1"/>
        <v>0.4425303788</v>
      </c>
      <c r="L251" s="13">
        <f>IFERROR(__xludf.DUMMYFUNCTION("GOOGLEFINANCE(""CURRENCY:INRBRL"") * I251
"),4592.1817848962)</f>
        <v>4592.181785</v>
      </c>
      <c r="M251" s="9">
        <v>4.51</v>
      </c>
      <c r="N251" s="9">
        <v>5935.0</v>
      </c>
      <c r="O251" s="9" t="s">
        <v>1044</v>
      </c>
      <c r="P251" s="14" t="s">
        <v>1045</v>
      </c>
      <c r="U251" s="17"/>
      <c r="V251" s="18"/>
      <c r="W251" s="16"/>
      <c r="X251" s="16"/>
      <c r="Y251" s="16"/>
    </row>
    <row r="252">
      <c r="A252" s="9" t="s">
        <v>1046</v>
      </c>
      <c r="B252" s="10" t="s">
        <v>1047</v>
      </c>
      <c r="C252" s="10" t="s">
        <v>227</v>
      </c>
      <c r="D252" s="10" t="s">
        <v>77</v>
      </c>
      <c r="E252" s="10" t="s">
        <v>78</v>
      </c>
      <c r="F252" s="10" t="s">
        <v>79</v>
      </c>
      <c r="G252" s="10" t="s">
        <v>228</v>
      </c>
      <c r="H252" s="10"/>
      <c r="I252" s="11">
        <v>349.0</v>
      </c>
      <c r="J252" s="11">
        <v>799.0</v>
      </c>
      <c r="K252" s="12">
        <f t="shared" si="1"/>
        <v>0.563204005</v>
      </c>
      <c r="L252" s="13">
        <f>IFERROR(__xludf.DUMMYFUNCTION("GOOGLEFINANCE(""CURRENCY:INRBRL"") * I252
"),20.549704358619998)</f>
        <v>20.54970436</v>
      </c>
      <c r="M252" s="9">
        <v>4.51</v>
      </c>
      <c r="N252" s="9">
        <v>323.0</v>
      </c>
      <c r="O252" s="9" t="s">
        <v>1048</v>
      </c>
      <c r="P252" s="14" t="s">
        <v>1049</v>
      </c>
      <c r="U252" s="17"/>
      <c r="V252" s="18"/>
      <c r="W252" s="16"/>
      <c r="X252" s="16"/>
      <c r="Y252" s="16"/>
    </row>
    <row r="253">
      <c r="A253" s="9" t="s">
        <v>1050</v>
      </c>
      <c r="B253" s="10" t="s">
        <v>1051</v>
      </c>
      <c r="C253" s="10" t="s">
        <v>227</v>
      </c>
      <c r="D253" s="10" t="s">
        <v>77</v>
      </c>
      <c r="E253" s="10" t="s">
        <v>78</v>
      </c>
      <c r="F253" s="10" t="s">
        <v>79</v>
      </c>
      <c r="G253" s="10" t="s">
        <v>228</v>
      </c>
      <c r="H253" s="10"/>
      <c r="I253" s="11">
        <v>499.0</v>
      </c>
      <c r="J253" s="11">
        <v>899.0</v>
      </c>
      <c r="K253" s="12">
        <f t="shared" si="1"/>
        <v>0.4449388209</v>
      </c>
      <c r="L253" s="13">
        <f>IFERROR(__xludf.DUMMYFUNCTION("GOOGLEFINANCE(""CURRENCY:INRBRL"") * I253
"),29.38195551562)</f>
        <v>29.38195552</v>
      </c>
      <c r="M253" s="9">
        <v>4.51</v>
      </c>
      <c r="N253" s="9">
        <v>185.0</v>
      </c>
      <c r="O253" s="9" t="s">
        <v>1052</v>
      </c>
      <c r="P253" s="14" t="s">
        <v>1053</v>
      </c>
      <c r="U253" s="17"/>
      <c r="V253" s="18"/>
      <c r="W253" s="16"/>
      <c r="X253" s="16"/>
      <c r="Y253" s="16"/>
    </row>
    <row r="254">
      <c r="A254" s="9" t="s">
        <v>1054</v>
      </c>
      <c r="B254" s="10" t="s">
        <v>1055</v>
      </c>
      <c r="C254" s="10" t="s">
        <v>18</v>
      </c>
      <c r="D254" s="10" t="s">
        <v>19</v>
      </c>
      <c r="E254" s="10" t="s">
        <v>20</v>
      </c>
      <c r="F254" s="10" t="s">
        <v>21</v>
      </c>
      <c r="G254" s="10" t="s">
        <v>22</v>
      </c>
      <c r="H254" s="10" t="s">
        <v>23</v>
      </c>
      <c r="I254" s="11">
        <v>299.0</v>
      </c>
      <c r="J254" s="11">
        <v>799.0</v>
      </c>
      <c r="K254" s="12">
        <f t="shared" si="1"/>
        <v>0.6257822278</v>
      </c>
      <c r="L254" s="13">
        <f>IFERROR(__xludf.DUMMYFUNCTION("GOOGLEFINANCE(""CURRENCY:INRBRL"") * I254
"),17.60562063962)</f>
        <v>17.60562064</v>
      </c>
      <c r="M254" s="9">
        <v>4.5</v>
      </c>
      <c r="N254" s="9">
        <v>2117.0</v>
      </c>
      <c r="O254" s="9" t="s">
        <v>1056</v>
      </c>
      <c r="P254" s="14" t="s">
        <v>1057</v>
      </c>
      <c r="U254" s="17"/>
      <c r="V254" s="18"/>
      <c r="W254" s="16"/>
      <c r="X254" s="16"/>
      <c r="Y254" s="16"/>
    </row>
    <row r="255">
      <c r="A255" s="9" t="s">
        <v>1058</v>
      </c>
      <c r="B255" s="10" t="s">
        <v>1059</v>
      </c>
      <c r="C255" s="10" t="s">
        <v>18</v>
      </c>
      <c r="D255" s="10" t="s">
        <v>19</v>
      </c>
      <c r="E255" s="10" t="s">
        <v>20</v>
      </c>
      <c r="F255" s="10" t="s">
        <v>21</v>
      </c>
      <c r="G255" s="10" t="s">
        <v>22</v>
      </c>
      <c r="H255" s="10" t="s">
        <v>23</v>
      </c>
      <c r="I255" s="11">
        <v>182.0</v>
      </c>
      <c r="J255" s="11">
        <v>599.0</v>
      </c>
      <c r="K255" s="12">
        <f t="shared" si="1"/>
        <v>0.6961602671</v>
      </c>
      <c r="L255" s="13">
        <f>IFERROR(__xludf.DUMMYFUNCTION("GOOGLEFINANCE(""CURRENCY:INRBRL"") * I255
"),10.716464737159999)</f>
        <v>10.71646474</v>
      </c>
      <c r="M255" s="9">
        <v>4.0</v>
      </c>
      <c r="N255" s="9">
        <v>9378.0</v>
      </c>
      <c r="O255" s="9" t="s">
        <v>1060</v>
      </c>
      <c r="P255" s="14" t="s">
        <v>1061</v>
      </c>
      <c r="U255" s="17"/>
      <c r="V255" s="18"/>
      <c r="W255" s="16"/>
      <c r="X255" s="16"/>
      <c r="Y255" s="16"/>
    </row>
    <row r="256">
      <c r="A256" s="9" t="s">
        <v>1062</v>
      </c>
      <c r="B256" s="10" t="s">
        <v>1063</v>
      </c>
      <c r="C256" s="10" t="s">
        <v>311</v>
      </c>
      <c r="D256" s="10" t="s">
        <v>77</v>
      </c>
      <c r="E256" s="10" t="s">
        <v>78</v>
      </c>
      <c r="F256" s="10" t="s">
        <v>79</v>
      </c>
      <c r="G256" s="10" t="s">
        <v>312</v>
      </c>
      <c r="H256" s="10" t="s">
        <v>313</v>
      </c>
      <c r="I256" s="11">
        <v>96.0</v>
      </c>
      <c r="J256" s="11">
        <v>399.0</v>
      </c>
      <c r="K256" s="12">
        <f t="shared" si="1"/>
        <v>0.7593984962</v>
      </c>
      <c r="L256" s="13">
        <f>IFERROR(__xludf.DUMMYFUNCTION("GOOGLEFINANCE(""CURRENCY:INRBRL"") * I256
"),5.65264074048)</f>
        <v>5.65264074</v>
      </c>
      <c r="M256" s="9">
        <v>4.51</v>
      </c>
      <c r="N256" s="9">
        <v>1796.0</v>
      </c>
      <c r="O256" s="9" t="s">
        <v>1064</v>
      </c>
      <c r="P256" s="14" t="s">
        <v>1065</v>
      </c>
      <c r="U256" s="17"/>
      <c r="V256" s="18"/>
      <c r="W256" s="16"/>
      <c r="X256" s="16"/>
      <c r="Y256" s="16"/>
    </row>
    <row r="257">
      <c r="A257" s="9" t="s">
        <v>1066</v>
      </c>
      <c r="B257" s="10" t="s">
        <v>1067</v>
      </c>
      <c r="C257" s="10" t="s">
        <v>96</v>
      </c>
      <c r="D257" s="10" t="s">
        <v>77</v>
      </c>
      <c r="E257" s="10" t="s">
        <v>78</v>
      </c>
      <c r="F257" s="10" t="s">
        <v>97</v>
      </c>
      <c r="G257" s="10" t="s">
        <v>98</v>
      </c>
      <c r="H257" s="10"/>
      <c r="I257" s="11">
        <v>54989.0</v>
      </c>
      <c r="J257" s="11">
        <v>84999.0</v>
      </c>
      <c r="K257" s="12">
        <f t="shared" si="1"/>
        <v>0.3530629772</v>
      </c>
      <c r="L257" s="13">
        <f>IFERROR(__xludf.DUMMYFUNCTION("GOOGLEFINANCE(""CURRENCY:INRBRL"") * I257
"),3237.84439248182)</f>
        <v>3237.844392</v>
      </c>
      <c r="M257" s="9">
        <v>4.5</v>
      </c>
      <c r="N257" s="9">
        <v>3587.0</v>
      </c>
      <c r="O257" s="9" t="s">
        <v>471</v>
      </c>
      <c r="P257" s="14" t="s">
        <v>1068</v>
      </c>
      <c r="U257" s="17"/>
      <c r="V257" s="18"/>
      <c r="W257" s="16"/>
      <c r="X257" s="16"/>
      <c r="Y257" s="16"/>
    </row>
    <row r="258">
      <c r="A258" s="9" t="s">
        <v>1069</v>
      </c>
      <c r="B258" s="10" t="s">
        <v>1070</v>
      </c>
      <c r="C258" s="10" t="s">
        <v>555</v>
      </c>
      <c r="D258" s="10" t="s">
        <v>77</v>
      </c>
      <c r="E258" s="10" t="s">
        <v>78</v>
      </c>
      <c r="F258" s="10" t="s">
        <v>79</v>
      </c>
      <c r="G258" s="10" t="s">
        <v>22</v>
      </c>
      <c r="H258" s="10" t="s">
        <v>556</v>
      </c>
      <c r="I258" s="11">
        <v>439.0</v>
      </c>
      <c r="J258" s="11">
        <v>758.0</v>
      </c>
      <c r="K258" s="12">
        <f t="shared" si="1"/>
        <v>0.4208443272</v>
      </c>
      <c r="L258" s="13">
        <f>IFERROR(__xludf.DUMMYFUNCTION("GOOGLEFINANCE(""CURRENCY:INRBRL"") * I258
"),25.84905505282)</f>
        <v>25.84905505</v>
      </c>
      <c r="M258" s="9">
        <v>4.5</v>
      </c>
      <c r="N258" s="9">
        <v>4296.0</v>
      </c>
      <c r="O258" s="9" t="s">
        <v>1071</v>
      </c>
      <c r="P258" s="14" t="s">
        <v>1072</v>
      </c>
      <c r="U258" s="17"/>
      <c r="V258" s="18"/>
      <c r="W258" s="16"/>
      <c r="X258" s="16"/>
      <c r="Y258" s="16"/>
    </row>
    <row r="259">
      <c r="A259" s="9" t="s">
        <v>1073</v>
      </c>
      <c r="B259" s="10" t="s">
        <v>1074</v>
      </c>
      <c r="C259" s="10" t="s">
        <v>18</v>
      </c>
      <c r="D259" s="10" t="s">
        <v>19</v>
      </c>
      <c r="E259" s="10" t="s">
        <v>20</v>
      </c>
      <c r="F259" s="10" t="s">
        <v>21</v>
      </c>
      <c r="G259" s="10" t="s">
        <v>22</v>
      </c>
      <c r="H259" s="10" t="s">
        <v>23</v>
      </c>
      <c r="I259" s="11">
        <v>299.0</v>
      </c>
      <c r="J259" s="11">
        <v>999.0</v>
      </c>
      <c r="K259" s="12">
        <f t="shared" si="1"/>
        <v>0.7007007007</v>
      </c>
      <c r="L259" s="13">
        <f>IFERROR(__xludf.DUMMYFUNCTION("GOOGLEFINANCE(""CURRENCY:INRBRL"") * I259
"),17.60562063962)</f>
        <v>17.60562064</v>
      </c>
      <c r="M259" s="9">
        <v>4.5</v>
      </c>
      <c r="N259" s="9">
        <v>2651.0</v>
      </c>
      <c r="O259" s="9" t="s">
        <v>1075</v>
      </c>
      <c r="P259" s="14" t="s">
        <v>1076</v>
      </c>
      <c r="U259" s="17"/>
      <c r="V259" s="18"/>
      <c r="W259" s="16"/>
      <c r="X259" s="16"/>
      <c r="Y259" s="16"/>
    </row>
    <row r="260">
      <c r="A260" s="9" t="s">
        <v>1077</v>
      </c>
      <c r="B260" s="10" t="s">
        <v>1078</v>
      </c>
      <c r="C260" s="10" t="s">
        <v>18</v>
      </c>
      <c r="D260" s="10" t="s">
        <v>19</v>
      </c>
      <c r="E260" s="10" t="s">
        <v>20</v>
      </c>
      <c r="F260" s="10" t="s">
        <v>21</v>
      </c>
      <c r="G260" s="10" t="s">
        <v>22</v>
      </c>
      <c r="H260" s="10" t="s">
        <v>23</v>
      </c>
      <c r="I260" s="11">
        <v>299.0</v>
      </c>
      <c r="J260" s="11">
        <v>799.0</v>
      </c>
      <c r="K260" s="12">
        <f t="shared" si="1"/>
        <v>0.6257822278</v>
      </c>
      <c r="L260" s="13">
        <f>IFERROR(__xludf.DUMMYFUNCTION("GOOGLEFINANCE(""CURRENCY:INRBRL"") * I260
"),17.60562063962)</f>
        <v>17.60562064</v>
      </c>
      <c r="M260" s="9">
        <v>4.5</v>
      </c>
      <c r="N260" s="9">
        <v>94363.0</v>
      </c>
      <c r="O260" s="9" t="s">
        <v>1079</v>
      </c>
      <c r="P260" s="14" t="s">
        <v>1080</v>
      </c>
      <c r="U260" s="17"/>
      <c r="V260" s="18"/>
      <c r="W260" s="16"/>
      <c r="X260" s="16"/>
      <c r="Y260" s="16"/>
    </row>
    <row r="261">
      <c r="A261" s="9" t="s">
        <v>1081</v>
      </c>
      <c r="B261" s="10" t="s">
        <v>1082</v>
      </c>
      <c r="C261" s="10" t="s">
        <v>18</v>
      </c>
      <c r="D261" s="10" t="s">
        <v>19</v>
      </c>
      <c r="E261" s="10" t="s">
        <v>20</v>
      </c>
      <c r="F261" s="10" t="s">
        <v>21</v>
      </c>
      <c r="G261" s="10" t="s">
        <v>22</v>
      </c>
      <c r="H261" s="10" t="s">
        <v>23</v>
      </c>
      <c r="I261" s="11">
        <v>789.0</v>
      </c>
      <c r="J261" s="11">
        <v>1999.0</v>
      </c>
      <c r="K261" s="12">
        <f t="shared" si="1"/>
        <v>0.6053026513</v>
      </c>
      <c r="L261" s="13">
        <f>IFERROR(__xludf.DUMMYFUNCTION("GOOGLEFINANCE(""CURRENCY:INRBRL"") * I261
"),46.45764108582)</f>
        <v>46.45764109</v>
      </c>
      <c r="M261" s="9">
        <v>4.5</v>
      </c>
      <c r="N261" s="9">
        <v>3454.0</v>
      </c>
      <c r="O261" s="9" t="s">
        <v>1083</v>
      </c>
      <c r="P261" s="14" t="s">
        <v>1084</v>
      </c>
      <c r="U261" s="17"/>
      <c r="V261" s="18"/>
      <c r="W261" s="16"/>
      <c r="X261" s="16"/>
      <c r="Y261" s="16"/>
    </row>
    <row r="262">
      <c r="A262" s="9" t="s">
        <v>1085</v>
      </c>
      <c r="B262" s="10" t="s">
        <v>1086</v>
      </c>
      <c r="C262" s="10" t="s">
        <v>76</v>
      </c>
      <c r="D262" s="10" t="s">
        <v>77</v>
      </c>
      <c r="E262" s="10" t="s">
        <v>78</v>
      </c>
      <c r="F262" s="10" t="s">
        <v>79</v>
      </c>
      <c r="G262" s="10" t="s">
        <v>22</v>
      </c>
      <c r="H262" s="10" t="s">
        <v>80</v>
      </c>
      <c r="I262" s="11">
        <v>299.0</v>
      </c>
      <c r="J262" s="11">
        <v>700.0</v>
      </c>
      <c r="K262" s="12">
        <f t="shared" si="1"/>
        <v>0.5728571429</v>
      </c>
      <c r="L262" s="13">
        <f>IFERROR(__xludf.DUMMYFUNCTION("GOOGLEFINANCE(""CURRENCY:INRBRL"") * I262
"),17.60562063962)</f>
        <v>17.60562064</v>
      </c>
      <c r="M262" s="9">
        <v>4.5</v>
      </c>
      <c r="N262" s="9">
        <v>8714.0</v>
      </c>
      <c r="O262" s="9" t="s">
        <v>1087</v>
      </c>
      <c r="P262" s="14" t="s">
        <v>1088</v>
      </c>
      <c r="U262" s="17"/>
      <c r="V262" s="18"/>
      <c r="W262" s="16"/>
      <c r="X262" s="16"/>
      <c r="Y262" s="16"/>
    </row>
    <row r="263">
      <c r="A263" s="9" t="s">
        <v>1089</v>
      </c>
      <c r="B263" s="10" t="s">
        <v>1090</v>
      </c>
      <c r="C263" s="10" t="s">
        <v>18</v>
      </c>
      <c r="D263" s="10" t="s">
        <v>19</v>
      </c>
      <c r="E263" s="10" t="s">
        <v>20</v>
      </c>
      <c r="F263" s="10" t="s">
        <v>21</v>
      </c>
      <c r="G263" s="10" t="s">
        <v>22</v>
      </c>
      <c r="H263" s="10" t="s">
        <v>23</v>
      </c>
      <c r="I263" s="11">
        <v>325.0</v>
      </c>
      <c r="J263" s="11">
        <v>1099.0</v>
      </c>
      <c r="K263" s="12">
        <f t="shared" si="1"/>
        <v>0.7042766151</v>
      </c>
      <c r="L263" s="13">
        <f>IFERROR(__xludf.DUMMYFUNCTION("GOOGLEFINANCE(""CURRENCY:INRBRL"") * I263
"),19.1365441735)</f>
        <v>19.13654417</v>
      </c>
      <c r="M263" s="9">
        <v>4.5</v>
      </c>
      <c r="N263" s="9">
        <v>10576.0</v>
      </c>
      <c r="O263" s="9" t="s">
        <v>1091</v>
      </c>
      <c r="P263" s="14" t="s">
        <v>1092</v>
      </c>
      <c r="U263" s="17"/>
      <c r="V263" s="18"/>
      <c r="W263" s="16"/>
      <c r="X263" s="16"/>
      <c r="Y263" s="16"/>
    </row>
    <row r="264">
      <c r="A264" s="9" t="s">
        <v>1093</v>
      </c>
      <c r="B264" s="10" t="s">
        <v>1094</v>
      </c>
      <c r="C264" s="10" t="s">
        <v>18</v>
      </c>
      <c r="D264" s="10" t="s">
        <v>19</v>
      </c>
      <c r="E264" s="10" t="s">
        <v>20</v>
      </c>
      <c r="F264" s="10" t="s">
        <v>21</v>
      </c>
      <c r="G264" s="10" t="s">
        <v>22</v>
      </c>
      <c r="H264" s="10" t="s">
        <v>23</v>
      </c>
      <c r="I264" s="11">
        <v>1299.0</v>
      </c>
      <c r="J264" s="11">
        <v>1999.0</v>
      </c>
      <c r="K264" s="12">
        <f t="shared" si="1"/>
        <v>0.3501750875</v>
      </c>
      <c r="L264" s="13">
        <f>IFERROR(__xludf.DUMMYFUNCTION("GOOGLEFINANCE(""CURRENCY:INRBRL"") * I264
"),76.48729501961999)</f>
        <v>76.48729502</v>
      </c>
      <c r="M264" s="9">
        <v>4.5</v>
      </c>
      <c r="N264" s="9">
        <v>7318.0</v>
      </c>
      <c r="O264" s="9" t="s">
        <v>1095</v>
      </c>
      <c r="P264" s="14" t="s">
        <v>1096</v>
      </c>
      <c r="U264" s="17"/>
      <c r="V264" s="18"/>
      <c r="W264" s="16"/>
      <c r="X264" s="16"/>
      <c r="Y264" s="16"/>
    </row>
    <row r="265">
      <c r="A265" s="9" t="s">
        <v>1097</v>
      </c>
      <c r="B265" s="10" t="s">
        <v>1098</v>
      </c>
      <c r="C265" s="10" t="s">
        <v>227</v>
      </c>
      <c r="D265" s="10" t="s">
        <v>77</v>
      </c>
      <c r="E265" s="10" t="s">
        <v>78</v>
      </c>
      <c r="F265" s="10" t="s">
        <v>79</v>
      </c>
      <c r="G265" s="10" t="s">
        <v>228</v>
      </c>
      <c r="H265" s="10"/>
      <c r="I265" s="11">
        <v>790.0</v>
      </c>
      <c r="J265" s="11">
        <v>1999.0</v>
      </c>
      <c r="K265" s="12">
        <f t="shared" si="1"/>
        <v>0.6048024012</v>
      </c>
      <c r="L265" s="13">
        <f>IFERROR(__xludf.DUMMYFUNCTION("GOOGLEFINANCE(""CURRENCY:INRBRL"") * I265
"),46.5165227602)</f>
        <v>46.51652276</v>
      </c>
      <c r="M265" s="9">
        <v>3.0</v>
      </c>
      <c r="N265" s="9">
        <v>103.0</v>
      </c>
      <c r="O265" s="9" t="s">
        <v>1099</v>
      </c>
      <c r="P265" s="14" t="s">
        <v>1100</v>
      </c>
      <c r="U265" s="17"/>
      <c r="V265" s="18"/>
      <c r="W265" s="16"/>
      <c r="X265" s="16"/>
      <c r="Y265" s="16"/>
    </row>
    <row r="266">
      <c r="A266" s="9" t="s">
        <v>1101</v>
      </c>
      <c r="B266" s="10" t="s">
        <v>1102</v>
      </c>
      <c r="C266" s="10" t="s">
        <v>1103</v>
      </c>
      <c r="D266" s="10" t="s">
        <v>77</v>
      </c>
      <c r="E266" s="10" t="s">
        <v>569</v>
      </c>
      <c r="F266" s="10" t="s">
        <v>1104</v>
      </c>
      <c r="G266" s="10" t="s">
        <v>1105</v>
      </c>
      <c r="H266" s="10"/>
      <c r="I266" s="11">
        <v>4699.0</v>
      </c>
      <c r="J266" s="11">
        <v>4699.0</v>
      </c>
      <c r="K266" s="12">
        <f t="shared" si="1"/>
        <v>0</v>
      </c>
      <c r="L266" s="13">
        <f>IFERROR(__xludf.DUMMYFUNCTION("GOOGLEFINANCE(""CURRENCY:INRBRL"") * I266
"),276.68498791162)</f>
        <v>276.6849879</v>
      </c>
      <c r="M266" s="9">
        <v>4.51</v>
      </c>
      <c r="N266" s="9">
        <v>224.0</v>
      </c>
      <c r="O266" s="9" t="s">
        <v>1106</v>
      </c>
      <c r="P266" s="14" t="s">
        <v>1107</v>
      </c>
      <c r="U266" s="17"/>
      <c r="V266" s="18"/>
      <c r="W266" s="16"/>
      <c r="X266" s="16"/>
      <c r="Y266" s="16"/>
    </row>
    <row r="267">
      <c r="A267" s="9" t="s">
        <v>1108</v>
      </c>
      <c r="B267" s="10" t="s">
        <v>1109</v>
      </c>
      <c r="C267" s="10" t="s">
        <v>96</v>
      </c>
      <c r="D267" s="10" t="s">
        <v>77</v>
      </c>
      <c r="E267" s="10" t="s">
        <v>78</v>
      </c>
      <c r="F267" s="10" t="s">
        <v>97</v>
      </c>
      <c r="G267" s="10" t="s">
        <v>98</v>
      </c>
      <c r="H267" s="10"/>
      <c r="I267" s="11">
        <v>18999.0</v>
      </c>
      <c r="J267" s="11">
        <v>24990.0</v>
      </c>
      <c r="K267" s="12">
        <f t="shared" si="1"/>
        <v>0.2397358944</v>
      </c>
      <c r="L267" s="13">
        <f>IFERROR(__xludf.DUMMYFUNCTION("GOOGLEFINANCE(""CURRENCY:INRBRL"") * I267
"),1118.69293154562)</f>
        <v>1118.692932</v>
      </c>
      <c r="M267" s="9">
        <v>4.5</v>
      </c>
      <c r="N267" s="9">
        <v>4702.0</v>
      </c>
      <c r="O267" s="9" t="s">
        <v>1110</v>
      </c>
      <c r="P267" s="14" t="s">
        <v>1111</v>
      </c>
      <c r="U267" s="17"/>
      <c r="V267" s="18"/>
      <c r="W267" s="16"/>
      <c r="X267" s="16"/>
      <c r="Y267" s="16"/>
    </row>
    <row r="268">
      <c r="A268" s="9" t="s">
        <v>1112</v>
      </c>
      <c r="B268" s="10" t="s">
        <v>1113</v>
      </c>
      <c r="C268" s="10" t="s">
        <v>18</v>
      </c>
      <c r="D268" s="10" t="s">
        <v>19</v>
      </c>
      <c r="E268" s="10" t="s">
        <v>20</v>
      </c>
      <c r="F268" s="10" t="s">
        <v>21</v>
      </c>
      <c r="G268" s="10" t="s">
        <v>22</v>
      </c>
      <c r="H268" s="10" t="s">
        <v>23</v>
      </c>
      <c r="I268" s="11">
        <v>199.0</v>
      </c>
      <c r="J268" s="11">
        <v>999.0</v>
      </c>
      <c r="K268" s="12">
        <f t="shared" si="1"/>
        <v>0.8008008008</v>
      </c>
      <c r="L268" s="13">
        <f>IFERROR(__xludf.DUMMYFUNCTION("GOOGLEFINANCE(""CURRENCY:INRBRL"") * I268
"),11.71745320162)</f>
        <v>11.7174532</v>
      </c>
      <c r="M268" s="9">
        <v>4.5</v>
      </c>
      <c r="N268" s="9">
        <v>85.0</v>
      </c>
      <c r="O268" s="9" t="s">
        <v>1114</v>
      </c>
      <c r="P268" s="14" t="s">
        <v>1115</v>
      </c>
      <c r="U268" s="17"/>
      <c r="V268" s="18"/>
      <c r="W268" s="16"/>
      <c r="X268" s="16"/>
      <c r="Y268" s="16"/>
    </row>
    <row r="269">
      <c r="A269" s="9" t="s">
        <v>1116</v>
      </c>
      <c r="B269" s="10" t="s">
        <v>1117</v>
      </c>
      <c r="C269" s="10" t="s">
        <v>76</v>
      </c>
      <c r="D269" s="10" t="s">
        <v>77</v>
      </c>
      <c r="E269" s="10" t="s">
        <v>78</v>
      </c>
      <c r="F269" s="10" t="s">
        <v>79</v>
      </c>
      <c r="G269" s="10" t="s">
        <v>22</v>
      </c>
      <c r="H269" s="10" t="s">
        <v>80</v>
      </c>
      <c r="I269" s="11">
        <v>269.0</v>
      </c>
      <c r="J269" s="11">
        <v>650.0</v>
      </c>
      <c r="K269" s="12">
        <f t="shared" si="1"/>
        <v>0.5861538462</v>
      </c>
      <c r="L269" s="13">
        <f>IFERROR(__xludf.DUMMYFUNCTION("GOOGLEFINANCE(""CURRENCY:INRBRL"") * I269
"),15.83917040822)</f>
        <v>15.83917041</v>
      </c>
      <c r="M269" s="9">
        <v>4.5</v>
      </c>
      <c r="N269" s="9">
        <v>35877.0</v>
      </c>
      <c r="O269" s="9" t="s">
        <v>1118</v>
      </c>
      <c r="P269" s="14" t="s">
        <v>1119</v>
      </c>
      <c r="U269" s="17"/>
      <c r="V269" s="18"/>
      <c r="W269" s="16"/>
      <c r="X269" s="16"/>
      <c r="Y269" s="16"/>
    </row>
    <row r="270">
      <c r="A270" s="9" t="s">
        <v>1120</v>
      </c>
      <c r="B270" s="10" t="s">
        <v>1121</v>
      </c>
      <c r="C270" s="10" t="s">
        <v>1122</v>
      </c>
      <c r="D270" s="10" t="s">
        <v>77</v>
      </c>
      <c r="E270" s="10" t="s">
        <v>78</v>
      </c>
      <c r="F270" s="10" t="s">
        <v>1123</v>
      </c>
      <c r="G270" s="10"/>
      <c r="H270" s="10"/>
      <c r="I270" s="11">
        <v>1990.0</v>
      </c>
      <c r="J270" s="11">
        <v>3100.0</v>
      </c>
      <c r="K270" s="12">
        <f t="shared" si="1"/>
        <v>0.3580645161</v>
      </c>
      <c r="L270" s="13">
        <f>IFERROR(__xludf.DUMMYFUNCTION("GOOGLEFINANCE(""CURRENCY:INRBRL"") * I270
"),117.1745320162)</f>
        <v>117.174532</v>
      </c>
      <c r="M270" s="9">
        <v>4.0</v>
      </c>
      <c r="N270" s="9">
        <v>897.0</v>
      </c>
      <c r="O270" s="9" t="s">
        <v>1124</v>
      </c>
      <c r="P270" s="14" t="s">
        <v>1125</v>
      </c>
      <c r="U270" s="17"/>
      <c r="V270" s="18"/>
      <c r="W270" s="16"/>
      <c r="X270" s="16"/>
      <c r="Y270" s="16"/>
    </row>
    <row r="271">
      <c r="A271" s="9" t="s">
        <v>1126</v>
      </c>
      <c r="B271" s="10" t="s">
        <v>1127</v>
      </c>
      <c r="C271" s="10" t="s">
        <v>1128</v>
      </c>
      <c r="D271" s="10" t="s">
        <v>77</v>
      </c>
      <c r="E271" s="10" t="s">
        <v>569</v>
      </c>
      <c r="F271" s="10" t="s">
        <v>1129</v>
      </c>
      <c r="G271" s="10" t="s">
        <v>1130</v>
      </c>
      <c r="H271" s="10"/>
      <c r="I271" s="11">
        <v>2299.0</v>
      </c>
      <c r="J271" s="11">
        <v>3999.0</v>
      </c>
      <c r="K271" s="12">
        <f t="shared" si="1"/>
        <v>0.4251062766</v>
      </c>
      <c r="L271" s="13">
        <f>IFERROR(__xludf.DUMMYFUNCTION("GOOGLEFINANCE(""CURRENCY:INRBRL"") * I271
"),135.36896939962)</f>
        <v>135.3689694</v>
      </c>
      <c r="M271" s="9">
        <v>4.51</v>
      </c>
      <c r="N271" s="9">
        <v>282.0</v>
      </c>
      <c r="O271" s="9" t="s">
        <v>1131</v>
      </c>
      <c r="P271" s="14" t="s">
        <v>1132</v>
      </c>
      <c r="U271" s="17"/>
      <c r="V271" s="18"/>
      <c r="W271" s="16"/>
      <c r="X271" s="16"/>
      <c r="Y271" s="16"/>
    </row>
    <row r="272">
      <c r="A272" s="9" t="s">
        <v>1133</v>
      </c>
      <c r="B272" s="10" t="s">
        <v>1134</v>
      </c>
      <c r="C272" s="10" t="s">
        <v>96</v>
      </c>
      <c r="D272" s="10" t="s">
        <v>77</v>
      </c>
      <c r="E272" s="10" t="s">
        <v>78</v>
      </c>
      <c r="F272" s="10" t="s">
        <v>97</v>
      </c>
      <c r="G272" s="10" t="s">
        <v>98</v>
      </c>
      <c r="H272" s="10"/>
      <c r="I272" s="11">
        <v>35999.0</v>
      </c>
      <c r="J272" s="11">
        <v>49990.0</v>
      </c>
      <c r="K272" s="12">
        <f t="shared" si="1"/>
        <v>0.2798759752</v>
      </c>
      <c r="L272" s="13">
        <f>IFERROR(__xludf.DUMMYFUNCTION("GOOGLEFINANCE(""CURRENCY:INRBRL"") * I272
"),2119.68139600562)</f>
        <v>2119.681396</v>
      </c>
      <c r="M272" s="9">
        <v>4.5</v>
      </c>
      <c r="N272" s="9">
        <v>1611.0</v>
      </c>
      <c r="O272" s="9" t="s">
        <v>1135</v>
      </c>
      <c r="P272" s="14" t="s">
        <v>1136</v>
      </c>
      <c r="U272" s="17"/>
      <c r="V272" s="18"/>
      <c r="W272" s="16"/>
      <c r="X272" s="16"/>
      <c r="Y272" s="16"/>
    </row>
    <row r="273">
      <c r="A273" s="9" t="s">
        <v>1137</v>
      </c>
      <c r="B273" s="10" t="s">
        <v>1138</v>
      </c>
      <c r="C273" s="10" t="s">
        <v>227</v>
      </c>
      <c r="D273" s="10" t="s">
        <v>77</v>
      </c>
      <c r="E273" s="10" t="s">
        <v>78</v>
      </c>
      <c r="F273" s="10" t="s">
        <v>79</v>
      </c>
      <c r="G273" s="10" t="s">
        <v>228</v>
      </c>
      <c r="H273" s="10"/>
      <c r="I273" s="11">
        <v>349.0</v>
      </c>
      <c r="J273" s="11">
        <v>999.0</v>
      </c>
      <c r="K273" s="12">
        <f t="shared" si="1"/>
        <v>0.6506506507</v>
      </c>
      <c r="L273" s="13">
        <f>IFERROR(__xludf.DUMMYFUNCTION("GOOGLEFINANCE(""CURRENCY:INRBRL"") * I273
"),20.549704358619998)</f>
        <v>20.54970436</v>
      </c>
      <c r="M273" s="9">
        <v>4.5</v>
      </c>
      <c r="N273" s="9">
        <v>513.0</v>
      </c>
      <c r="O273" s="9" t="s">
        <v>1139</v>
      </c>
      <c r="P273" s="14" t="s">
        <v>1140</v>
      </c>
      <c r="U273" s="17"/>
      <c r="V273" s="18"/>
      <c r="W273" s="16"/>
      <c r="X273" s="16"/>
      <c r="Y273" s="16"/>
    </row>
    <row r="274">
      <c r="A274" s="9" t="s">
        <v>1141</v>
      </c>
      <c r="B274" s="10" t="s">
        <v>1142</v>
      </c>
      <c r="C274" s="10" t="s">
        <v>18</v>
      </c>
      <c r="D274" s="10" t="s">
        <v>19</v>
      </c>
      <c r="E274" s="10" t="s">
        <v>20</v>
      </c>
      <c r="F274" s="10" t="s">
        <v>21</v>
      </c>
      <c r="G274" s="10" t="s">
        <v>22</v>
      </c>
      <c r="H274" s="10" t="s">
        <v>23</v>
      </c>
      <c r="I274" s="11">
        <v>719.0</v>
      </c>
      <c r="J274" s="11">
        <v>1499.0</v>
      </c>
      <c r="K274" s="12">
        <f t="shared" si="1"/>
        <v>0.5203468979</v>
      </c>
      <c r="L274" s="13">
        <f>IFERROR(__xludf.DUMMYFUNCTION("GOOGLEFINANCE(""CURRENCY:INRBRL"") * I274
"),42.33592387922)</f>
        <v>42.33592388</v>
      </c>
      <c r="M274" s="9">
        <v>4.49</v>
      </c>
      <c r="N274" s="9">
        <v>1045.0</v>
      </c>
      <c r="O274" s="9" t="s">
        <v>1143</v>
      </c>
      <c r="P274" s="14" t="s">
        <v>1144</v>
      </c>
      <c r="U274" s="17"/>
      <c r="V274" s="18"/>
      <c r="W274" s="16"/>
      <c r="X274" s="16"/>
      <c r="Y274" s="16"/>
    </row>
    <row r="275">
      <c r="A275" s="9" t="s">
        <v>1145</v>
      </c>
      <c r="B275" s="10" t="s">
        <v>1146</v>
      </c>
      <c r="C275" s="10" t="s">
        <v>96</v>
      </c>
      <c r="D275" s="10" t="s">
        <v>77</v>
      </c>
      <c r="E275" s="10" t="s">
        <v>78</v>
      </c>
      <c r="F275" s="10" t="s">
        <v>97</v>
      </c>
      <c r="G275" s="10" t="s">
        <v>98</v>
      </c>
      <c r="H275" s="10"/>
      <c r="I275" s="11">
        <v>8999.0</v>
      </c>
      <c r="J275" s="11">
        <v>18999.0</v>
      </c>
      <c r="K275" s="12">
        <f t="shared" si="1"/>
        <v>0.5263434918</v>
      </c>
      <c r="L275" s="13">
        <f>IFERROR(__xludf.DUMMYFUNCTION("GOOGLEFINANCE(""CURRENCY:INRBRL"") * I275
"),529.87618774562)</f>
        <v>529.8761877</v>
      </c>
      <c r="M275" s="9">
        <v>4.0</v>
      </c>
      <c r="N275" s="9">
        <v>6347.0</v>
      </c>
      <c r="O275" s="9" t="s">
        <v>1147</v>
      </c>
      <c r="P275" s="14" t="s">
        <v>1148</v>
      </c>
      <c r="U275" s="17"/>
      <c r="V275" s="18"/>
      <c r="W275" s="16"/>
      <c r="X275" s="16"/>
      <c r="Y275" s="16"/>
    </row>
    <row r="276">
      <c r="A276" s="9" t="s">
        <v>1149</v>
      </c>
      <c r="B276" s="10" t="s">
        <v>1150</v>
      </c>
      <c r="C276" s="10" t="s">
        <v>941</v>
      </c>
      <c r="D276" s="10" t="s">
        <v>77</v>
      </c>
      <c r="E276" s="10" t="s">
        <v>78</v>
      </c>
      <c r="F276" s="10" t="s">
        <v>942</v>
      </c>
      <c r="G276" s="10" t="s">
        <v>943</v>
      </c>
      <c r="H276" s="10"/>
      <c r="I276" s="11">
        <v>917.0</v>
      </c>
      <c r="J276" s="11">
        <v>2299.0</v>
      </c>
      <c r="K276" s="12">
        <f t="shared" si="1"/>
        <v>0.6011309265</v>
      </c>
      <c r="L276" s="13">
        <f>IFERROR(__xludf.DUMMYFUNCTION("GOOGLEFINANCE(""CURRENCY:INRBRL"") * I276
"),53.99449540646)</f>
        <v>53.99449541</v>
      </c>
      <c r="M276" s="9">
        <v>4.5</v>
      </c>
      <c r="N276" s="9">
        <v>33.0</v>
      </c>
      <c r="O276" s="9" t="s">
        <v>1151</v>
      </c>
      <c r="P276" s="14" t="s">
        <v>1152</v>
      </c>
      <c r="U276" s="17"/>
      <c r="V276" s="18"/>
      <c r="W276" s="16"/>
      <c r="X276" s="16"/>
      <c r="Y276" s="16"/>
    </row>
    <row r="277">
      <c r="A277" s="9" t="s">
        <v>1153</v>
      </c>
      <c r="B277" s="10" t="s">
        <v>1154</v>
      </c>
      <c r="C277" s="10" t="s">
        <v>227</v>
      </c>
      <c r="D277" s="10" t="s">
        <v>77</v>
      </c>
      <c r="E277" s="10" t="s">
        <v>78</v>
      </c>
      <c r="F277" s="10" t="s">
        <v>79</v>
      </c>
      <c r="G277" s="10" t="s">
        <v>228</v>
      </c>
      <c r="H277" s="10"/>
      <c r="I277" s="11">
        <v>399.0</v>
      </c>
      <c r="J277" s="11">
        <v>999.0</v>
      </c>
      <c r="K277" s="12">
        <f t="shared" si="1"/>
        <v>0.6006006006</v>
      </c>
      <c r="L277" s="13">
        <f>IFERROR(__xludf.DUMMYFUNCTION("GOOGLEFINANCE(""CURRENCY:INRBRL"") * I277
"),23.49378807762)</f>
        <v>23.49378808</v>
      </c>
      <c r="M277" s="9">
        <v>4.5</v>
      </c>
      <c r="N277" s="9">
        <v>23.0</v>
      </c>
      <c r="O277" s="9" t="s">
        <v>1155</v>
      </c>
      <c r="P277" s="14" t="s">
        <v>1156</v>
      </c>
      <c r="U277" s="17"/>
      <c r="V277" s="18"/>
      <c r="W277" s="16"/>
      <c r="X277" s="16"/>
      <c r="Y277" s="16"/>
    </row>
    <row r="278">
      <c r="A278" s="9" t="s">
        <v>1157</v>
      </c>
      <c r="B278" s="10" t="s">
        <v>1158</v>
      </c>
      <c r="C278" s="10" t="s">
        <v>96</v>
      </c>
      <c r="D278" s="10" t="s">
        <v>77</v>
      </c>
      <c r="E278" s="10" t="s">
        <v>78</v>
      </c>
      <c r="F278" s="10" t="s">
        <v>97</v>
      </c>
      <c r="G278" s="10" t="s">
        <v>98</v>
      </c>
      <c r="H278" s="10"/>
      <c r="I278" s="11">
        <v>45999.0</v>
      </c>
      <c r="J278" s="11">
        <v>69899.0</v>
      </c>
      <c r="K278" s="12">
        <f t="shared" si="1"/>
        <v>0.3419219159</v>
      </c>
      <c r="L278" s="13">
        <f>IFERROR(__xludf.DUMMYFUNCTION("GOOGLEFINANCE(""CURRENCY:INRBRL"") * I278
"),2708.4981398056198)</f>
        <v>2708.49814</v>
      </c>
      <c r="M278" s="9">
        <v>4.5</v>
      </c>
      <c r="N278" s="9">
        <v>7109.0</v>
      </c>
      <c r="O278" s="9" t="s">
        <v>1159</v>
      </c>
      <c r="P278" s="14" t="s">
        <v>1160</v>
      </c>
      <c r="U278" s="17"/>
      <c r="V278" s="18"/>
      <c r="W278" s="16"/>
      <c r="X278" s="16"/>
      <c r="Y278" s="16"/>
    </row>
    <row r="279">
      <c r="A279" s="9" t="s">
        <v>1161</v>
      </c>
      <c r="B279" s="10" t="s">
        <v>1162</v>
      </c>
      <c r="C279" s="10" t="s">
        <v>18</v>
      </c>
      <c r="D279" s="10" t="s">
        <v>19</v>
      </c>
      <c r="E279" s="10" t="s">
        <v>20</v>
      </c>
      <c r="F279" s="10" t="s">
        <v>21</v>
      </c>
      <c r="G279" s="10" t="s">
        <v>22</v>
      </c>
      <c r="H279" s="10" t="s">
        <v>23</v>
      </c>
      <c r="I279" s="11">
        <v>119.0</v>
      </c>
      <c r="J279" s="11">
        <v>299.0</v>
      </c>
      <c r="K279" s="12">
        <f t="shared" si="1"/>
        <v>0.602006689</v>
      </c>
      <c r="L279" s="13">
        <f>IFERROR(__xludf.DUMMYFUNCTION("GOOGLEFINANCE(""CURRENCY:INRBRL"") * I279
"),7.00691925122)</f>
        <v>7.006919251</v>
      </c>
      <c r="M279" s="9">
        <v>4.51</v>
      </c>
      <c r="N279" s="9">
        <v>51.0</v>
      </c>
      <c r="O279" s="9" t="s">
        <v>1163</v>
      </c>
      <c r="P279" s="14" t="s">
        <v>1164</v>
      </c>
      <c r="U279" s="17"/>
      <c r="V279" s="18"/>
      <c r="W279" s="16"/>
      <c r="X279" s="16"/>
      <c r="Y279" s="16"/>
    </row>
    <row r="280">
      <c r="A280" s="9" t="s">
        <v>1165</v>
      </c>
      <c r="B280" s="10" t="s">
        <v>1166</v>
      </c>
      <c r="C280" s="10" t="s">
        <v>96</v>
      </c>
      <c r="D280" s="10" t="s">
        <v>77</v>
      </c>
      <c r="E280" s="10" t="s">
        <v>78</v>
      </c>
      <c r="F280" s="10" t="s">
        <v>97</v>
      </c>
      <c r="G280" s="10" t="s">
        <v>98</v>
      </c>
      <c r="H280" s="10"/>
      <c r="I280" s="11">
        <v>21999.0</v>
      </c>
      <c r="J280" s="11">
        <v>29999.0</v>
      </c>
      <c r="K280" s="12">
        <f t="shared" si="1"/>
        <v>0.2666755559</v>
      </c>
      <c r="L280" s="13">
        <f>IFERROR(__xludf.DUMMYFUNCTION("GOOGLEFINANCE(""CURRENCY:INRBRL"") * I280
"),1295.33795468562)</f>
        <v>1295.337955</v>
      </c>
      <c r="M280" s="9">
        <v>4.5</v>
      </c>
      <c r="N280" s="9">
        <v>3284.0</v>
      </c>
      <c r="O280" s="9" t="s">
        <v>1167</v>
      </c>
      <c r="P280" s="14" t="s">
        <v>1168</v>
      </c>
      <c r="U280" s="17"/>
      <c r="V280" s="18"/>
      <c r="W280" s="16"/>
      <c r="X280" s="16"/>
      <c r="Y280" s="16"/>
    </row>
    <row r="281">
      <c r="A281" s="9" t="s">
        <v>1169</v>
      </c>
      <c r="B281" s="10" t="s">
        <v>1170</v>
      </c>
      <c r="C281" s="10" t="s">
        <v>227</v>
      </c>
      <c r="D281" s="10" t="s">
        <v>77</v>
      </c>
      <c r="E281" s="10" t="s">
        <v>78</v>
      </c>
      <c r="F281" s="10" t="s">
        <v>79</v>
      </c>
      <c r="G281" s="10" t="s">
        <v>228</v>
      </c>
      <c r="H281" s="10"/>
      <c r="I281" s="11">
        <v>299.0</v>
      </c>
      <c r="J281" s="11">
        <v>599.0</v>
      </c>
      <c r="K281" s="12">
        <f t="shared" si="1"/>
        <v>0.5008347245</v>
      </c>
      <c r="L281" s="13">
        <f>IFERROR(__xludf.DUMMYFUNCTION("GOOGLEFINANCE(""CURRENCY:INRBRL"") * I281
"),17.60562063962)</f>
        <v>17.60562064</v>
      </c>
      <c r="M281" s="9">
        <v>4.51</v>
      </c>
      <c r="N281" s="9">
        <v>708.0</v>
      </c>
      <c r="O281" s="9" t="s">
        <v>1171</v>
      </c>
      <c r="P281" s="14" t="s">
        <v>1172</v>
      </c>
      <c r="U281" s="17"/>
      <c r="V281" s="18"/>
      <c r="W281" s="16"/>
      <c r="X281" s="16"/>
      <c r="Y281" s="16"/>
    </row>
    <row r="282">
      <c r="A282" s="9" t="s">
        <v>1173</v>
      </c>
      <c r="B282" s="10" t="s">
        <v>1174</v>
      </c>
      <c r="C282" s="10" t="s">
        <v>96</v>
      </c>
      <c r="D282" s="10" t="s">
        <v>77</v>
      </c>
      <c r="E282" s="10" t="s">
        <v>78</v>
      </c>
      <c r="F282" s="10" t="s">
        <v>97</v>
      </c>
      <c r="G282" s="10" t="s">
        <v>98</v>
      </c>
      <c r="H282" s="10"/>
      <c r="I282" s="11">
        <v>21990.0</v>
      </c>
      <c r="J282" s="11">
        <v>34990.0</v>
      </c>
      <c r="K282" s="12">
        <f t="shared" si="1"/>
        <v>0.3715347242</v>
      </c>
      <c r="L282" s="13">
        <f>IFERROR(__xludf.DUMMYFUNCTION("GOOGLEFINANCE(""CURRENCY:INRBRL"") * I282
"),1294.8080196162)</f>
        <v>1294.80802</v>
      </c>
      <c r="M282" s="9">
        <v>4.5</v>
      </c>
      <c r="N282" s="9">
        <v>1657.0</v>
      </c>
      <c r="O282" s="9" t="s">
        <v>1175</v>
      </c>
      <c r="P282" s="14" t="s">
        <v>1176</v>
      </c>
      <c r="U282" s="17"/>
      <c r="V282" s="18"/>
      <c r="W282" s="16"/>
      <c r="X282" s="16"/>
      <c r="Y282" s="16"/>
    </row>
    <row r="283">
      <c r="A283" s="9" t="s">
        <v>1177</v>
      </c>
      <c r="B283" s="10" t="s">
        <v>1178</v>
      </c>
      <c r="C283" s="10" t="s">
        <v>18</v>
      </c>
      <c r="D283" s="10" t="s">
        <v>19</v>
      </c>
      <c r="E283" s="10" t="s">
        <v>20</v>
      </c>
      <c r="F283" s="10" t="s">
        <v>21</v>
      </c>
      <c r="G283" s="10" t="s">
        <v>22</v>
      </c>
      <c r="H283" s="10" t="s">
        <v>23</v>
      </c>
      <c r="I283" s="11">
        <v>417.44</v>
      </c>
      <c r="J283" s="11">
        <v>670.0</v>
      </c>
      <c r="K283" s="12">
        <f t="shared" si="1"/>
        <v>0.3769552239</v>
      </c>
      <c r="L283" s="13">
        <f>IFERROR(__xludf.DUMMYFUNCTION("GOOGLEFINANCE(""CURRENCY:INRBRL"") * I283
"),24.579566153187198)</f>
        <v>24.57956615</v>
      </c>
      <c r="M283" s="9">
        <v>4.52</v>
      </c>
      <c r="N283" s="9">
        <v>523.0</v>
      </c>
      <c r="O283" s="9" t="s">
        <v>1179</v>
      </c>
      <c r="P283" s="14" t="s">
        <v>1180</v>
      </c>
      <c r="U283" s="17"/>
      <c r="V283" s="18"/>
      <c r="W283" s="16"/>
      <c r="X283" s="16"/>
      <c r="Y283" s="16"/>
    </row>
    <row r="284">
      <c r="A284" s="9" t="s">
        <v>1181</v>
      </c>
      <c r="B284" s="10" t="s">
        <v>1182</v>
      </c>
      <c r="C284" s="10" t="s">
        <v>18</v>
      </c>
      <c r="D284" s="10" t="s">
        <v>19</v>
      </c>
      <c r="E284" s="10" t="s">
        <v>20</v>
      </c>
      <c r="F284" s="10" t="s">
        <v>21</v>
      </c>
      <c r="G284" s="10" t="s">
        <v>22</v>
      </c>
      <c r="H284" s="10" t="s">
        <v>23</v>
      </c>
      <c r="I284" s="11">
        <v>199.0</v>
      </c>
      <c r="J284" s="11">
        <v>999.0</v>
      </c>
      <c r="K284" s="12">
        <f t="shared" si="1"/>
        <v>0.8008008008</v>
      </c>
      <c r="L284" s="13">
        <f>IFERROR(__xludf.DUMMYFUNCTION("GOOGLEFINANCE(""CURRENCY:INRBRL"") * I284
"),11.71745320162)</f>
        <v>11.7174532</v>
      </c>
      <c r="M284" s="9">
        <v>3.0</v>
      </c>
      <c r="N284" s="9">
        <v>0.0</v>
      </c>
      <c r="O284" s="9" t="s">
        <v>1183</v>
      </c>
      <c r="P284" s="14" t="s">
        <v>1184</v>
      </c>
      <c r="U284" s="17"/>
      <c r="V284" s="18"/>
      <c r="W284" s="16"/>
      <c r="X284" s="16"/>
      <c r="Y284" s="16"/>
    </row>
    <row r="285">
      <c r="A285" s="9" t="s">
        <v>1185</v>
      </c>
      <c r="B285" s="10" t="s">
        <v>1186</v>
      </c>
      <c r="C285" s="10" t="s">
        <v>96</v>
      </c>
      <c r="D285" s="10" t="s">
        <v>77</v>
      </c>
      <c r="E285" s="10" t="s">
        <v>78</v>
      </c>
      <c r="F285" s="10" t="s">
        <v>97</v>
      </c>
      <c r="G285" s="10" t="s">
        <v>98</v>
      </c>
      <c r="H285" s="10"/>
      <c r="I285" s="11">
        <v>47990.0</v>
      </c>
      <c r="J285" s="11">
        <v>79990.0</v>
      </c>
      <c r="K285" s="12">
        <f t="shared" si="1"/>
        <v>0.4000500063</v>
      </c>
      <c r="L285" s="13">
        <f>IFERROR(__xludf.DUMMYFUNCTION("GOOGLEFINANCE(""CURRENCY:INRBRL"") * I285
"),2825.7315534962)</f>
        <v>2825.731553</v>
      </c>
      <c r="M285" s="9">
        <v>4.5</v>
      </c>
      <c r="N285" s="9">
        <v>1376.0</v>
      </c>
      <c r="O285" s="9" t="s">
        <v>584</v>
      </c>
      <c r="P285" s="14" t="s">
        <v>1187</v>
      </c>
      <c r="U285" s="17"/>
      <c r="V285" s="18"/>
      <c r="W285" s="16"/>
      <c r="X285" s="16"/>
      <c r="Y285" s="16"/>
    </row>
    <row r="286">
      <c r="A286" s="9" t="s">
        <v>1188</v>
      </c>
      <c r="B286" s="10" t="s">
        <v>1189</v>
      </c>
      <c r="C286" s="10" t="s">
        <v>227</v>
      </c>
      <c r="D286" s="10" t="s">
        <v>77</v>
      </c>
      <c r="E286" s="10" t="s">
        <v>78</v>
      </c>
      <c r="F286" s="10" t="s">
        <v>79</v>
      </c>
      <c r="G286" s="10" t="s">
        <v>228</v>
      </c>
      <c r="H286" s="10"/>
      <c r="I286" s="11">
        <v>215.0</v>
      </c>
      <c r="J286" s="11">
        <v>499.0</v>
      </c>
      <c r="K286" s="12">
        <f t="shared" si="1"/>
        <v>0.5691382766</v>
      </c>
      <c r="L286" s="13">
        <f>IFERROR(__xludf.DUMMYFUNCTION("GOOGLEFINANCE(""CURRENCY:INRBRL"") * I286
"),12.6595599917)</f>
        <v>12.65955999</v>
      </c>
      <c r="M286" s="9">
        <v>4.5</v>
      </c>
      <c r="N286" s="9">
        <v>121.0</v>
      </c>
      <c r="O286" s="9" t="s">
        <v>1190</v>
      </c>
      <c r="P286" s="14" t="s">
        <v>1191</v>
      </c>
      <c r="U286" s="17"/>
      <c r="V286" s="18"/>
      <c r="W286" s="16"/>
      <c r="X286" s="16"/>
      <c r="Y286" s="16"/>
    </row>
    <row r="287">
      <c r="A287" s="9" t="s">
        <v>1192</v>
      </c>
      <c r="B287" s="10" t="s">
        <v>1193</v>
      </c>
      <c r="C287" s="10" t="s">
        <v>18</v>
      </c>
      <c r="D287" s="10" t="s">
        <v>19</v>
      </c>
      <c r="E287" s="10" t="s">
        <v>20</v>
      </c>
      <c r="F287" s="10" t="s">
        <v>21</v>
      </c>
      <c r="G287" s="10" t="s">
        <v>22</v>
      </c>
      <c r="H287" s="10" t="s">
        <v>23</v>
      </c>
      <c r="I287" s="11">
        <v>99.0</v>
      </c>
      <c r="J287" s="11">
        <v>800.0</v>
      </c>
      <c r="K287" s="12">
        <f t="shared" si="1"/>
        <v>0.87625</v>
      </c>
      <c r="L287" s="13">
        <f>IFERROR(__xludf.DUMMYFUNCTION("GOOGLEFINANCE(""CURRENCY:INRBRL"") * I287
"),5.82928576362)</f>
        <v>5.829285764</v>
      </c>
      <c r="M287" s="9">
        <v>4.52</v>
      </c>
      <c r="N287" s="9">
        <v>1075.0</v>
      </c>
      <c r="O287" s="9" t="s">
        <v>475</v>
      </c>
      <c r="P287" s="14" t="s">
        <v>1194</v>
      </c>
      <c r="U287" s="17"/>
      <c r="V287" s="18"/>
      <c r="W287" s="16"/>
      <c r="X287" s="16"/>
      <c r="Y287" s="16"/>
    </row>
    <row r="288">
      <c r="A288" s="9" t="s">
        <v>1195</v>
      </c>
      <c r="B288" s="10" t="s">
        <v>1196</v>
      </c>
      <c r="C288" s="10" t="s">
        <v>96</v>
      </c>
      <c r="D288" s="10" t="s">
        <v>77</v>
      </c>
      <c r="E288" s="10" t="s">
        <v>78</v>
      </c>
      <c r="F288" s="10" t="s">
        <v>97</v>
      </c>
      <c r="G288" s="10" t="s">
        <v>98</v>
      </c>
      <c r="H288" s="10"/>
      <c r="I288" s="11">
        <v>18999.0</v>
      </c>
      <c r="J288" s="11">
        <v>35000.0</v>
      </c>
      <c r="K288" s="12">
        <f t="shared" si="1"/>
        <v>0.4571714286</v>
      </c>
      <c r="L288" s="13">
        <f>IFERROR(__xludf.DUMMYFUNCTION("GOOGLEFINANCE(""CURRENCY:INRBRL"") * I288
"),1118.69293154562)</f>
        <v>1118.692932</v>
      </c>
      <c r="M288" s="9">
        <v>4.0</v>
      </c>
      <c r="N288" s="9">
        <v>1001.0</v>
      </c>
      <c r="O288" s="9" t="s">
        <v>1197</v>
      </c>
      <c r="P288" s="14" t="s">
        <v>1198</v>
      </c>
      <c r="U288" s="17"/>
      <c r="V288" s="18"/>
      <c r="W288" s="16"/>
      <c r="X288" s="16"/>
      <c r="Y288" s="16"/>
    </row>
    <row r="289">
      <c r="A289" s="9" t="s">
        <v>1199</v>
      </c>
      <c r="B289" s="10" t="s">
        <v>1200</v>
      </c>
      <c r="C289" s="10" t="s">
        <v>18</v>
      </c>
      <c r="D289" s="10" t="s">
        <v>19</v>
      </c>
      <c r="E289" s="10" t="s">
        <v>20</v>
      </c>
      <c r="F289" s="10" t="s">
        <v>21</v>
      </c>
      <c r="G289" s="10" t="s">
        <v>22</v>
      </c>
      <c r="H289" s="10" t="s">
        <v>23</v>
      </c>
      <c r="I289" s="11">
        <v>249.0</v>
      </c>
      <c r="J289" s="11">
        <v>999.0</v>
      </c>
      <c r="K289" s="12">
        <f t="shared" si="1"/>
        <v>0.7507507508</v>
      </c>
      <c r="L289" s="13">
        <f>IFERROR(__xludf.DUMMYFUNCTION("GOOGLEFINANCE(""CURRENCY:INRBRL"") * I289
"),14.66153692062)</f>
        <v>14.66153692</v>
      </c>
      <c r="M289" s="9">
        <v>4.5</v>
      </c>
      <c r="N289" s="9">
        <v>112.0</v>
      </c>
      <c r="O289" s="9" t="s">
        <v>1201</v>
      </c>
      <c r="P289" s="14" t="s">
        <v>1202</v>
      </c>
      <c r="U289" s="17"/>
      <c r="V289" s="18"/>
      <c r="W289" s="16"/>
      <c r="X289" s="16"/>
      <c r="Y289" s="16"/>
    </row>
    <row r="290">
      <c r="A290" s="9" t="s">
        <v>1203</v>
      </c>
      <c r="B290" s="10" t="s">
        <v>1204</v>
      </c>
      <c r="C290" s="10" t="s">
        <v>249</v>
      </c>
      <c r="D290" s="10" t="s">
        <v>77</v>
      </c>
      <c r="E290" s="10" t="s">
        <v>78</v>
      </c>
      <c r="F290" s="10" t="s">
        <v>97</v>
      </c>
      <c r="G290" s="10" t="s">
        <v>250</v>
      </c>
      <c r="H290" s="10"/>
      <c r="I290" s="11">
        <v>7999.0</v>
      </c>
      <c r="J290" s="11">
        <v>15999.0</v>
      </c>
      <c r="K290" s="12">
        <f t="shared" si="1"/>
        <v>0.500031252</v>
      </c>
      <c r="L290" s="13">
        <f>IFERROR(__xludf.DUMMYFUNCTION("GOOGLEFINANCE(""CURRENCY:INRBRL"") * I290
"),470.99451336562)</f>
        <v>470.9945134</v>
      </c>
      <c r="M290" s="9">
        <v>4.51</v>
      </c>
      <c r="N290" s="9">
        <v>3022.0</v>
      </c>
      <c r="O290" s="9" t="s">
        <v>1205</v>
      </c>
      <c r="P290" s="14" t="s">
        <v>1206</v>
      </c>
      <c r="U290" s="17"/>
      <c r="V290" s="18"/>
      <c r="W290" s="16"/>
      <c r="X290" s="16"/>
      <c r="Y290" s="16"/>
    </row>
    <row r="291">
      <c r="A291" s="9" t="s">
        <v>1207</v>
      </c>
      <c r="B291" s="10" t="s">
        <v>1208</v>
      </c>
      <c r="C291" s="10" t="s">
        <v>18</v>
      </c>
      <c r="D291" s="10" t="s">
        <v>19</v>
      </c>
      <c r="E291" s="10" t="s">
        <v>20</v>
      </c>
      <c r="F291" s="10" t="s">
        <v>21</v>
      </c>
      <c r="G291" s="10" t="s">
        <v>22</v>
      </c>
      <c r="H291" s="10" t="s">
        <v>23</v>
      </c>
      <c r="I291" s="11">
        <v>649.0</v>
      </c>
      <c r="J291" s="11">
        <v>1600.0</v>
      </c>
      <c r="K291" s="12">
        <f t="shared" si="1"/>
        <v>0.594375</v>
      </c>
      <c r="L291" s="13">
        <f>IFERROR(__xludf.DUMMYFUNCTION("GOOGLEFINANCE(""CURRENCY:INRBRL"") * I291
"),38.21420667262)</f>
        <v>38.21420667</v>
      </c>
      <c r="M291" s="9">
        <v>4.5</v>
      </c>
      <c r="N291" s="9">
        <v>5451.0</v>
      </c>
      <c r="O291" s="9" t="s">
        <v>1209</v>
      </c>
      <c r="P291" s="14" t="s">
        <v>1210</v>
      </c>
      <c r="U291" s="17"/>
      <c r="V291" s="18"/>
      <c r="W291" s="16"/>
      <c r="X291" s="16"/>
      <c r="Y291" s="16"/>
    </row>
    <row r="292">
      <c r="A292" s="9" t="s">
        <v>1211</v>
      </c>
      <c r="B292" s="10" t="s">
        <v>357</v>
      </c>
      <c r="C292" s="10" t="s">
        <v>227</v>
      </c>
      <c r="D292" s="10" t="s">
        <v>77</v>
      </c>
      <c r="E292" s="10" t="s">
        <v>78</v>
      </c>
      <c r="F292" s="10" t="s">
        <v>79</v>
      </c>
      <c r="G292" s="10" t="s">
        <v>228</v>
      </c>
      <c r="H292" s="10"/>
      <c r="I292" s="11">
        <v>1289.0</v>
      </c>
      <c r="J292" s="11">
        <v>2500.0</v>
      </c>
      <c r="K292" s="12">
        <f t="shared" si="1"/>
        <v>0.4844</v>
      </c>
      <c r="L292" s="13">
        <f>IFERROR(__xludf.DUMMYFUNCTION("GOOGLEFINANCE(""CURRENCY:INRBRL"") * I292
"),75.89847827582)</f>
        <v>75.89847828</v>
      </c>
      <c r="M292" s="9">
        <v>4.5</v>
      </c>
      <c r="N292" s="9">
        <v>73.0</v>
      </c>
      <c r="O292" s="9" t="s">
        <v>1212</v>
      </c>
      <c r="P292" s="14" t="s">
        <v>1213</v>
      </c>
      <c r="U292" s="17"/>
      <c r="V292" s="18"/>
      <c r="W292" s="16"/>
      <c r="X292" s="16"/>
      <c r="Y292" s="16"/>
    </row>
    <row r="293">
      <c r="A293" s="9" t="s">
        <v>1214</v>
      </c>
      <c r="B293" s="10" t="s">
        <v>1215</v>
      </c>
      <c r="C293" s="10" t="s">
        <v>76</v>
      </c>
      <c r="D293" s="10" t="s">
        <v>77</v>
      </c>
      <c r="E293" s="10" t="s">
        <v>78</v>
      </c>
      <c r="F293" s="10" t="s">
        <v>79</v>
      </c>
      <c r="G293" s="10" t="s">
        <v>22</v>
      </c>
      <c r="H293" s="10" t="s">
        <v>80</v>
      </c>
      <c r="I293" s="11">
        <v>609.0</v>
      </c>
      <c r="J293" s="11">
        <v>1500.0</v>
      </c>
      <c r="K293" s="12">
        <f t="shared" si="1"/>
        <v>0.594</v>
      </c>
      <c r="L293" s="13">
        <f>IFERROR(__xludf.DUMMYFUNCTION("GOOGLEFINANCE(""CURRENCY:INRBRL"") * I293
"),35.85893969742)</f>
        <v>35.8589397</v>
      </c>
      <c r="M293" s="9">
        <v>4.51</v>
      </c>
      <c r="N293" s="9">
        <v>1029.0</v>
      </c>
      <c r="O293" s="9" t="s">
        <v>1216</v>
      </c>
      <c r="P293" s="14" t="s">
        <v>1217</v>
      </c>
      <c r="U293" s="17"/>
      <c r="V293" s="18"/>
      <c r="W293" s="16"/>
      <c r="X293" s="16"/>
      <c r="Y293" s="16"/>
    </row>
    <row r="294">
      <c r="A294" s="9" t="s">
        <v>1218</v>
      </c>
      <c r="B294" s="10" t="s">
        <v>1219</v>
      </c>
      <c r="C294" s="10" t="s">
        <v>96</v>
      </c>
      <c r="D294" s="10" t="s">
        <v>77</v>
      </c>
      <c r="E294" s="10" t="s">
        <v>78</v>
      </c>
      <c r="F294" s="10" t="s">
        <v>97</v>
      </c>
      <c r="G294" s="10" t="s">
        <v>98</v>
      </c>
      <c r="H294" s="10"/>
      <c r="I294" s="11">
        <v>32990.0</v>
      </c>
      <c r="J294" s="11">
        <v>54990.0</v>
      </c>
      <c r="K294" s="12">
        <f t="shared" si="1"/>
        <v>0.4000727405</v>
      </c>
      <c r="L294" s="13">
        <f>IFERROR(__xludf.DUMMYFUNCTION("GOOGLEFINANCE(""CURRENCY:INRBRL"") * I294
"),1942.5064377961999)</f>
        <v>1942.506438</v>
      </c>
      <c r="M294" s="9">
        <v>4.49</v>
      </c>
      <c r="N294" s="9">
        <v>1555.0</v>
      </c>
      <c r="O294" s="9" t="s">
        <v>1220</v>
      </c>
      <c r="P294" s="14" t="s">
        <v>1221</v>
      </c>
      <c r="U294" s="17"/>
      <c r="V294" s="18"/>
      <c r="W294" s="16"/>
      <c r="X294" s="16"/>
      <c r="Y294" s="16"/>
    </row>
    <row r="295">
      <c r="A295" s="9" t="s">
        <v>1222</v>
      </c>
      <c r="B295" s="10" t="s">
        <v>1223</v>
      </c>
      <c r="C295" s="10" t="s">
        <v>76</v>
      </c>
      <c r="D295" s="10" t="s">
        <v>77</v>
      </c>
      <c r="E295" s="10" t="s">
        <v>78</v>
      </c>
      <c r="F295" s="10" t="s">
        <v>79</v>
      </c>
      <c r="G295" s="10" t="s">
        <v>22</v>
      </c>
      <c r="H295" s="10" t="s">
        <v>80</v>
      </c>
      <c r="I295" s="11">
        <v>599.0</v>
      </c>
      <c r="J295" s="11">
        <v>1999.0</v>
      </c>
      <c r="K295" s="12">
        <f t="shared" si="1"/>
        <v>0.7003501751</v>
      </c>
      <c r="L295" s="13">
        <f>IFERROR(__xludf.DUMMYFUNCTION("GOOGLEFINANCE(""CURRENCY:INRBRL"") * I295
"),35.270122953619996)</f>
        <v>35.27012295</v>
      </c>
      <c r="M295" s="9">
        <v>4.5</v>
      </c>
      <c r="N295" s="9">
        <v>47.0</v>
      </c>
      <c r="O295" s="9" t="s">
        <v>1224</v>
      </c>
      <c r="P295" s="14" t="s">
        <v>1225</v>
      </c>
      <c r="U295" s="17"/>
      <c r="V295" s="18"/>
      <c r="W295" s="16"/>
      <c r="X295" s="16"/>
      <c r="Y295" s="16"/>
    </row>
    <row r="296">
      <c r="A296" s="9" t="s">
        <v>1226</v>
      </c>
      <c r="B296" s="10" t="s">
        <v>1227</v>
      </c>
      <c r="C296" s="10" t="s">
        <v>18</v>
      </c>
      <c r="D296" s="10" t="s">
        <v>19</v>
      </c>
      <c r="E296" s="10" t="s">
        <v>20</v>
      </c>
      <c r="F296" s="10" t="s">
        <v>21</v>
      </c>
      <c r="G296" s="10" t="s">
        <v>22</v>
      </c>
      <c r="H296" s="10" t="s">
        <v>23</v>
      </c>
      <c r="I296" s="11">
        <v>349.0</v>
      </c>
      <c r="J296" s="11">
        <v>899.0</v>
      </c>
      <c r="K296" s="12">
        <f t="shared" si="1"/>
        <v>0.6117908788</v>
      </c>
      <c r="L296" s="13">
        <f>IFERROR(__xludf.DUMMYFUNCTION("GOOGLEFINANCE(""CURRENCY:INRBRL"") * I296
"),20.549704358619998)</f>
        <v>20.54970436</v>
      </c>
      <c r="M296" s="9">
        <v>4.49</v>
      </c>
      <c r="N296" s="9">
        <v>14896.0</v>
      </c>
      <c r="O296" s="9" t="s">
        <v>1228</v>
      </c>
      <c r="P296" s="14" t="s">
        <v>1229</v>
      </c>
      <c r="U296" s="17"/>
      <c r="V296" s="18"/>
      <c r="W296" s="16"/>
      <c r="X296" s="16"/>
      <c r="Y296" s="16"/>
    </row>
    <row r="297">
      <c r="A297" s="9" t="s">
        <v>1230</v>
      </c>
      <c r="B297" s="10" t="s">
        <v>1231</v>
      </c>
      <c r="C297" s="10" t="s">
        <v>96</v>
      </c>
      <c r="D297" s="10" t="s">
        <v>77</v>
      </c>
      <c r="E297" s="10" t="s">
        <v>78</v>
      </c>
      <c r="F297" s="10" t="s">
        <v>97</v>
      </c>
      <c r="G297" s="10" t="s">
        <v>98</v>
      </c>
      <c r="H297" s="10"/>
      <c r="I297" s="11">
        <v>29999.0</v>
      </c>
      <c r="J297" s="11">
        <v>50999.0</v>
      </c>
      <c r="K297" s="12">
        <f t="shared" si="1"/>
        <v>0.4117727799</v>
      </c>
      <c r="L297" s="13">
        <f>IFERROR(__xludf.DUMMYFUNCTION("GOOGLEFINANCE(""CURRENCY:INRBRL"") * I297
"),1766.3913497256199)</f>
        <v>1766.39135</v>
      </c>
      <c r="M297" s="9">
        <v>4.5</v>
      </c>
      <c r="N297" s="9">
        <v>1712.0</v>
      </c>
      <c r="O297" s="9" t="s">
        <v>1232</v>
      </c>
      <c r="P297" s="14" t="s">
        <v>1233</v>
      </c>
      <c r="U297" s="17"/>
      <c r="V297" s="18"/>
      <c r="W297" s="16"/>
      <c r="X297" s="16"/>
      <c r="Y297" s="16"/>
    </row>
    <row r="298">
      <c r="A298" s="9" t="s">
        <v>1234</v>
      </c>
      <c r="B298" s="10" t="s">
        <v>1019</v>
      </c>
      <c r="C298" s="10" t="s">
        <v>227</v>
      </c>
      <c r="D298" s="10" t="s">
        <v>77</v>
      </c>
      <c r="E298" s="10" t="s">
        <v>78</v>
      </c>
      <c r="F298" s="10" t="s">
        <v>79</v>
      </c>
      <c r="G298" s="10" t="s">
        <v>228</v>
      </c>
      <c r="H298" s="10"/>
      <c r="I298" s="11">
        <v>199.0</v>
      </c>
      <c r="J298" s="11">
        <v>399.0</v>
      </c>
      <c r="K298" s="12">
        <f t="shared" si="1"/>
        <v>0.5012531328</v>
      </c>
      <c r="L298" s="13">
        <f>IFERROR(__xludf.DUMMYFUNCTION("GOOGLEFINANCE(""CURRENCY:INRBRL"") * I298
"),11.71745320162)</f>
        <v>11.7174532</v>
      </c>
      <c r="M298" s="9">
        <v>4.5</v>
      </c>
      <c r="N298" s="9">
        <v>1335.0</v>
      </c>
      <c r="O298" s="9" t="s">
        <v>1020</v>
      </c>
      <c r="P298" s="14" t="s">
        <v>1235</v>
      </c>
      <c r="U298" s="17"/>
      <c r="V298" s="18"/>
      <c r="W298" s="16"/>
      <c r="X298" s="16"/>
      <c r="Y298" s="16"/>
    </row>
    <row r="299">
      <c r="A299" s="9" t="s">
        <v>1236</v>
      </c>
      <c r="B299" s="10" t="s">
        <v>1237</v>
      </c>
      <c r="C299" s="10" t="s">
        <v>227</v>
      </c>
      <c r="D299" s="10" t="s">
        <v>77</v>
      </c>
      <c r="E299" s="10" t="s">
        <v>78</v>
      </c>
      <c r="F299" s="10" t="s">
        <v>79</v>
      </c>
      <c r="G299" s="10" t="s">
        <v>228</v>
      </c>
      <c r="H299" s="10"/>
      <c r="I299" s="11">
        <v>349.0</v>
      </c>
      <c r="J299" s="11">
        <v>699.0</v>
      </c>
      <c r="K299" s="12">
        <f t="shared" si="1"/>
        <v>0.5007153076</v>
      </c>
      <c r="L299" s="13">
        <f>IFERROR(__xludf.DUMMYFUNCTION("GOOGLEFINANCE(""CURRENCY:INRBRL"") * I299
"),20.549704358619998)</f>
        <v>20.54970436</v>
      </c>
      <c r="M299" s="9">
        <v>4.52</v>
      </c>
      <c r="N299" s="9">
        <v>214.0</v>
      </c>
      <c r="O299" s="9" t="s">
        <v>1238</v>
      </c>
      <c r="P299" s="14" t="s">
        <v>1239</v>
      </c>
      <c r="U299" s="17"/>
      <c r="V299" s="18"/>
      <c r="W299" s="16"/>
      <c r="X299" s="16"/>
      <c r="Y299" s="16"/>
    </row>
    <row r="300">
      <c r="A300" s="9" t="s">
        <v>1240</v>
      </c>
      <c r="B300" s="10" t="s">
        <v>1241</v>
      </c>
      <c r="C300" s="10" t="s">
        <v>311</v>
      </c>
      <c r="D300" s="10" t="s">
        <v>77</v>
      </c>
      <c r="E300" s="10" t="s">
        <v>78</v>
      </c>
      <c r="F300" s="10" t="s">
        <v>79</v>
      </c>
      <c r="G300" s="10" t="s">
        <v>312</v>
      </c>
      <c r="H300" s="10" t="s">
        <v>313</v>
      </c>
      <c r="I300" s="11">
        <v>1850.0</v>
      </c>
      <c r="J300" s="11">
        <v>4500.0</v>
      </c>
      <c r="K300" s="12">
        <f t="shared" si="1"/>
        <v>0.5888888889</v>
      </c>
      <c r="L300" s="13">
        <f>IFERROR(__xludf.DUMMYFUNCTION("GOOGLEFINANCE(""CURRENCY:INRBRL"") * I300
"),108.931097603)</f>
        <v>108.9310976</v>
      </c>
      <c r="M300" s="9">
        <v>4.0</v>
      </c>
      <c r="N300" s="9">
        <v>184.0</v>
      </c>
      <c r="O300" s="9" t="s">
        <v>1242</v>
      </c>
      <c r="P300" s="14" t="s">
        <v>1243</v>
      </c>
      <c r="U300" s="17"/>
      <c r="V300" s="18"/>
      <c r="W300" s="16"/>
      <c r="X300" s="16"/>
      <c r="Y300" s="16"/>
    </row>
    <row r="301">
      <c r="A301" s="9" t="s">
        <v>1244</v>
      </c>
      <c r="B301" s="10" t="s">
        <v>1245</v>
      </c>
      <c r="C301" s="10" t="s">
        <v>673</v>
      </c>
      <c r="D301" s="10" t="s">
        <v>77</v>
      </c>
      <c r="E301" s="10" t="s">
        <v>78</v>
      </c>
      <c r="F301" s="10" t="s">
        <v>674</v>
      </c>
      <c r="G301" s="10"/>
      <c r="H301" s="10"/>
      <c r="I301" s="11">
        <v>13990.0</v>
      </c>
      <c r="J301" s="11">
        <v>28900.0</v>
      </c>
      <c r="K301" s="12">
        <f t="shared" si="1"/>
        <v>0.515916955</v>
      </c>
      <c r="L301" s="13">
        <f>IFERROR(__xludf.DUMMYFUNCTION("GOOGLEFINANCE(""CURRENCY:INRBRL"") * I301
"),823.7546245762)</f>
        <v>823.7546246</v>
      </c>
      <c r="M301" s="9">
        <v>4.51</v>
      </c>
      <c r="N301" s="9">
        <v>7.0</v>
      </c>
      <c r="O301" s="9" t="s">
        <v>1246</v>
      </c>
      <c r="P301" s="14" t="s">
        <v>1247</v>
      </c>
      <c r="U301" s="17"/>
      <c r="V301" s="18"/>
      <c r="W301" s="16"/>
      <c r="X301" s="16"/>
      <c r="Y301" s="16"/>
    </row>
    <row r="302">
      <c r="A302" s="9" t="s">
        <v>1248</v>
      </c>
      <c r="B302" s="10" t="s">
        <v>1249</v>
      </c>
      <c r="C302" s="10" t="s">
        <v>18</v>
      </c>
      <c r="D302" s="10" t="s">
        <v>19</v>
      </c>
      <c r="E302" s="10" t="s">
        <v>20</v>
      </c>
      <c r="F302" s="10" t="s">
        <v>21</v>
      </c>
      <c r="G302" s="10" t="s">
        <v>22</v>
      </c>
      <c r="H302" s="10" t="s">
        <v>23</v>
      </c>
      <c r="I302" s="11">
        <v>129.0</v>
      </c>
      <c r="J302" s="11">
        <v>449.0</v>
      </c>
      <c r="K302" s="12">
        <f t="shared" si="1"/>
        <v>0.7126948775</v>
      </c>
      <c r="L302" s="13">
        <f>IFERROR(__xludf.DUMMYFUNCTION("GOOGLEFINANCE(""CURRENCY:INRBRL"") * I302
"),7.59573599502)</f>
        <v>7.595735995</v>
      </c>
      <c r="M302" s="9">
        <v>4.51</v>
      </c>
      <c r="N302" s="9">
        <v>41.0</v>
      </c>
      <c r="O302" s="9" t="s">
        <v>1250</v>
      </c>
      <c r="P302" s="14" t="s">
        <v>1251</v>
      </c>
      <c r="U302" s="17"/>
      <c r="V302" s="18"/>
      <c r="W302" s="16"/>
      <c r="X302" s="16"/>
      <c r="Y302" s="16"/>
    </row>
    <row r="303">
      <c r="A303" s="9" t="s">
        <v>1252</v>
      </c>
      <c r="B303" s="10" t="s">
        <v>1253</v>
      </c>
      <c r="C303" s="10" t="s">
        <v>76</v>
      </c>
      <c r="D303" s="10" t="s">
        <v>77</v>
      </c>
      <c r="E303" s="10" t="s">
        <v>78</v>
      </c>
      <c r="F303" s="10" t="s">
        <v>79</v>
      </c>
      <c r="G303" s="10" t="s">
        <v>22</v>
      </c>
      <c r="H303" s="10" t="s">
        <v>80</v>
      </c>
      <c r="I303" s="11">
        <v>379.0</v>
      </c>
      <c r="J303" s="11">
        <v>999.0</v>
      </c>
      <c r="K303" s="12">
        <f t="shared" si="1"/>
        <v>0.6206206206</v>
      </c>
      <c r="L303" s="13">
        <f>IFERROR(__xludf.DUMMYFUNCTION("GOOGLEFINANCE(""CURRENCY:INRBRL"") * I303
"),22.31615459002)</f>
        <v>22.31615459</v>
      </c>
      <c r="M303" s="9">
        <v>4.5</v>
      </c>
      <c r="N303" s="9">
        <v>12153.0</v>
      </c>
      <c r="O303" s="9" t="s">
        <v>1254</v>
      </c>
      <c r="P303" s="14" t="s">
        <v>1255</v>
      </c>
      <c r="U303" s="17"/>
      <c r="V303" s="18"/>
      <c r="W303" s="16"/>
      <c r="X303" s="16"/>
      <c r="Y303" s="16"/>
    </row>
    <row r="304">
      <c r="A304" s="9" t="s">
        <v>1256</v>
      </c>
      <c r="B304" s="10" t="s">
        <v>1257</v>
      </c>
      <c r="C304" s="10" t="s">
        <v>76</v>
      </c>
      <c r="D304" s="10" t="s">
        <v>77</v>
      </c>
      <c r="E304" s="10" t="s">
        <v>78</v>
      </c>
      <c r="F304" s="10" t="s">
        <v>79</v>
      </c>
      <c r="G304" s="10" t="s">
        <v>22</v>
      </c>
      <c r="H304" s="10" t="s">
        <v>80</v>
      </c>
      <c r="I304" s="11">
        <v>185.0</v>
      </c>
      <c r="J304" s="11">
        <v>499.0</v>
      </c>
      <c r="K304" s="12">
        <f t="shared" si="1"/>
        <v>0.629258517</v>
      </c>
      <c r="L304" s="13">
        <f>IFERROR(__xludf.DUMMYFUNCTION("GOOGLEFINANCE(""CURRENCY:INRBRL"") * I304
"),10.8931097603)</f>
        <v>10.89310976</v>
      </c>
      <c r="M304" s="9">
        <v>4.5</v>
      </c>
      <c r="N304" s="9">
        <v>25.0</v>
      </c>
      <c r="O304" s="9" t="s">
        <v>1258</v>
      </c>
      <c r="P304" s="14" t="s">
        <v>1259</v>
      </c>
      <c r="U304" s="17"/>
      <c r="V304" s="18"/>
      <c r="W304" s="16"/>
      <c r="X304" s="16"/>
      <c r="Y304" s="16"/>
    </row>
    <row r="305">
      <c r="A305" s="9" t="s">
        <v>1260</v>
      </c>
      <c r="B305" s="10" t="s">
        <v>1261</v>
      </c>
      <c r="C305" s="10" t="s">
        <v>56</v>
      </c>
      <c r="D305" s="10" t="s">
        <v>19</v>
      </c>
      <c r="E305" s="10" t="s">
        <v>57</v>
      </c>
      <c r="F305" s="10" t="s">
        <v>58</v>
      </c>
      <c r="G305" s="10" t="s">
        <v>59</v>
      </c>
      <c r="H305" s="10"/>
      <c r="I305" s="11">
        <v>218.0</v>
      </c>
      <c r="J305" s="11">
        <v>999.0</v>
      </c>
      <c r="K305" s="12">
        <f t="shared" si="1"/>
        <v>0.7817817818</v>
      </c>
      <c r="L305" s="13">
        <f>IFERROR(__xludf.DUMMYFUNCTION("GOOGLEFINANCE(""CURRENCY:INRBRL"") * I305
"),12.836205014839999)</f>
        <v>12.83620501</v>
      </c>
      <c r="M305" s="9">
        <v>4.5</v>
      </c>
      <c r="N305" s="9">
        <v>163.0</v>
      </c>
      <c r="O305" s="9" t="s">
        <v>1262</v>
      </c>
      <c r="P305" s="14" t="s">
        <v>1263</v>
      </c>
      <c r="U305" s="17"/>
      <c r="V305" s="18"/>
      <c r="W305" s="16"/>
      <c r="X305" s="16"/>
      <c r="Y305" s="16"/>
    </row>
    <row r="306">
      <c r="A306" s="9" t="s">
        <v>1264</v>
      </c>
      <c r="B306" s="10" t="s">
        <v>1265</v>
      </c>
      <c r="C306" s="10" t="s">
        <v>18</v>
      </c>
      <c r="D306" s="10" t="s">
        <v>19</v>
      </c>
      <c r="E306" s="10" t="s">
        <v>20</v>
      </c>
      <c r="F306" s="10" t="s">
        <v>21</v>
      </c>
      <c r="G306" s="10" t="s">
        <v>22</v>
      </c>
      <c r="H306" s="10" t="s">
        <v>23</v>
      </c>
      <c r="I306" s="11">
        <v>199.0</v>
      </c>
      <c r="J306" s="11">
        <v>999.0</v>
      </c>
      <c r="K306" s="12">
        <f t="shared" si="1"/>
        <v>0.8008008008</v>
      </c>
      <c r="L306" s="13">
        <f>IFERROR(__xludf.DUMMYFUNCTION("GOOGLEFINANCE(""CURRENCY:INRBRL"") * I306
"),11.71745320162)</f>
        <v>11.7174532</v>
      </c>
      <c r="M306" s="9">
        <v>4.5</v>
      </c>
      <c r="N306" s="9">
        <v>87.0</v>
      </c>
      <c r="O306" s="9" t="s">
        <v>1266</v>
      </c>
      <c r="P306" s="14" t="s">
        <v>1267</v>
      </c>
      <c r="U306" s="17"/>
      <c r="V306" s="18"/>
      <c r="W306" s="16"/>
      <c r="X306" s="16"/>
      <c r="Y306" s="16"/>
    </row>
    <row r="307">
      <c r="A307" s="9" t="s">
        <v>1268</v>
      </c>
      <c r="B307" s="10" t="s">
        <v>1269</v>
      </c>
      <c r="C307" s="10" t="s">
        <v>76</v>
      </c>
      <c r="D307" s="10" t="s">
        <v>77</v>
      </c>
      <c r="E307" s="10" t="s">
        <v>78</v>
      </c>
      <c r="F307" s="10" t="s">
        <v>79</v>
      </c>
      <c r="G307" s="10" t="s">
        <v>22</v>
      </c>
      <c r="H307" s="10" t="s">
        <v>80</v>
      </c>
      <c r="I307" s="11">
        <v>499.0</v>
      </c>
      <c r="J307" s="11">
        <v>900.0</v>
      </c>
      <c r="K307" s="12">
        <f t="shared" si="1"/>
        <v>0.4455555556</v>
      </c>
      <c r="L307" s="13">
        <f>IFERROR(__xludf.DUMMYFUNCTION("GOOGLEFINANCE(""CURRENCY:INRBRL"") * I307
"),29.38195551562)</f>
        <v>29.38195552</v>
      </c>
      <c r="M307" s="9">
        <v>4.5</v>
      </c>
      <c r="N307" s="9">
        <v>2165.0</v>
      </c>
      <c r="O307" s="9" t="s">
        <v>1270</v>
      </c>
      <c r="P307" s="14" t="s">
        <v>1271</v>
      </c>
      <c r="U307" s="17"/>
      <c r="V307" s="18"/>
      <c r="W307" s="16"/>
      <c r="X307" s="16"/>
      <c r="Y307" s="16"/>
    </row>
    <row r="308">
      <c r="A308" s="9" t="s">
        <v>1272</v>
      </c>
      <c r="B308" s="10" t="s">
        <v>1273</v>
      </c>
      <c r="C308" s="10" t="s">
        <v>96</v>
      </c>
      <c r="D308" s="10" t="s">
        <v>77</v>
      </c>
      <c r="E308" s="10" t="s">
        <v>78</v>
      </c>
      <c r="F308" s="10" t="s">
        <v>97</v>
      </c>
      <c r="G308" s="10" t="s">
        <v>98</v>
      </c>
      <c r="H308" s="10"/>
      <c r="I308" s="11">
        <v>26999.0</v>
      </c>
      <c r="J308" s="11">
        <v>42999.0</v>
      </c>
      <c r="K308" s="12">
        <f t="shared" si="1"/>
        <v>0.3721016768</v>
      </c>
      <c r="L308" s="13">
        <f>IFERROR(__xludf.DUMMYFUNCTION("GOOGLEFINANCE(""CURRENCY:INRBRL"") * I308
"),1589.74632658562)</f>
        <v>1589.746327</v>
      </c>
      <c r="M308" s="9">
        <v>4.5</v>
      </c>
      <c r="N308" s="9">
        <v>151.0</v>
      </c>
      <c r="O308" s="9" t="s">
        <v>1274</v>
      </c>
      <c r="P308" s="14" t="s">
        <v>1275</v>
      </c>
      <c r="U308" s="17"/>
      <c r="V308" s="18"/>
      <c r="W308" s="16"/>
      <c r="X308" s="16"/>
      <c r="Y308" s="16"/>
    </row>
    <row r="309">
      <c r="A309" s="9" t="s">
        <v>1276</v>
      </c>
      <c r="B309" s="10" t="s">
        <v>1277</v>
      </c>
      <c r="C309" s="10" t="s">
        <v>311</v>
      </c>
      <c r="D309" s="10" t="s">
        <v>77</v>
      </c>
      <c r="E309" s="10" t="s">
        <v>78</v>
      </c>
      <c r="F309" s="10" t="s">
        <v>79</v>
      </c>
      <c r="G309" s="10" t="s">
        <v>312</v>
      </c>
      <c r="H309" s="10" t="s">
        <v>313</v>
      </c>
      <c r="I309" s="11">
        <v>893.0</v>
      </c>
      <c r="J309" s="11">
        <v>1052.0</v>
      </c>
      <c r="K309" s="12">
        <f t="shared" si="1"/>
        <v>0.1511406844</v>
      </c>
      <c r="L309" s="13">
        <f>IFERROR(__xludf.DUMMYFUNCTION("GOOGLEFINANCE(""CURRENCY:INRBRL"") * I309
"),52.58133522134)</f>
        <v>52.58133522</v>
      </c>
      <c r="M309" s="9">
        <v>4.5</v>
      </c>
      <c r="N309" s="9">
        <v>106.0</v>
      </c>
      <c r="O309" s="9" t="s">
        <v>1278</v>
      </c>
      <c r="P309" s="14" t="s">
        <v>1279</v>
      </c>
      <c r="U309" s="17"/>
      <c r="V309" s="18"/>
      <c r="W309" s="16"/>
      <c r="X309" s="16"/>
      <c r="Y309" s="16"/>
    </row>
    <row r="310">
      <c r="A310" s="9" t="s">
        <v>1280</v>
      </c>
      <c r="B310" s="10" t="s">
        <v>1281</v>
      </c>
      <c r="C310" s="10" t="s">
        <v>96</v>
      </c>
      <c r="D310" s="10" t="s">
        <v>77</v>
      </c>
      <c r="E310" s="10" t="s">
        <v>78</v>
      </c>
      <c r="F310" s="10" t="s">
        <v>97</v>
      </c>
      <c r="G310" s="10" t="s">
        <v>98</v>
      </c>
      <c r="H310" s="10"/>
      <c r="I310" s="11">
        <v>10990.0</v>
      </c>
      <c r="J310" s="11">
        <v>19990.0</v>
      </c>
      <c r="K310" s="12">
        <f t="shared" si="1"/>
        <v>0.4502251126</v>
      </c>
      <c r="L310" s="13">
        <f>IFERROR(__xludf.DUMMYFUNCTION("GOOGLEFINANCE(""CURRENCY:INRBRL"") * I310
"),647.1096014362)</f>
        <v>647.1096014</v>
      </c>
      <c r="M310" s="9">
        <v>4.51</v>
      </c>
      <c r="N310" s="9">
        <v>129.0</v>
      </c>
      <c r="O310" s="9" t="s">
        <v>1282</v>
      </c>
      <c r="P310" s="14" t="s">
        <v>1283</v>
      </c>
      <c r="U310" s="17"/>
      <c r="V310" s="18"/>
      <c r="W310" s="16"/>
      <c r="X310" s="16"/>
      <c r="Y310" s="16"/>
    </row>
    <row r="311">
      <c r="A311" s="9" t="s">
        <v>1284</v>
      </c>
      <c r="B311" s="10" t="s">
        <v>1285</v>
      </c>
      <c r="C311" s="10" t="s">
        <v>18</v>
      </c>
      <c r="D311" s="10" t="s">
        <v>19</v>
      </c>
      <c r="E311" s="10" t="s">
        <v>20</v>
      </c>
      <c r="F311" s="10" t="s">
        <v>21</v>
      </c>
      <c r="G311" s="10" t="s">
        <v>22</v>
      </c>
      <c r="H311" s="10" t="s">
        <v>23</v>
      </c>
      <c r="I311" s="11">
        <v>379.0</v>
      </c>
      <c r="J311" s="11">
        <v>1099.0</v>
      </c>
      <c r="K311" s="12">
        <f t="shared" si="1"/>
        <v>0.6551410373</v>
      </c>
      <c r="L311" s="13">
        <f>IFERROR(__xludf.DUMMYFUNCTION("GOOGLEFINANCE(""CURRENCY:INRBRL"") * I311
"),22.31615459002)</f>
        <v>22.31615459</v>
      </c>
      <c r="M311" s="9">
        <v>4.5</v>
      </c>
      <c r="N311" s="9">
        <v>3049.0</v>
      </c>
      <c r="O311" s="9" t="s">
        <v>1286</v>
      </c>
      <c r="P311" s="14" t="s">
        <v>1287</v>
      </c>
      <c r="U311" s="17"/>
      <c r="V311" s="18"/>
      <c r="W311" s="16"/>
      <c r="X311" s="16"/>
      <c r="Y311" s="16"/>
    </row>
    <row r="312">
      <c r="A312" s="9" t="s">
        <v>1288</v>
      </c>
      <c r="B312" s="10" t="s">
        <v>1289</v>
      </c>
      <c r="C312" s="10" t="s">
        <v>96</v>
      </c>
      <c r="D312" s="10" t="s">
        <v>77</v>
      </c>
      <c r="E312" s="10" t="s">
        <v>78</v>
      </c>
      <c r="F312" s="10" t="s">
        <v>97</v>
      </c>
      <c r="G312" s="10" t="s">
        <v>98</v>
      </c>
      <c r="H312" s="10"/>
      <c r="I312" s="11">
        <v>16999.0</v>
      </c>
      <c r="J312" s="11">
        <v>25999.0</v>
      </c>
      <c r="K312" s="12">
        <f t="shared" si="1"/>
        <v>0.3461671603</v>
      </c>
      <c r="L312" s="13">
        <f>IFERROR(__xludf.DUMMYFUNCTION("GOOGLEFINANCE(""CURRENCY:INRBRL"") * I312
"),1000.92958278562)</f>
        <v>1000.929583</v>
      </c>
      <c r="M312" s="9">
        <v>4.5</v>
      </c>
      <c r="N312" s="9">
        <v>3284.0</v>
      </c>
      <c r="O312" s="9" t="s">
        <v>1290</v>
      </c>
      <c r="P312" s="14" t="s">
        <v>1291</v>
      </c>
      <c r="U312" s="17"/>
      <c r="V312" s="18"/>
      <c r="W312" s="16"/>
      <c r="X312" s="16"/>
      <c r="Y312" s="16"/>
    </row>
    <row r="313">
      <c r="A313" s="9" t="s">
        <v>1292</v>
      </c>
      <c r="B313" s="10" t="s">
        <v>1293</v>
      </c>
      <c r="C313" s="10" t="s">
        <v>76</v>
      </c>
      <c r="D313" s="10" t="s">
        <v>77</v>
      </c>
      <c r="E313" s="10" t="s">
        <v>78</v>
      </c>
      <c r="F313" s="10" t="s">
        <v>79</v>
      </c>
      <c r="G313" s="10" t="s">
        <v>22</v>
      </c>
      <c r="H313" s="10" t="s">
        <v>80</v>
      </c>
      <c r="I313" s="11">
        <v>699.0</v>
      </c>
      <c r="J313" s="11">
        <v>1899.0</v>
      </c>
      <c r="K313" s="12">
        <f t="shared" si="1"/>
        <v>0.6319115324</v>
      </c>
      <c r="L313" s="13">
        <f>IFERROR(__xludf.DUMMYFUNCTION("GOOGLEFINANCE(""CURRENCY:INRBRL"") * I313
"),41.15829039162)</f>
        <v>41.15829039</v>
      </c>
      <c r="M313" s="9">
        <v>4.5</v>
      </c>
      <c r="N313" s="9">
        <v>390.0</v>
      </c>
      <c r="O313" s="9" t="s">
        <v>1294</v>
      </c>
      <c r="P313" s="14" t="s">
        <v>1295</v>
      </c>
      <c r="U313" s="17"/>
      <c r="V313" s="18"/>
      <c r="W313" s="16"/>
      <c r="X313" s="16"/>
      <c r="Y313" s="16"/>
    </row>
    <row r="314">
      <c r="A314" s="9" t="s">
        <v>1296</v>
      </c>
      <c r="B314" s="10" t="s">
        <v>1297</v>
      </c>
      <c r="C314" s="10" t="s">
        <v>1298</v>
      </c>
      <c r="D314" s="10" t="s">
        <v>77</v>
      </c>
      <c r="E314" s="10" t="s">
        <v>78</v>
      </c>
      <c r="F314" s="10" t="s">
        <v>79</v>
      </c>
      <c r="G314" s="10" t="s">
        <v>1299</v>
      </c>
      <c r="H314" s="10"/>
      <c r="I314" s="11">
        <v>2699.0</v>
      </c>
      <c r="J314" s="11">
        <v>3500.0</v>
      </c>
      <c r="K314" s="12">
        <f t="shared" si="1"/>
        <v>0.2288571429</v>
      </c>
      <c r="L314" s="13">
        <f>IFERROR(__xludf.DUMMYFUNCTION("GOOGLEFINANCE(""CURRENCY:INRBRL"") * I314
"),158.92163915161998)</f>
        <v>158.9216392</v>
      </c>
      <c r="M314" s="9">
        <v>4.5</v>
      </c>
      <c r="N314" s="9">
        <v>621.0</v>
      </c>
      <c r="O314" s="9" t="s">
        <v>1300</v>
      </c>
      <c r="P314" s="14" t="s">
        <v>1301</v>
      </c>
      <c r="U314" s="17"/>
      <c r="V314" s="18"/>
      <c r="W314" s="16"/>
      <c r="X314" s="16"/>
      <c r="Y314" s="16"/>
    </row>
    <row r="315">
      <c r="A315" s="9" t="s">
        <v>1302</v>
      </c>
      <c r="B315" s="10" t="s">
        <v>1303</v>
      </c>
      <c r="C315" s="10" t="s">
        <v>18</v>
      </c>
      <c r="D315" s="10" t="s">
        <v>19</v>
      </c>
      <c r="E315" s="10" t="s">
        <v>20</v>
      </c>
      <c r="F315" s="10" t="s">
        <v>21</v>
      </c>
      <c r="G315" s="10" t="s">
        <v>22</v>
      </c>
      <c r="H315" s="10" t="s">
        <v>23</v>
      </c>
      <c r="I315" s="11">
        <v>129.0</v>
      </c>
      <c r="J315" s="11">
        <v>599.0</v>
      </c>
      <c r="K315" s="12">
        <f t="shared" si="1"/>
        <v>0.7846410684</v>
      </c>
      <c r="L315" s="13">
        <f>IFERROR(__xludf.DUMMYFUNCTION("GOOGLEFINANCE(""CURRENCY:INRBRL"") * I315
"),7.59573599502)</f>
        <v>7.595735995</v>
      </c>
      <c r="M315" s="9">
        <v>4.49</v>
      </c>
      <c r="N315" s="9">
        <v>265.0</v>
      </c>
      <c r="O315" s="9" t="s">
        <v>1304</v>
      </c>
      <c r="P315" s="14" t="s">
        <v>1305</v>
      </c>
      <c r="U315" s="17"/>
      <c r="V315" s="18"/>
      <c r="W315" s="16"/>
      <c r="X315" s="16"/>
      <c r="Y315" s="16"/>
    </row>
    <row r="316">
      <c r="A316" s="9" t="s">
        <v>1306</v>
      </c>
      <c r="B316" s="10" t="s">
        <v>1307</v>
      </c>
      <c r="C316" s="10" t="s">
        <v>18</v>
      </c>
      <c r="D316" s="10" t="s">
        <v>19</v>
      </c>
      <c r="E316" s="10" t="s">
        <v>20</v>
      </c>
      <c r="F316" s="10" t="s">
        <v>21</v>
      </c>
      <c r="G316" s="10" t="s">
        <v>22</v>
      </c>
      <c r="H316" s="10" t="s">
        <v>23</v>
      </c>
      <c r="I316" s="11">
        <v>389.0</v>
      </c>
      <c r="J316" s="11">
        <v>999.0</v>
      </c>
      <c r="K316" s="12">
        <f t="shared" si="1"/>
        <v>0.6106106106</v>
      </c>
      <c r="L316" s="13">
        <f>IFERROR(__xludf.DUMMYFUNCTION("GOOGLEFINANCE(""CURRENCY:INRBRL"") * I316
"),22.90497133382)</f>
        <v>22.90497133</v>
      </c>
      <c r="M316" s="9">
        <v>4.5</v>
      </c>
      <c r="N316" s="9">
        <v>838.0</v>
      </c>
      <c r="O316" s="9" t="s">
        <v>1308</v>
      </c>
      <c r="P316" s="14" t="s">
        <v>1309</v>
      </c>
      <c r="U316" s="17"/>
      <c r="V316" s="18"/>
      <c r="W316" s="16"/>
      <c r="X316" s="16"/>
      <c r="Y316" s="16"/>
    </row>
    <row r="317">
      <c r="A317" s="9" t="s">
        <v>1310</v>
      </c>
      <c r="B317" s="10" t="s">
        <v>1311</v>
      </c>
      <c r="C317" s="10" t="s">
        <v>227</v>
      </c>
      <c r="D317" s="10" t="s">
        <v>77</v>
      </c>
      <c r="E317" s="10" t="s">
        <v>78</v>
      </c>
      <c r="F317" s="10" t="s">
        <v>79</v>
      </c>
      <c r="G317" s="10" t="s">
        <v>228</v>
      </c>
      <c r="H317" s="10"/>
      <c r="I317" s="11">
        <v>246.0</v>
      </c>
      <c r="J317" s="11">
        <v>600.0</v>
      </c>
      <c r="K317" s="12">
        <f t="shared" si="1"/>
        <v>0.59</v>
      </c>
      <c r="L317" s="13">
        <f>IFERROR(__xludf.DUMMYFUNCTION("GOOGLEFINANCE(""CURRENCY:INRBRL"") * I317
"),14.484891897479999)</f>
        <v>14.4848919</v>
      </c>
      <c r="M317" s="9">
        <v>4.5</v>
      </c>
      <c r="N317" s="9">
        <v>143.0</v>
      </c>
      <c r="O317" s="9" t="s">
        <v>1312</v>
      </c>
      <c r="P317" s="14" t="s">
        <v>1313</v>
      </c>
      <c r="U317" s="17"/>
      <c r="V317" s="18"/>
      <c r="W317" s="16"/>
      <c r="X317" s="16"/>
      <c r="Y317" s="16"/>
    </row>
    <row r="318">
      <c r="A318" s="9" t="s">
        <v>1314</v>
      </c>
      <c r="B318" s="10" t="s">
        <v>1315</v>
      </c>
      <c r="C318" s="10" t="s">
        <v>18</v>
      </c>
      <c r="D318" s="10" t="s">
        <v>19</v>
      </c>
      <c r="E318" s="10" t="s">
        <v>20</v>
      </c>
      <c r="F318" s="10" t="s">
        <v>21</v>
      </c>
      <c r="G318" s="10" t="s">
        <v>22</v>
      </c>
      <c r="H318" s="10" t="s">
        <v>23</v>
      </c>
      <c r="I318" s="11">
        <v>299.0</v>
      </c>
      <c r="J318" s="11">
        <v>799.0</v>
      </c>
      <c r="K318" s="12">
        <f t="shared" si="1"/>
        <v>0.6257822278</v>
      </c>
      <c r="L318" s="13">
        <f>IFERROR(__xludf.DUMMYFUNCTION("GOOGLEFINANCE(""CURRENCY:INRBRL"") * I318
"),17.60562063962)</f>
        <v>17.60562064</v>
      </c>
      <c r="M318" s="9">
        <v>4.0</v>
      </c>
      <c r="N318" s="9">
        <v>151.0</v>
      </c>
      <c r="O318" s="9" t="s">
        <v>1316</v>
      </c>
      <c r="P318" s="14" t="s">
        <v>1317</v>
      </c>
      <c r="U318" s="17"/>
      <c r="V318" s="18"/>
      <c r="W318" s="16"/>
      <c r="X318" s="16"/>
      <c r="Y318" s="16"/>
    </row>
    <row r="319">
      <c r="A319" s="9" t="s">
        <v>1318</v>
      </c>
      <c r="B319" s="10" t="s">
        <v>1319</v>
      </c>
      <c r="C319" s="10" t="s">
        <v>227</v>
      </c>
      <c r="D319" s="10" t="s">
        <v>77</v>
      </c>
      <c r="E319" s="10" t="s">
        <v>78</v>
      </c>
      <c r="F319" s="10" t="s">
        <v>79</v>
      </c>
      <c r="G319" s="10" t="s">
        <v>228</v>
      </c>
      <c r="H319" s="10"/>
      <c r="I319" s="11">
        <v>247.0</v>
      </c>
      <c r="J319" s="11">
        <v>399.0</v>
      </c>
      <c r="K319" s="12">
        <f t="shared" si="1"/>
        <v>0.380952381</v>
      </c>
      <c r="L319" s="13">
        <f>IFERROR(__xludf.DUMMYFUNCTION("GOOGLEFINANCE(""CURRENCY:INRBRL"") * I319
"),14.54377357186)</f>
        <v>14.54377357</v>
      </c>
      <c r="M319" s="9">
        <v>4.52</v>
      </c>
      <c r="N319" s="9">
        <v>200.0</v>
      </c>
      <c r="O319" s="9" t="s">
        <v>1320</v>
      </c>
      <c r="P319" s="14" t="s">
        <v>1321</v>
      </c>
      <c r="U319" s="17"/>
      <c r="V319" s="18"/>
      <c r="W319" s="16"/>
      <c r="X319" s="16"/>
      <c r="Y319" s="16"/>
    </row>
    <row r="320">
      <c r="A320" s="9" t="s">
        <v>1322</v>
      </c>
      <c r="B320" s="10" t="s">
        <v>1323</v>
      </c>
      <c r="C320" s="10" t="s">
        <v>227</v>
      </c>
      <c r="D320" s="10" t="s">
        <v>77</v>
      </c>
      <c r="E320" s="10" t="s">
        <v>78</v>
      </c>
      <c r="F320" s="10" t="s">
        <v>79</v>
      </c>
      <c r="G320" s="10" t="s">
        <v>228</v>
      </c>
      <c r="H320" s="10"/>
      <c r="I320" s="11">
        <v>1369.0</v>
      </c>
      <c r="J320" s="11">
        <v>2999.0</v>
      </c>
      <c r="K320" s="12">
        <f t="shared" si="1"/>
        <v>0.5435145048</v>
      </c>
      <c r="L320" s="13">
        <f>IFERROR(__xludf.DUMMYFUNCTION("GOOGLEFINANCE(""CURRENCY:INRBRL"") * I320
"),80.60901222622)</f>
        <v>80.60901223</v>
      </c>
      <c r="M320" s="9">
        <v>4.5</v>
      </c>
      <c r="N320" s="9">
        <v>227.0</v>
      </c>
      <c r="O320" s="9" t="s">
        <v>1324</v>
      </c>
      <c r="P320" s="14" t="s">
        <v>1325</v>
      </c>
      <c r="U320" s="17"/>
      <c r="V320" s="18"/>
      <c r="W320" s="16"/>
      <c r="X320" s="16"/>
      <c r="Y320" s="16"/>
    </row>
    <row r="321">
      <c r="A321" s="9" t="s">
        <v>1326</v>
      </c>
      <c r="B321" s="10" t="s">
        <v>1327</v>
      </c>
      <c r="C321" s="10" t="s">
        <v>227</v>
      </c>
      <c r="D321" s="10" t="s">
        <v>77</v>
      </c>
      <c r="E321" s="10" t="s">
        <v>78</v>
      </c>
      <c r="F321" s="10" t="s">
        <v>79</v>
      </c>
      <c r="G321" s="10" t="s">
        <v>228</v>
      </c>
      <c r="H321" s="10"/>
      <c r="I321" s="11">
        <v>199.0</v>
      </c>
      <c r="J321" s="11">
        <v>499.0</v>
      </c>
      <c r="K321" s="12">
        <f t="shared" si="1"/>
        <v>0.6012024048</v>
      </c>
      <c r="L321" s="13">
        <f>IFERROR(__xludf.DUMMYFUNCTION("GOOGLEFINANCE(""CURRENCY:INRBRL"") * I321
"),11.71745320162)</f>
        <v>11.7174532</v>
      </c>
      <c r="M321" s="9">
        <v>4.51</v>
      </c>
      <c r="N321" s="9">
        <v>538.0</v>
      </c>
      <c r="O321" s="9" t="s">
        <v>1328</v>
      </c>
      <c r="P321" s="14" t="s">
        <v>1329</v>
      </c>
      <c r="U321" s="17"/>
      <c r="V321" s="18"/>
      <c r="W321" s="16"/>
      <c r="X321" s="16"/>
      <c r="Y321" s="16"/>
    </row>
    <row r="322">
      <c r="A322" s="9" t="s">
        <v>1330</v>
      </c>
      <c r="B322" s="10" t="s">
        <v>1331</v>
      </c>
      <c r="C322" s="10" t="s">
        <v>76</v>
      </c>
      <c r="D322" s="10" t="s">
        <v>77</v>
      </c>
      <c r="E322" s="10" t="s">
        <v>78</v>
      </c>
      <c r="F322" s="10" t="s">
        <v>79</v>
      </c>
      <c r="G322" s="10" t="s">
        <v>22</v>
      </c>
      <c r="H322" s="10" t="s">
        <v>80</v>
      </c>
      <c r="I322" s="11">
        <v>299.0</v>
      </c>
      <c r="J322" s="11">
        <v>599.0</v>
      </c>
      <c r="K322" s="12">
        <f t="shared" si="1"/>
        <v>0.5008347245</v>
      </c>
      <c r="L322" s="13">
        <f>IFERROR(__xludf.DUMMYFUNCTION("GOOGLEFINANCE(""CURRENCY:INRBRL"") * I322
"),17.60562063962)</f>
        <v>17.60562064</v>
      </c>
      <c r="M322" s="9">
        <v>4.0</v>
      </c>
      <c r="N322" s="9">
        <v>171.0</v>
      </c>
      <c r="O322" s="9" t="s">
        <v>1332</v>
      </c>
      <c r="P322" s="14" t="s">
        <v>1333</v>
      </c>
      <c r="U322" s="17"/>
      <c r="V322" s="18"/>
      <c r="W322" s="16"/>
      <c r="X322" s="16"/>
      <c r="Y322" s="16"/>
    </row>
    <row r="323">
      <c r="A323" s="9" t="s">
        <v>1334</v>
      </c>
      <c r="B323" s="10" t="s">
        <v>1335</v>
      </c>
      <c r="C323" s="10" t="s">
        <v>96</v>
      </c>
      <c r="D323" s="10" t="s">
        <v>77</v>
      </c>
      <c r="E323" s="10" t="s">
        <v>78</v>
      </c>
      <c r="F323" s="10" t="s">
        <v>97</v>
      </c>
      <c r="G323" s="10" t="s">
        <v>98</v>
      </c>
      <c r="H323" s="10"/>
      <c r="I323" s="11">
        <v>14999.0</v>
      </c>
      <c r="J323" s="11">
        <v>14999.0</v>
      </c>
      <c r="K323" s="12">
        <f t="shared" si="1"/>
        <v>0</v>
      </c>
      <c r="L323" s="13">
        <f>IFERROR(__xludf.DUMMYFUNCTION("GOOGLEFINANCE(""CURRENCY:INRBRL"") * I323
"),883.1662340256199)</f>
        <v>883.166234</v>
      </c>
      <c r="M323" s="9">
        <v>4.5</v>
      </c>
      <c r="N323" s="9">
        <v>27508.0</v>
      </c>
      <c r="O323" s="9" t="s">
        <v>1336</v>
      </c>
      <c r="P323" s="14" t="s">
        <v>1337</v>
      </c>
      <c r="U323" s="17"/>
      <c r="V323" s="18"/>
      <c r="W323" s="16"/>
      <c r="X323" s="16"/>
      <c r="Y323" s="16"/>
    </row>
    <row r="324">
      <c r="A324" s="9" t="s">
        <v>1338</v>
      </c>
      <c r="B324" s="10" t="s">
        <v>1339</v>
      </c>
      <c r="C324" s="10" t="s">
        <v>18</v>
      </c>
      <c r="D324" s="10" t="s">
        <v>19</v>
      </c>
      <c r="E324" s="10" t="s">
        <v>20</v>
      </c>
      <c r="F324" s="10" t="s">
        <v>21</v>
      </c>
      <c r="G324" s="10" t="s">
        <v>22</v>
      </c>
      <c r="H324" s="10" t="s">
        <v>23</v>
      </c>
      <c r="I324" s="11">
        <v>299.0</v>
      </c>
      <c r="J324" s="11">
        <v>699.0</v>
      </c>
      <c r="K324" s="12">
        <f t="shared" si="1"/>
        <v>0.5722460658</v>
      </c>
      <c r="L324" s="13">
        <f>IFERROR(__xludf.DUMMYFUNCTION("GOOGLEFINANCE(""CURRENCY:INRBRL"") * I324
"),17.60562063962)</f>
        <v>17.60562064</v>
      </c>
      <c r="M324" s="9">
        <v>4.52</v>
      </c>
      <c r="N324" s="9">
        <v>1454.0</v>
      </c>
      <c r="O324" s="9" t="s">
        <v>1340</v>
      </c>
      <c r="P324" s="14" t="s">
        <v>1341</v>
      </c>
      <c r="U324" s="17"/>
      <c r="V324" s="18"/>
      <c r="W324" s="16"/>
      <c r="X324" s="16"/>
      <c r="Y324" s="16"/>
    </row>
    <row r="325">
      <c r="A325" s="9" t="s">
        <v>1342</v>
      </c>
      <c r="B325" s="10" t="s">
        <v>1343</v>
      </c>
      <c r="C325" s="10" t="s">
        <v>96</v>
      </c>
      <c r="D325" s="10" t="s">
        <v>77</v>
      </c>
      <c r="E325" s="10" t="s">
        <v>78</v>
      </c>
      <c r="F325" s="10" t="s">
        <v>97</v>
      </c>
      <c r="G325" s="10" t="s">
        <v>98</v>
      </c>
      <c r="H325" s="10"/>
      <c r="I325" s="11">
        <v>24990.0</v>
      </c>
      <c r="J325" s="11">
        <v>51990.0</v>
      </c>
      <c r="K325" s="12">
        <f t="shared" si="1"/>
        <v>0.5193306405</v>
      </c>
      <c r="L325" s="13">
        <f>IFERROR(__xludf.DUMMYFUNCTION("GOOGLEFINANCE(""CURRENCY:INRBRL"") * I325
"),1471.4530427562)</f>
        <v>1471.453043</v>
      </c>
      <c r="M325" s="9">
        <v>4.5</v>
      </c>
      <c r="N325" s="9">
        <v>2951.0</v>
      </c>
      <c r="O325" s="9" t="s">
        <v>1344</v>
      </c>
      <c r="P325" s="14" t="s">
        <v>1345</v>
      </c>
      <c r="U325" s="17"/>
      <c r="V325" s="18"/>
      <c r="W325" s="16"/>
      <c r="X325" s="16"/>
      <c r="Y325" s="16"/>
    </row>
    <row r="326">
      <c r="A326" s="9" t="s">
        <v>1346</v>
      </c>
      <c r="B326" s="10" t="s">
        <v>1347</v>
      </c>
      <c r="C326" s="10" t="s">
        <v>18</v>
      </c>
      <c r="D326" s="10" t="s">
        <v>19</v>
      </c>
      <c r="E326" s="10" t="s">
        <v>20</v>
      </c>
      <c r="F326" s="10" t="s">
        <v>21</v>
      </c>
      <c r="G326" s="10" t="s">
        <v>22</v>
      </c>
      <c r="H326" s="10" t="s">
        <v>23</v>
      </c>
      <c r="I326" s="11">
        <v>249.0</v>
      </c>
      <c r="J326" s="11">
        <v>999.0</v>
      </c>
      <c r="K326" s="12">
        <f t="shared" si="1"/>
        <v>0.7507507508</v>
      </c>
      <c r="L326" s="13">
        <f>IFERROR(__xludf.DUMMYFUNCTION("GOOGLEFINANCE(""CURRENCY:INRBRL"") * I326
"),14.66153692062)</f>
        <v>14.66153692</v>
      </c>
      <c r="M326" s="9">
        <v>5.0</v>
      </c>
      <c r="N326" s="9">
        <v>0.0</v>
      </c>
      <c r="O326" s="9" t="s">
        <v>1348</v>
      </c>
      <c r="P326" s="14" t="s">
        <v>1349</v>
      </c>
      <c r="U326" s="17"/>
      <c r="V326" s="18"/>
      <c r="W326" s="16"/>
      <c r="X326" s="16"/>
      <c r="Y326" s="16"/>
    </row>
    <row r="327">
      <c r="A327" s="9" t="s">
        <v>1350</v>
      </c>
      <c r="B327" s="10" t="s">
        <v>1351</v>
      </c>
      <c r="C327" s="10" t="s">
        <v>96</v>
      </c>
      <c r="D327" s="10" t="s">
        <v>77</v>
      </c>
      <c r="E327" s="10" t="s">
        <v>78</v>
      </c>
      <c r="F327" s="10" t="s">
        <v>97</v>
      </c>
      <c r="G327" s="10" t="s">
        <v>98</v>
      </c>
      <c r="H327" s="10"/>
      <c r="I327" s="11">
        <v>61999.0</v>
      </c>
      <c r="J327" s="11">
        <v>69999.0</v>
      </c>
      <c r="K327" s="12">
        <f t="shared" si="1"/>
        <v>0.114287347</v>
      </c>
      <c r="L327" s="13">
        <f>IFERROR(__xludf.DUMMYFUNCTION("GOOGLEFINANCE(""CURRENCY:INRBRL"") * I327
"),3650.60492988562)</f>
        <v>3650.60493</v>
      </c>
      <c r="M327" s="9">
        <v>4.49</v>
      </c>
      <c r="N327" s="9">
        <v>6753.0</v>
      </c>
      <c r="O327" s="9" t="s">
        <v>1352</v>
      </c>
      <c r="P327" s="14" t="s">
        <v>1353</v>
      </c>
      <c r="U327" s="17"/>
      <c r="V327" s="18"/>
      <c r="W327" s="16"/>
      <c r="X327" s="16"/>
      <c r="Y327" s="16"/>
    </row>
    <row r="328">
      <c r="A328" s="9" t="s">
        <v>1354</v>
      </c>
      <c r="B328" s="10" t="s">
        <v>1355</v>
      </c>
      <c r="C328" s="10" t="s">
        <v>96</v>
      </c>
      <c r="D328" s="10" t="s">
        <v>77</v>
      </c>
      <c r="E328" s="10" t="s">
        <v>78</v>
      </c>
      <c r="F328" s="10" t="s">
        <v>97</v>
      </c>
      <c r="G328" s="10" t="s">
        <v>98</v>
      </c>
      <c r="H328" s="10"/>
      <c r="I328" s="11">
        <v>24499.0</v>
      </c>
      <c r="J328" s="11">
        <v>50000.0</v>
      </c>
      <c r="K328" s="12">
        <f t="shared" si="1"/>
        <v>0.51002</v>
      </c>
      <c r="L328" s="13">
        <f>IFERROR(__xludf.DUMMYFUNCTION("GOOGLEFINANCE(""CURRENCY:INRBRL"") * I328
"),1442.54214063562)</f>
        <v>1442.542141</v>
      </c>
      <c r="M328" s="9">
        <v>4.52</v>
      </c>
      <c r="N328" s="9">
        <v>3518.0</v>
      </c>
      <c r="O328" s="9" t="s">
        <v>1356</v>
      </c>
      <c r="P328" s="14" t="s">
        <v>1357</v>
      </c>
      <c r="U328" s="17"/>
      <c r="V328" s="18"/>
      <c r="W328" s="16"/>
      <c r="X328" s="16"/>
      <c r="Y328" s="16"/>
    </row>
    <row r="329">
      <c r="A329" s="9" t="s">
        <v>1358</v>
      </c>
      <c r="B329" s="10" t="s">
        <v>1359</v>
      </c>
      <c r="C329" s="10" t="s">
        <v>96</v>
      </c>
      <c r="D329" s="10" t="s">
        <v>77</v>
      </c>
      <c r="E329" s="10" t="s">
        <v>78</v>
      </c>
      <c r="F329" s="10" t="s">
        <v>97</v>
      </c>
      <c r="G329" s="10" t="s">
        <v>98</v>
      </c>
      <c r="H329" s="10"/>
      <c r="I329" s="11">
        <v>10499.0</v>
      </c>
      <c r="J329" s="11">
        <v>19499.0</v>
      </c>
      <c r="K329" s="12">
        <f t="shared" si="1"/>
        <v>0.4615621314</v>
      </c>
      <c r="L329" s="13">
        <f>IFERROR(__xludf.DUMMYFUNCTION("GOOGLEFINANCE(""CURRENCY:INRBRL"") * I329
"),618.1986993156199)</f>
        <v>618.1986993</v>
      </c>
      <c r="M329" s="9">
        <v>4.5</v>
      </c>
      <c r="N329" s="9">
        <v>151.0</v>
      </c>
      <c r="O329" s="9" t="s">
        <v>1360</v>
      </c>
      <c r="P329" s="14" t="s">
        <v>1361</v>
      </c>
      <c r="U329" s="17"/>
      <c r="V329" s="18"/>
      <c r="W329" s="16"/>
      <c r="X329" s="16"/>
      <c r="Y329" s="16"/>
    </row>
    <row r="330">
      <c r="A330" s="9" t="s">
        <v>1362</v>
      </c>
      <c r="B330" s="10" t="s">
        <v>1363</v>
      </c>
      <c r="C330" s="10" t="s">
        <v>18</v>
      </c>
      <c r="D330" s="10" t="s">
        <v>19</v>
      </c>
      <c r="E330" s="10" t="s">
        <v>20</v>
      </c>
      <c r="F330" s="10" t="s">
        <v>21</v>
      </c>
      <c r="G330" s="10" t="s">
        <v>22</v>
      </c>
      <c r="H330" s="10" t="s">
        <v>23</v>
      </c>
      <c r="I330" s="11">
        <v>349.0</v>
      </c>
      <c r="J330" s="11">
        <v>999.0</v>
      </c>
      <c r="K330" s="12">
        <f t="shared" si="1"/>
        <v>0.6506506507</v>
      </c>
      <c r="L330" s="13">
        <f>IFERROR(__xludf.DUMMYFUNCTION("GOOGLEFINANCE(""CURRENCY:INRBRL"") * I330
"),20.549704358619998)</f>
        <v>20.54970436</v>
      </c>
      <c r="M330" s="9">
        <v>4.5</v>
      </c>
      <c r="N330" s="9">
        <v>838.0</v>
      </c>
      <c r="O330" s="9" t="s">
        <v>1364</v>
      </c>
      <c r="P330" s="14" t="s">
        <v>1365</v>
      </c>
      <c r="U330" s="17"/>
      <c r="V330" s="18"/>
      <c r="W330" s="16"/>
      <c r="X330" s="16"/>
      <c r="Y330" s="16"/>
    </row>
    <row r="331">
      <c r="A331" s="9" t="s">
        <v>1366</v>
      </c>
      <c r="B331" s="10" t="s">
        <v>1367</v>
      </c>
      <c r="C331" s="10" t="s">
        <v>227</v>
      </c>
      <c r="D331" s="10" t="s">
        <v>77</v>
      </c>
      <c r="E331" s="10" t="s">
        <v>78</v>
      </c>
      <c r="F331" s="10" t="s">
        <v>79</v>
      </c>
      <c r="G331" s="10" t="s">
        <v>228</v>
      </c>
      <c r="H331" s="10"/>
      <c r="I331" s="11">
        <v>197.0</v>
      </c>
      <c r="J331" s="11">
        <v>499.0</v>
      </c>
      <c r="K331" s="12">
        <f t="shared" si="1"/>
        <v>0.6052104208</v>
      </c>
      <c r="L331" s="13">
        <f>IFERROR(__xludf.DUMMYFUNCTION("GOOGLEFINANCE(""CURRENCY:INRBRL"") * I331
"),11.59968985286)</f>
        <v>11.59968985</v>
      </c>
      <c r="M331" s="9">
        <v>4.51</v>
      </c>
      <c r="N331" s="9">
        <v>136.0</v>
      </c>
      <c r="O331" s="9" t="s">
        <v>1368</v>
      </c>
      <c r="P331" s="14" t="s">
        <v>1369</v>
      </c>
      <c r="U331" s="17"/>
      <c r="V331" s="18"/>
      <c r="W331" s="16"/>
      <c r="X331" s="16"/>
      <c r="Y331" s="16"/>
    </row>
    <row r="332">
      <c r="A332" s="9" t="s">
        <v>1370</v>
      </c>
      <c r="B332" s="10" t="s">
        <v>1371</v>
      </c>
      <c r="C332" s="10" t="s">
        <v>941</v>
      </c>
      <c r="D332" s="10" t="s">
        <v>77</v>
      </c>
      <c r="E332" s="10" t="s">
        <v>78</v>
      </c>
      <c r="F332" s="10" t="s">
        <v>942</v>
      </c>
      <c r="G332" s="10" t="s">
        <v>943</v>
      </c>
      <c r="H332" s="10"/>
      <c r="I332" s="11">
        <v>1299.0</v>
      </c>
      <c r="J332" s="11">
        <v>2499.0</v>
      </c>
      <c r="K332" s="12">
        <f t="shared" si="1"/>
        <v>0.4801920768</v>
      </c>
      <c r="L332" s="13">
        <f>IFERROR(__xludf.DUMMYFUNCTION("GOOGLEFINANCE(""CURRENCY:INRBRL"") * I332
"),76.48729501961999)</f>
        <v>76.48729502</v>
      </c>
      <c r="M332" s="9">
        <v>4.5</v>
      </c>
      <c r="N332" s="9">
        <v>301.0</v>
      </c>
      <c r="O332" s="9" t="s">
        <v>1372</v>
      </c>
      <c r="P332" s="14" t="s">
        <v>1373</v>
      </c>
      <c r="U332" s="17"/>
      <c r="V332" s="18"/>
      <c r="W332" s="16"/>
      <c r="X332" s="16"/>
      <c r="Y332" s="16"/>
    </row>
    <row r="333">
      <c r="A333" s="9" t="s">
        <v>1374</v>
      </c>
      <c r="B333" s="10" t="s">
        <v>1375</v>
      </c>
      <c r="C333" s="10" t="s">
        <v>18</v>
      </c>
      <c r="D333" s="10" t="s">
        <v>19</v>
      </c>
      <c r="E333" s="10" t="s">
        <v>20</v>
      </c>
      <c r="F333" s="10" t="s">
        <v>21</v>
      </c>
      <c r="G333" s="10" t="s">
        <v>22</v>
      </c>
      <c r="H333" s="10" t="s">
        <v>23</v>
      </c>
      <c r="I333" s="11">
        <v>1519.0</v>
      </c>
      <c r="J333" s="11">
        <v>1899.0</v>
      </c>
      <c r="K333" s="12">
        <f t="shared" si="1"/>
        <v>0.2001053186</v>
      </c>
      <c r="L333" s="13">
        <f>IFERROR(__xludf.DUMMYFUNCTION("GOOGLEFINANCE(""CURRENCY:INRBRL"") * I333
"),89.44126338322)</f>
        <v>89.44126338</v>
      </c>
      <c r="M333" s="9">
        <v>4.5</v>
      </c>
      <c r="N333" s="9">
        <v>19763.0</v>
      </c>
      <c r="O333" s="9" t="s">
        <v>1376</v>
      </c>
      <c r="P333" s="14" t="s">
        <v>1377</v>
      </c>
      <c r="U333" s="17"/>
      <c r="V333" s="18"/>
      <c r="W333" s="16"/>
      <c r="X333" s="16"/>
      <c r="Y333" s="16"/>
    </row>
    <row r="334">
      <c r="A334" s="9" t="s">
        <v>1378</v>
      </c>
      <c r="B334" s="10" t="s">
        <v>1379</v>
      </c>
      <c r="C334" s="10" t="s">
        <v>96</v>
      </c>
      <c r="D334" s="10" t="s">
        <v>77</v>
      </c>
      <c r="E334" s="10" t="s">
        <v>78</v>
      </c>
      <c r="F334" s="10" t="s">
        <v>97</v>
      </c>
      <c r="G334" s="10" t="s">
        <v>98</v>
      </c>
      <c r="H334" s="10"/>
      <c r="I334" s="11">
        <v>46999.0</v>
      </c>
      <c r="J334" s="11">
        <v>69999.0</v>
      </c>
      <c r="K334" s="12">
        <f t="shared" si="1"/>
        <v>0.3285761225</v>
      </c>
      <c r="L334" s="13">
        <f>IFERROR(__xludf.DUMMYFUNCTION("GOOGLEFINANCE(""CURRENCY:INRBRL"") * I334
"),2767.37981418562)</f>
        <v>2767.379814</v>
      </c>
      <c r="M334" s="9">
        <v>4.5</v>
      </c>
      <c r="N334" s="9">
        <v>21252.0</v>
      </c>
      <c r="O334" s="9" t="s">
        <v>1380</v>
      </c>
      <c r="P334" s="14" t="s">
        <v>1381</v>
      </c>
      <c r="U334" s="17"/>
      <c r="V334" s="18"/>
      <c r="W334" s="16"/>
      <c r="X334" s="16"/>
      <c r="Y334" s="16"/>
    </row>
    <row r="335">
      <c r="A335" s="9" t="s">
        <v>1382</v>
      </c>
      <c r="B335" s="10" t="s">
        <v>1383</v>
      </c>
      <c r="C335" s="10" t="s">
        <v>18</v>
      </c>
      <c r="D335" s="10" t="s">
        <v>19</v>
      </c>
      <c r="E335" s="10" t="s">
        <v>20</v>
      </c>
      <c r="F335" s="10" t="s">
        <v>21</v>
      </c>
      <c r="G335" s="10" t="s">
        <v>22</v>
      </c>
      <c r="H335" s="10" t="s">
        <v>23</v>
      </c>
      <c r="I335" s="11">
        <v>299.0</v>
      </c>
      <c r="J335" s="11">
        <v>799.0</v>
      </c>
      <c r="K335" s="12">
        <f t="shared" si="1"/>
        <v>0.6257822278</v>
      </c>
      <c r="L335" s="13">
        <f>IFERROR(__xludf.DUMMYFUNCTION("GOOGLEFINANCE(""CURRENCY:INRBRL"") * I335
"),17.60562063962)</f>
        <v>17.60562064</v>
      </c>
      <c r="M335" s="9">
        <v>4.5</v>
      </c>
      <c r="N335" s="9">
        <v>1902.0</v>
      </c>
      <c r="O335" s="9" t="s">
        <v>1384</v>
      </c>
      <c r="P335" s="14" t="s">
        <v>1385</v>
      </c>
      <c r="U335" s="17"/>
      <c r="V335" s="18"/>
      <c r="W335" s="16"/>
      <c r="X335" s="16"/>
      <c r="Y335" s="16"/>
    </row>
    <row r="336">
      <c r="A336" s="9" t="s">
        <v>1386</v>
      </c>
      <c r="B336" s="10" t="s">
        <v>1387</v>
      </c>
      <c r="C336" s="10" t="s">
        <v>1388</v>
      </c>
      <c r="D336" s="10" t="s">
        <v>77</v>
      </c>
      <c r="E336" s="10" t="s">
        <v>1389</v>
      </c>
      <c r="F336" s="10" t="s">
        <v>1390</v>
      </c>
      <c r="G336" s="10"/>
      <c r="H336" s="10"/>
      <c r="I336" s="11">
        <v>1799.0</v>
      </c>
      <c r="J336" s="11">
        <v>1999.0</v>
      </c>
      <c r="K336" s="12">
        <f t="shared" si="1"/>
        <v>0.100050025</v>
      </c>
      <c r="L336" s="13">
        <f>IFERROR(__xludf.DUMMYFUNCTION("GOOGLEFINANCE(""CURRENCY:INRBRL"") * I336
"),105.92813220962)</f>
        <v>105.9281322</v>
      </c>
      <c r="M336" s="9">
        <v>4.5</v>
      </c>
      <c r="N336" s="9">
        <v>13937.0</v>
      </c>
      <c r="O336" s="9" t="s">
        <v>1391</v>
      </c>
      <c r="P336" s="14" t="s">
        <v>1392</v>
      </c>
      <c r="U336" s="17"/>
      <c r="V336" s="18"/>
      <c r="W336" s="16"/>
      <c r="X336" s="16"/>
      <c r="Y336" s="16"/>
    </row>
    <row r="337">
      <c r="A337" s="9" t="s">
        <v>1393</v>
      </c>
      <c r="B337" s="10" t="s">
        <v>1394</v>
      </c>
      <c r="C337" s="10" t="s">
        <v>1388</v>
      </c>
      <c r="D337" s="10" t="s">
        <v>77</v>
      </c>
      <c r="E337" s="10" t="s">
        <v>1389</v>
      </c>
      <c r="F337" s="10" t="s">
        <v>1390</v>
      </c>
      <c r="G337" s="10"/>
      <c r="H337" s="10"/>
      <c r="I337" s="11">
        <v>1998.0</v>
      </c>
      <c r="J337" s="11">
        <v>9999.0</v>
      </c>
      <c r="K337" s="12">
        <f t="shared" si="1"/>
        <v>0.800180018</v>
      </c>
      <c r="L337" s="13">
        <f>IFERROR(__xludf.DUMMYFUNCTION("GOOGLEFINANCE(""CURRENCY:INRBRL"") * I337
"),117.64558541123999)</f>
        <v>117.6455854</v>
      </c>
      <c r="M337" s="9">
        <v>4.5</v>
      </c>
      <c r="N337" s="9">
        <v>27696.0</v>
      </c>
      <c r="O337" s="9" t="s">
        <v>1395</v>
      </c>
      <c r="P337" s="14" t="s">
        <v>1396</v>
      </c>
      <c r="U337" s="17"/>
      <c r="V337" s="18"/>
      <c r="W337" s="16"/>
      <c r="X337" s="16"/>
      <c r="Y337" s="16"/>
    </row>
    <row r="338">
      <c r="A338" s="9" t="s">
        <v>1397</v>
      </c>
      <c r="B338" s="10" t="s">
        <v>1398</v>
      </c>
      <c r="C338" s="10" t="s">
        <v>1388</v>
      </c>
      <c r="D338" s="10" t="s">
        <v>77</v>
      </c>
      <c r="E338" s="10" t="s">
        <v>1389</v>
      </c>
      <c r="F338" s="10" t="s">
        <v>1390</v>
      </c>
      <c r="G338" s="10"/>
      <c r="H338" s="10"/>
      <c r="I338" s="11">
        <v>1999.0</v>
      </c>
      <c r="J338" s="11">
        <v>7990.0</v>
      </c>
      <c r="K338" s="12">
        <f t="shared" si="1"/>
        <v>0.7498122653</v>
      </c>
      <c r="L338" s="13">
        <f>IFERROR(__xludf.DUMMYFUNCTION("GOOGLEFINANCE(""CURRENCY:INRBRL"") * I338
"),117.70446708562)</f>
        <v>117.7044671</v>
      </c>
      <c r="M338" s="9">
        <v>4.51</v>
      </c>
      <c r="N338" s="9">
        <v>17831.0</v>
      </c>
      <c r="O338" s="9" t="s">
        <v>1399</v>
      </c>
      <c r="P338" s="14" t="s">
        <v>1400</v>
      </c>
      <c r="U338" s="17"/>
      <c r="V338" s="18"/>
      <c r="W338" s="16"/>
      <c r="X338" s="16"/>
      <c r="Y338" s="16"/>
    </row>
    <row r="339">
      <c r="A339" s="9" t="s">
        <v>1401</v>
      </c>
      <c r="B339" s="10" t="s">
        <v>1402</v>
      </c>
      <c r="C339" s="10" t="s">
        <v>1403</v>
      </c>
      <c r="D339" s="10" t="s">
        <v>77</v>
      </c>
      <c r="E339" s="10" t="s">
        <v>1404</v>
      </c>
      <c r="F339" s="10" t="s">
        <v>1405</v>
      </c>
      <c r="G339" s="10" t="s">
        <v>1406</v>
      </c>
      <c r="H339" s="10" t="s">
        <v>1407</v>
      </c>
      <c r="I339" s="11">
        <v>2049.0</v>
      </c>
      <c r="J339" s="11">
        <v>2199.0</v>
      </c>
      <c r="K339" s="12">
        <f t="shared" si="1"/>
        <v>0.06821282401</v>
      </c>
      <c r="L339" s="13">
        <f>IFERROR(__xludf.DUMMYFUNCTION("GOOGLEFINANCE(""CURRENCY:INRBRL"") * I339
"),120.64855080462)</f>
        <v>120.6485508</v>
      </c>
      <c r="M339" s="9">
        <v>4.5</v>
      </c>
      <c r="N339" s="9">
        <v>178912.0</v>
      </c>
      <c r="O339" s="9" t="s">
        <v>1408</v>
      </c>
      <c r="P339" s="14" t="s">
        <v>1409</v>
      </c>
      <c r="U339" s="17"/>
      <c r="V339" s="18"/>
      <c r="W339" s="16"/>
      <c r="X339" s="16"/>
      <c r="Y339" s="16"/>
    </row>
    <row r="340">
      <c r="A340" s="9" t="s">
        <v>1410</v>
      </c>
      <c r="B340" s="10" t="s">
        <v>1411</v>
      </c>
      <c r="C340" s="10" t="s">
        <v>1412</v>
      </c>
      <c r="D340" s="10" t="s">
        <v>77</v>
      </c>
      <c r="E340" s="10" t="s">
        <v>1404</v>
      </c>
      <c r="F340" s="10" t="s">
        <v>1413</v>
      </c>
      <c r="G340" s="10" t="s">
        <v>1414</v>
      </c>
      <c r="H340" s="10"/>
      <c r="I340" s="11">
        <v>6499.0</v>
      </c>
      <c r="J340" s="11">
        <v>8999.0</v>
      </c>
      <c r="K340" s="12">
        <f t="shared" si="1"/>
        <v>0.2778086454</v>
      </c>
      <c r="L340" s="13">
        <f>IFERROR(__xludf.DUMMYFUNCTION("GOOGLEFINANCE(""CURRENCY:INRBRL"") * I340
"),382.67200179562)</f>
        <v>382.6720018</v>
      </c>
      <c r="M340" s="9">
        <v>4.0</v>
      </c>
      <c r="N340" s="9">
        <v>7807.0</v>
      </c>
      <c r="O340" s="9" t="s">
        <v>1415</v>
      </c>
      <c r="P340" s="14" t="s">
        <v>1416</v>
      </c>
      <c r="U340" s="17"/>
      <c r="V340" s="18"/>
      <c r="W340" s="16"/>
      <c r="X340" s="16"/>
      <c r="Y340" s="16"/>
    </row>
    <row r="341">
      <c r="A341" s="9" t="s">
        <v>1417</v>
      </c>
      <c r="B341" s="10" t="s">
        <v>1418</v>
      </c>
      <c r="C341" s="10" t="s">
        <v>1412</v>
      </c>
      <c r="D341" s="10" t="s">
        <v>77</v>
      </c>
      <c r="E341" s="10" t="s">
        <v>1404</v>
      </c>
      <c r="F341" s="10" t="s">
        <v>1413</v>
      </c>
      <c r="G341" s="10" t="s">
        <v>1414</v>
      </c>
      <c r="H341" s="10"/>
      <c r="I341" s="11">
        <v>28999.0</v>
      </c>
      <c r="J341" s="11">
        <v>28999.0</v>
      </c>
      <c r="K341" s="12">
        <f t="shared" si="1"/>
        <v>0</v>
      </c>
      <c r="L341" s="13">
        <f>IFERROR(__xludf.DUMMYFUNCTION("GOOGLEFINANCE(""CURRENCY:INRBRL"") * I341
"),1707.50967534562)</f>
        <v>1707.509675</v>
      </c>
      <c r="M341" s="9">
        <v>4.5</v>
      </c>
      <c r="N341" s="9">
        <v>17415.0</v>
      </c>
      <c r="O341" s="9" t="s">
        <v>1419</v>
      </c>
      <c r="P341" s="14" t="s">
        <v>1420</v>
      </c>
      <c r="U341" s="17"/>
      <c r="V341" s="18"/>
      <c r="W341" s="16"/>
      <c r="X341" s="16"/>
      <c r="Y341" s="16"/>
    </row>
    <row r="342">
      <c r="A342" s="9" t="s">
        <v>1421</v>
      </c>
      <c r="B342" s="10" t="s">
        <v>1422</v>
      </c>
      <c r="C342" s="10" t="s">
        <v>1412</v>
      </c>
      <c r="D342" s="10" t="s">
        <v>77</v>
      </c>
      <c r="E342" s="10" t="s">
        <v>1404</v>
      </c>
      <c r="F342" s="10" t="s">
        <v>1413</v>
      </c>
      <c r="G342" s="10" t="s">
        <v>1414</v>
      </c>
      <c r="H342" s="10"/>
      <c r="I342" s="11">
        <v>28999.0</v>
      </c>
      <c r="J342" s="11">
        <v>28999.0</v>
      </c>
      <c r="K342" s="12">
        <f t="shared" si="1"/>
        <v>0</v>
      </c>
      <c r="L342" s="13">
        <f>IFERROR(__xludf.DUMMYFUNCTION("GOOGLEFINANCE(""CURRENCY:INRBRL"") * I342
"),1707.50967534562)</f>
        <v>1707.509675</v>
      </c>
      <c r="M342" s="9">
        <v>4.5</v>
      </c>
      <c r="N342" s="9">
        <v>17415.0</v>
      </c>
      <c r="O342" s="9" t="s">
        <v>1423</v>
      </c>
      <c r="P342" s="14" t="s">
        <v>1424</v>
      </c>
      <c r="U342" s="17"/>
      <c r="V342" s="18"/>
      <c r="W342" s="16"/>
      <c r="X342" s="16"/>
      <c r="Y342" s="16"/>
    </row>
    <row r="343">
      <c r="A343" s="9" t="s">
        <v>1425</v>
      </c>
      <c r="B343" s="10" t="s">
        <v>1426</v>
      </c>
      <c r="C343" s="10" t="s">
        <v>1412</v>
      </c>
      <c r="D343" s="10" t="s">
        <v>77</v>
      </c>
      <c r="E343" s="10" t="s">
        <v>1404</v>
      </c>
      <c r="F343" s="10" t="s">
        <v>1413</v>
      </c>
      <c r="G343" s="10" t="s">
        <v>1414</v>
      </c>
      <c r="H343" s="10"/>
      <c r="I343" s="11">
        <v>6499.0</v>
      </c>
      <c r="J343" s="11">
        <v>8999.0</v>
      </c>
      <c r="K343" s="12">
        <f t="shared" si="1"/>
        <v>0.2778086454</v>
      </c>
      <c r="L343" s="13">
        <f>IFERROR(__xludf.DUMMYFUNCTION("GOOGLEFINANCE(""CURRENCY:INRBRL"") * I343
"),382.67200179562)</f>
        <v>382.6720018</v>
      </c>
      <c r="M343" s="9">
        <v>4.0</v>
      </c>
      <c r="N343" s="9">
        <v>7807.0</v>
      </c>
      <c r="O343" s="9" t="s">
        <v>1415</v>
      </c>
      <c r="P343" s="14" t="s">
        <v>1427</v>
      </c>
      <c r="U343" s="17"/>
      <c r="V343" s="18"/>
      <c r="W343" s="16"/>
      <c r="X343" s="16"/>
      <c r="Y343" s="16"/>
    </row>
    <row r="344">
      <c r="A344" s="9" t="s">
        <v>1428</v>
      </c>
      <c r="B344" s="10" t="s">
        <v>1429</v>
      </c>
      <c r="C344" s="10" t="s">
        <v>1412</v>
      </c>
      <c r="D344" s="10" t="s">
        <v>77</v>
      </c>
      <c r="E344" s="10" t="s">
        <v>1404</v>
      </c>
      <c r="F344" s="10" t="s">
        <v>1413</v>
      </c>
      <c r="G344" s="10" t="s">
        <v>1414</v>
      </c>
      <c r="H344" s="10"/>
      <c r="I344" s="11">
        <v>6499.0</v>
      </c>
      <c r="J344" s="11">
        <v>8999.0</v>
      </c>
      <c r="K344" s="12">
        <f t="shared" si="1"/>
        <v>0.2778086454</v>
      </c>
      <c r="L344" s="13">
        <f>IFERROR(__xludf.DUMMYFUNCTION("GOOGLEFINANCE(""CURRENCY:INRBRL"") * I344
"),382.67200179562)</f>
        <v>382.6720018</v>
      </c>
      <c r="M344" s="9">
        <v>4.0</v>
      </c>
      <c r="N344" s="9">
        <v>7807.0</v>
      </c>
      <c r="O344" s="9" t="s">
        <v>1415</v>
      </c>
      <c r="P344" s="14" t="s">
        <v>1430</v>
      </c>
      <c r="U344" s="17"/>
      <c r="V344" s="18"/>
      <c r="W344" s="16"/>
      <c r="X344" s="16"/>
      <c r="Y344" s="16"/>
    </row>
    <row r="345">
      <c r="A345" s="9" t="s">
        <v>1431</v>
      </c>
      <c r="B345" s="10" t="s">
        <v>1432</v>
      </c>
      <c r="C345" s="10" t="s">
        <v>1433</v>
      </c>
      <c r="D345" s="10" t="s">
        <v>77</v>
      </c>
      <c r="E345" s="10" t="s">
        <v>79</v>
      </c>
      <c r="F345" s="10" t="s">
        <v>1434</v>
      </c>
      <c r="G345" s="10" t="s">
        <v>1435</v>
      </c>
      <c r="H345" s="10"/>
      <c r="I345" s="11">
        <v>569.0</v>
      </c>
      <c r="J345" s="11">
        <v>1000.0</v>
      </c>
      <c r="K345" s="12">
        <f t="shared" si="1"/>
        <v>0.431</v>
      </c>
      <c r="L345" s="13">
        <f>IFERROR(__xludf.DUMMYFUNCTION("GOOGLEFINANCE(""CURRENCY:INRBRL"") * I345
"),33.503672722219996)</f>
        <v>33.50367272</v>
      </c>
      <c r="M345" s="9">
        <v>4.5</v>
      </c>
      <c r="N345" s="9">
        <v>67259.0</v>
      </c>
      <c r="O345" s="9" t="s">
        <v>1436</v>
      </c>
      <c r="P345" s="14" t="s">
        <v>1437</v>
      </c>
      <c r="U345" s="17"/>
      <c r="V345" s="18"/>
      <c r="W345" s="16"/>
      <c r="X345" s="16"/>
      <c r="Y345" s="16"/>
    </row>
    <row r="346">
      <c r="A346" s="9" t="s">
        <v>1438</v>
      </c>
      <c r="B346" s="10" t="s">
        <v>1439</v>
      </c>
      <c r="C346" s="10" t="s">
        <v>1388</v>
      </c>
      <c r="D346" s="10" t="s">
        <v>77</v>
      </c>
      <c r="E346" s="10" t="s">
        <v>1389</v>
      </c>
      <c r="F346" s="10" t="s">
        <v>1390</v>
      </c>
      <c r="G346" s="10"/>
      <c r="H346" s="10"/>
      <c r="I346" s="11">
        <v>1898.0</v>
      </c>
      <c r="J346" s="11">
        <v>4999.0</v>
      </c>
      <c r="K346" s="12">
        <f t="shared" si="1"/>
        <v>0.6203240648</v>
      </c>
      <c r="L346" s="13">
        <f>IFERROR(__xludf.DUMMYFUNCTION("GOOGLEFINANCE(""CURRENCY:INRBRL"") * I346
"),111.75741797324)</f>
        <v>111.757418</v>
      </c>
      <c r="M346" s="9">
        <v>4.49</v>
      </c>
      <c r="N346" s="9">
        <v>10689.0</v>
      </c>
      <c r="O346" s="9" t="s">
        <v>1440</v>
      </c>
      <c r="P346" s="14" t="s">
        <v>1441</v>
      </c>
      <c r="U346" s="17"/>
      <c r="V346" s="18"/>
      <c r="W346" s="16"/>
      <c r="X346" s="16"/>
      <c r="Y346" s="16"/>
    </row>
    <row r="347">
      <c r="A347" s="9" t="s">
        <v>1442</v>
      </c>
      <c r="B347" s="10" t="s">
        <v>1443</v>
      </c>
      <c r="C347" s="10" t="s">
        <v>1444</v>
      </c>
      <c r="D347" s="10" t="s">
        <v>77</v>
      </c>
      <c r="E347" s="10" t="s">
        <v>1404</v>
      </c>
      <c r="F347" s="10" t="s">
        <v>1413</v>
      </c>
      <c r="G347" s="10" t="s">
        <v>1445</v>
      </c>
      <c r="H347" s="10"/>
      <c r="I347" s="11">
        <v>1299.0</v>
      </c>
      <c r="J347" s="11">
        <v>1599.0</v>
      </c>
      <c r="K347" s="12">
        <f t="shared" si="1"/>
        <v>0.1876172608</v>
      </c>
      <c r="L347" s="13">
        <f>IFERROR(__xludf.DUMMYFUNCTION("GOOGLEFINANCE(""CURRENCY:INRBRL"") * I347
"),76.48729501961999)</f>
        <v>76.48729502</v>
      </c>
      <c r="M347" s="9">
        <v>4.0</v>
      </c>
      <c r="N347" s="9">
        <v>128311.0</v>
      </c>
      <c r="O347" s="9" t="s">
        <v>1446</v>
      </c>
      <c r="P347" s="14" t="s">
        <v>1447</v>
      </c>
      <c r="U347" s="17"/>
      <c r="V347" s="18"/>
      <c r="W347" s="16"/>
      <c r="X347" s="16"/>
      <c r="Y347" s="16"/>
    </row>
    <row r="348">
      <c r="A348" s="9" t="s">
        <v>1448</v>
      </c>
      <c r="B348" s="10" t="s">
        <v>1449</v>
      </c>
      <c r="C348" s="10" t="s">
        <v>1388</v>
      </c>
      <c r="D348" s="10" t="s">
        <v>77</v>
      </c>
      <c r="E348" s="10" t="s">
        <v>1389</v>
      </c>
      <c r="F348" s="10" t="s">
        <v>1390</v>
      </c>
      <c r="G348" s="10"/>
      <c r="H348" s="10"/>
      <c r="I348" s="11">
        <v>1499.0</v>
      </c>
      <c r="J348" s="11">
        <v>6990.0</v>
      </c>
      <c r="K348" s="12">
        <f t="shared" si="1"/>
        <v>0.7855507868</v>
      </c>
      <c r="L348" s="13">
        <f>IFERROR(__xludf.DUMMYFUNCTION("GOOGLEFINANCE(""CURRENCY:INRBRL"") * I348
"),88.26362989562)</f>
        <v>88.2636299</v>
      </c>
      <c r="M348" s="9">
        <v>4.52</v>
      </c>
      <c r="N348" s="9">
        <v>21796.0</v>
      </c>
      <c r="O348" s="9" t="s">
        <v>1450</v>
      </c>
      <c r="P348" s="14" t="s">
        <v>1451</v>
      </c>
      <c r="U348" s="17"/>
      <c r="V348" s="18"/>
      <c r="W348" s="16"/>
      <c r="X348" s="16"/>
      <c r="Y348" s="16"/>
    </row>
    <row r="349">
      <c r="A349" s="9" t="s">
        <v>1452</v>
      </c>
      <c r="B349" s="10" t="s">
        <v>1453</v>
      </c>
      <c r="C349" s="10" t="s">
        <v>1454</v>
      </c>
      <c r="D349" s="10" t="s">
        <v>77</v>
      </c>
      <c r="E349" s="10" t="s">
        <v>1455</v>
      </c>
      <c r="F349" s="10" t="s">
        <v>1456</v>
      </c>
      <c r="G349" s="10" t="s">
        <v>1457</v>
      </c>
      <c r="H349" s="10"/>
      <c r="I349" s="11">
        <v>599.0</v>
      </c>
      <c r="J349" s="11">
        <v>999.0</v>
      </c>
      <c r="K349" s="12">
        <f t="shared" si="1"/>
        <v>0.4004004004</v>
      </c>
      <c r="L349" s="13">
        <f>IFERROR(__xludf.DUMMYFUNCTION("GOOGLEFINANCE(""CURRENCY:INRBRL"") * I349
"),35.270122953619996)</f>
        <v>35.27012295</v>
      </c>
      <c r="M349" s="9">
        <v>4.49</v>
      </c>
      <c r="N349" s="9">
        <v>192590.0</v>
      </c>
      <c r="O349" s="9" t="s">
        <v>1458</v>
      </c>
      <c r="P349" s="14" t="s">
        <v>1459</v>
      </c>
      <c r="U349" s="17"/>
      <c r="V349" s="18"/>
      <c r="W349" s="16"/>
      <c r="X349" s="16"/>
      <c r="Y349" s="16"/>
    </row>
    <row r="350">
      <c r="A350" s="9" t="s">
        <v>1460</v>
      </c>
      <c r="B350" s="10" t="s">
        <v>1461</v>
      </c>
      <c r="C350" s="10" t="s">
        <v>1412</v>
      </c>
      <c r="D350" s="10" t="s">
        <v>77</v>
      </c>
      <c r="E350" s="10" t="s">
        <v>1404</v>
      </c>
      <c r="F350" s="10" t="s">
        <v>1413</v>
      </c>
      <c r="G350" s="10" t="s">
        <v>1414</v>
      </c>
      <c r="H350" s="10"/>
      <c r="I350" s="11">
        <v>9499.0</v>
      </c>
      <c r="J350" s="11">
        <v>11999.0</v>
      </c>
      <c r="K350" s="12">
        <f t="shared" si="1"/>
        <v>0.2083506959</v>
      </c>
      <c r="L350" s="13">
        <f>IFERROR(__xludf.DUMMYFUNCTION("GOOGLEFINANCE(""CURRENCY:INRBRL"") * I350
"),559.31702493562)</f>
        <v>559.3170249</v>
      </c>
      <c r="M350" s="9">
        <v>4.5</v>
      </c>
      <c r="N350" s="9">
        <v>284.0</v>
      </c>
      <c r="O350" s="9" t="s">
        <v>1462</v>
      </c>
      <c r="P350" s="14" t="s">
        <v>1463</v>
      </c>
      <c r="U350" s="17"/>
      <c r="V350" s="18"/>
      <c r="W350" s="16"/>
      <c r="X350" s="16"/>
      <c r="Y350" s="16"/>
    </row>
    <row r="351">
      <c r="A351" s="9" t="s">
        <v>1464</v>
      </c>
      <c r="B351" s="10" t="s">
        <v>1465</v>
      </c>
      <c r="C351" s="10" t="s">
        <v>1454</v>
      </c>
      <c r="D351" s="10" t="s">
        <v>77</v>
      </c>
      <c r="E351" s="10" t="s">
        <v>1455</v>
      </c>
      <c r="F351" s="10" t="s">
        <v>1456</v>
      </c>
      <c r="G351" s="10" t="s">
        <v>1457</v>
      </c>
      <c r="H351" s="10"/>
      <c r="I351" s="11">
        <v>599.0</v>
      </c>
      <c r="J351" s="11">
        <v>2499.0</v>
      </c>
      <c r="K351" s="12">
        <f t="shared" si="1"/>
        <v>0.7603041216</v>
      </c>
      <c r="L351" s="13">
        <f>IFERROR(__xludf.DUMMYFUNCTION("GOOGLEFINANCE(""CURRENCY:INRBRL"") * I351
"),35.270122953619996)</f>
        <v>35.27012295</v>
      </c>
      <c r="M351" s="9">
        <v>4.52</v>
      </c>
      <c r="N351" s="9">
        <v>58162.0</v>
      </c>
      <c r="O351" s="9" t="s">
        <v>1466</v>
      </c>
      <c r="P351" s="14" t="s">
        <v>1467</v>
      </c>
      <c r="U351" s="17"/>
      <c r="V351" s="18"/>
      <c r="W351" s="16"/>
      <c r="X351" s="16"/>
      <c r="Y351" s="16"/>
    </row>
    <row r="352">
      <c r="A352" s="9" t="s">
        <v>1468</v>
      </c>
      <c r="B352" s="10" t="s">
        <v>1469</v>
      </c>
      <c r="C352" s="10" t="s">
        <v>1412</v>
      </c>
      <c r="D352" s="10" t="s">
        <v>77</v>
      </c>
      <c r="E352" s="10" t="s">
        <v>1404</v>
      </c>
      <c r="F352" s="10" t="s">
        <v>1413</v>
      </c>
      <c r="G352" s="10" t="s">
        <v>1414</v>
      </c>
      <c r="H352" s="10"/>
      <c r="I352" s="11">
        <v>8999.0</v>
      </c>
      <c r="J352" s="11">
        <v>11999.0</v>
      </c>
      <c r="K352" s="12">
        <f t="shared" si="1"/>
        <v>0.2500208351</v>
      </c>
      <c r="L352" s="13">
        <f>IFERROR(__xludf.DUMMYFUNCTION("GOOGLEFINANCE(""CURRENCY:INRBRL"") * I352
"),529.87618774562)</f>
        <v>529.8761877</v>
      </c>
      <c r="M352" s="9">
        <v>4.0</v>
      </c>
      <c r="N352" s="9">
        <v>12796.0</v>
      </c>
      <c r="O352" s="9" t="s">
        <v>1470</v>
      </c>
      <c r="P352" s="14" t="s">
        <v>1471</v>
      </c>
      <c r="U352" s="17"/>
      <c r="V352" s="18"/>
      <c r="W352" s="16"/>
      <c r="X352" s="16"/>
      <c r="Y352" s="16"/>
    </row>
    <row r="353">
      <c r="A353" s="9" t="s">
        <v>1472</v>
      </c>
      <c r="B353" s="10" t="s">
        <v>1473</v>
      </c>
      <c r="C353" s="10" t="s">
        <v>1474</v>
      </c>
      <c r="D353" s="10" t="s">
        <v>77</v>
      </c>
      <c r="E353" s="10" t="s">
        <v>1404</v>
      </c>
      <c r="F353" s="10" t="s">
        <v>1405</v>
      </c>
      <c r="G353" s="10" t="s">
        <v>1406</v>
      </c>
      <c r="H353" s="10" t="s">
        <v>1475</v>
      </c>
      <c r="I353" s="11">
        <v>349.0</v>
      </c>
      <c r="J353" s="11">
        <v>1299.0</v>
      </c>
      <c r="K353" s="12">
        <f t="shared" si="1"/>
        <v>0.7313317937</v>
      </c>
      <c r="L353" s="13">
        <f>IFERROR(__xludf.DUMMYFUNCTION("GOOGLEFINANCE(""CURRENCY:INRBRL"") * I353
"),20.549704358619998)</f>
        <v>20.54970436</v>
      </c>
      <c r="M353" s="9">
        <v>4.0</v>
      </c>
      <c r="N353" s="9">
        <v>14282.0</v>
      </c>
      <c r="O353" s="9" t="s">
        <v>1476</v>
      </c>
      <c r="P353" s="14" t="s">
        <v>1477</v>
      </c>
      <c r="U353" s="17"/>
      <c r="V353" s="18"/>
      <c r="W353" s="16"/>
      <c r="X353" s="16"/>
      <c r="Y353" s="16"/>
    </row>
    <row r="354">
      <c r="A354" s="9" t="s">
        <v>1478</v>
      </c>
      <c r="B354" s="10" t="s">
        <v>1479</v>
      </c>
      <c r="C354" s="10" t="s">
        <v>1454</v>
      </c>
      <c r="D354" s="10" t="s">
        <v>77</v>
      </c>
      <c r="E354" s="10" t="s">
        <v>1455</v>
      </c>
      <c r="F354" s="10" t="s">
        <v>1456</v>
      </c>
      <c r="G354" s="10" t="s">
        <v>1457</v>
      </c>
      <c r="H354" s="10"/>
      <c r="I354" s="11">
        <v>349.0</v>
      </c>
      <c r="J354" s="11">
        <v>999.0</v>
      </c>
      <c r="K354" s="12">
        <f t="shared" si="1"/>
        <v>0.6506506507</v>
      </c>
      <c r="L354" s="13">
        <f>IFERROR(__xludf.DUMMYFUNCTION("GOOGLEFINANCE(""CURRENCY:INRBRL"") * I354
"),20.549704358619998)</f>
        <v>20.54970436</v>
      </c>
      <c r="M354" s="9">
        <v>4.49</v>
      </c>
      <c r="N354" s="9">
        <v>363713.0</v>
      </c>
      <c r="O354" s="9" t="s">
        <v>1480</v>
      </c>
      <c r="P354" s="14" t="s">
        <v>1481</v>
      </c>
      <c r="U354" s="17"/>
      <c r="V354" s="18"/>
      <c r="W354" s="16"/>
      <c r="X354" s="16"/>
      <c r="Y354" s="16"/>
    </row>
    <row r="355">
      <c r="A355" s="9" t="s">
        <v>1482</v>
      </c>
      <c r="B355" s="10" t="s">
        <v>1483</v>
      </c>
      <c r="C355" s="10" t="s">
        <v>1433</v>
      </c>
      <c r="D355" s="10" t="s">
        <v>77</v>
      </c>
      <c r="E355" s="10" t="s">
        <v>79</v>
      </c>
      <c r="F355" s="10" t="s">
        <v>1434</v>
      </c>
      <c r="G355" s="10" t="s">
        <v>1435</v>
      </c>
      <c r="H355" s="10"/>
      <c r="I355" s="11">
        <v>959.0</v>
      </c>
      <c r="J355" s="11">
        <v>1800.0</v>
      </c>
      <c r="K355" s="12">
        <f t="shared" si="1"/>
        <v>0.4672222222</v>
      </c>
      <c r="L355" s="13">
        <f>IFERROR(__xludf.DUMMYFUNCTION("GOOGLEFINANCE(""CURRENCY:INRBRL"") * I355
"),56.46752573042)</f>
        <v>56.46752573</v>
      </c>
      <c r="M355" s="9">
        <v>4.5</v>
      </c>
      <c r="N355" s="9">
        <v>67259.0</v>
      </c>
      <c r="O355" s="9" t="s">
        <v>1436</v>
      </c>
      <c r="P355" s="14" t="s">
        <v>1484</v>
      </c>
      <c r="U355" s="17"/>
      <c r="V355" s="18"/>
      <c r="W355" s="16"/>
      <c r="X355" s="16"/>
      <c r="Y355" s="16"/>
    </row>
    <row r="356">
      <c r="A356" s="9" t="s">
        <v>1485</v>
      </c>
      <c r="B356" s="10" t="s">
        <v>1486</v>
      </c>
      <c r="C356" s="10" t="s">
        <v>1412</v>
      </c>
      <c r="D356" s="10" t="s">
        <v>77</v>
      </c>
      <c r="E356" s="10" t="s">
        <v>1404</v>
      </c>
      <c r="F356" s="10" t="s">
        <v>1413</v>
      </c>
      <c r="G356" s="10" t="s">
        <v>1414</v>
      </c>
      <c r="H356" s="10"/>
      <c r="I356" s="11">
        <v>9499.0</v>
      </c>
      <c r="J356" s="11">
        <v>11999.0</v>
      </c>
      <c r="K356" s="12">
        <f t="shared" si="1"/>
        <v>0.2083506959</v>
      </c>
      <c r="L356" s="13">
        <f>IFERROR(__xludf.DUMMYFUNCTION("GOOGLEFINANCE(""CURRENCY:INRBRL"") * I356
"),559.31702493562)</f>
        <v>559.3170249</v>
      </c>
      <c r="M356" s="9">
        <v>4.5</v>
      </c>
      <c r="N356" s="9">
        <v>284.0</v>
      </c>
      <c r="O356" s="9" t="s">
        <v>1462</v>
      </c>
      <c r="P356" s="14" t="s">
        <v>1487</v>
      </c>
      <c r="U356" s="17"/>
      <c r="V356" s="18"/>
      <c r="W356" s="16"/>
      <c r="X356" s="16"/>
      <c r="Y356" s="16"/>
    </row>
    <row r="357">
      <c r="A357" s="9" t="s">
        <v>1488</v>
      </c>
      <c r="B357" s="10" t="s">
        <v>1489</v>
      </c>
      <c r="C357" s="10" t="s">
        <v>1403</v>
      </c>
      <c r="D357" s="10" t="s">
        <v>77</v>
      </c>
      <c r="E357" s="10" t="s">
        <v>1404</v>
      </c>
      <c r="F357" s="10" t="s">
        <v>1405</v>
      </c>
      <c r="G357" s="10" t="s">
        <v>1406</v>
      </c>
      <c r="H357" s="10" t="s">
        <v>1407</v>
      </c>
      <c r="I357" s="11">
        <v>1499.0</v>
      </c>
      <c r="J357" s="11">
        <v>2499.0</v>
      </c>
      <c r="K357" s="12">
        <f t="shared" si="1"/>
        <v>0.400160064</v>
      </c>
      <c r="L357" s="13">
        <f>IFERROR(__xludf.DUMMYFUNCTION("GOOGLEFINANCE(""CURRENCY:INRBRL"") * I357
"),88.26362989562)</f>
        <v>88.2636299</v>
      </c>
      <c r="M357" s="9">
        <v>4.5</v>
      </c>
      <c r="N357" s="9">
        <v>1597.0</v>
      </c>
      <c r="O357" s="9" t="s">
        <v>1490</v>
      </c>
      <c r="P357" s="14" t="s">
        <v>1491</v>
      </c>
      <c r="U357" s="17"/>
      <c r="V357" s="18"/>
      <c r="W357" s="16"/>
      <c r="X357" s="16"/>
      <c r="Y357" s="16"/>
    </row>
    <row r="358">
      <c r="A358" s="9" t="s">
        <v>1492</v>
      </c>
      <c r="B358" s="10" t="s">
        <v>1493</v>
      </c>
      <c r="C358" s="10" t="s">
        <v>1403</v>
      </c>
      <c r="D358" s="10" t="s">
        <v>77</v>
      </c>
      <c r="E358" s="10" t="s">
        <v>1404</v>
      </c>
      <c r="F358" s="10" t="s">
        <v>1405</v>
      </c>
      <c r="G358" s="10" t="s">
        <v>1406</v>
      </c>
      <c r="H358" s="10" t="s">
        <v>1407</v>
      </c>
      <c r="I358" s="11">
        <v>1149.0</v>
      </c>
      <c r="J358" s="11">
        <v>2199.0</v>
      </c>
      <c r="K358" s="12">
        <f t="shared" si="1"/>
        <v>0.4774897681</v>
      </c>
      <c r="L358" s="13">
        <f>IFERROR(__xludf.DUMMYFUNCTION("GOOGLEFINANCE(""CURRENCY:INRBRL"") * I358
"),67.65504386262)</f>
        <v>67.65504386</v>
      </c>
      <c r="M358" s="9">
        <v>4.5</v>
      </c>
      <c r="N358" s="9">
        <v>178912.0</v>
      </c>
      <c r="O358" s="9" t="s">
        <v>1494</v>
      </c>
      <c r="P358" s="14" t="s">
        <v>1495</v>
      </c>
      <c r="U358" s="17"/>
      <c r="V358" s="18"/>
      <c r="W358" s="16"/>
      <c r="X358" s="16"/>
      <c r="Y358" s="16"/>
    </row>
    <row r="359">
      <c r="A359" s="9" t="s">
        <v>1496</v>
      </c>
      <c r="B359" s="10" t="s">
        <v>1497</v>
      </c>
      <c r="C359" s="10" t="s">
        <v>1498</v>
      </c>
      <c r="D359" s="10" t="s">
        <v>77</v>
      </c>
      <c r="E359" s="10" t="s">
        <v>1404</v>
      </c>
      <c r="F359" s="10" t="s">
        <v>1405</v>
      </c>
      <c r="G359" s="10" t="s">
        <v>1499</v>
      </c>
      <c r="H359" s="10" t="s">
        <v>1500</v>
      </c>
      <c r="I359" s="11">
        <v>349.0</v>
      </c>
      <c r="J359" s="11">
        <v>999.0</v>
      </c>
      <c r="K359" s="12">
        <f t="shared" si="1"/>
        <v>0.6506506507</v>
      </c>
      <c r="L359" s="13">
        <f>IFERROR(__xludf.DUMMYFUNCTION("GOOGLEFINANCE(""CURRENCY:INRBRL"") * I359
"),20.549704358619998)</f>
        <v>20.54970436</v>
      </c>
      <c r="M359" s="9">
        <v>4.52</v>
      </c>
      <c r="N359" s="9">
        <v>46399.0</v>
      </c>
      <c r="O359" s="9" t="s">
        <v>1501</v>
      </c>
      <c r="P359" s="14" t="s">
        <v>1502</v>
      </c>
      <c r="U359" s="17"/>
      <c r="V359" s="18"/>
      <c r="W359" s="16"/>
      <c r="X359" s="16"/>
      <c r="Y359" s="16"/>
    </row>
    <row r="360">
      <c r="A360" s="9" t="s">
        <v>1503</v>
      </c>
      <c r="B360" s="10" t="s">
        <v>1504</v>
      </c>
      <c r="C360" s="10" t="s">
        <v>1505</v>
      </c>
      <c r="D360" s="10" t="s">
        <v>77</v>
      </c>
      <c r="E360" s="10" t="s">
        <v>1404</v>
      </c>
      <c r="F360" s="10" t="s">
        <v>1405</v>
      </c>
      <c r="G360" s="10" t="s">
        <v>1406</v>
      </c>
      <c r="H360" s="10" t="s">
        <v>1506</v>
      </c>
      <c r="I360" s="11">
        <v>1219.0</v>
      </c>
      <c r="J360" s="11">
        <v>1699.0</v>
      </c>
      <c r="K360" s="12">
        <f t="shared" si="1"/>
        <v>0.2825191289</v>
      </c>
      <c r="L360" s="13">
        <f>IFERROR(__xludf.DUMMYFUNCTION("GOOGLEFINANCE(""CURRENCY:INRBRL"") * I360
"),71.77676106922)</f>
        <v>71.77676107</v>
      </c>
      <c r="M360" s="9">
        <v>4.5</v>
      </c>
      <c r="N360" s="9">
        <v>8891.0</v>
      </c>
      <c r="O360" s="9" t="s">
        <v>1507</v>
      </c>
      <c r="P360" s="14" t="s">
        <v>1508</v>
      </c>
      <c r="U360" s="17"/>
      <c r="V360" s="18"/>
      <c r="W360" s="16"/>
      <c r="X360" s="16"/>
      <c r="Y360" s="16"/>
    </row>
    <row r="361">
      <c r="A361" s="9" t="s">
        <v>1509</v>
      </c>
      <c r="B361" s="10" t="s">
        <v>1510</v>
      </c>
      <c r="C361" s="10" t="s">
        <v>1388</v>
      </c>
      <c r="D361" s="10" t="s">
        <v>77</v>
      </c>
      <c r="E361" s="10" t="s">
        <v>1389</v>
      </c>
      <c r="F361" s="10" t="s">
        <v>1390</v>
      </c>
      <c r="G361" s="10"/>
      <c r="H361" s="10"/>
      <c r="I361" s="11">
        <v>1599.0</v>
      </c>
      <c r="J361" s="11">
        <v>3999.0</v>
      </c>
      <c r="K361" s="12">
        <f t="shared" si="1"/>
        <v>0.6001500375</v>
      </c>
      <c r="L361" s="13">
        <f>IFERROR(__xludf.DUMMYFUNCTION("GOOGLEFINANCE(""CURRENCY:INRBRL"") * I361
"),94.15179733362)</f>
        <v>94.15179733</v>
      </c>
      <c r="M361" s="9">
        <v>4.0</v>
      </c>
      <c r="N361" s="9">
        <v>30254.0</v>
      </c>
      <c r="O361" s="9" t="s">
        <v>1511</v>
      </c>
      <c r="P361" s="14" t="s">
        <v>1512</v>
      </c>
      <c r="U361" s="17"/>
      <c r="V361" s="18"/>
      <c r="W361" s="16"/>
      <c r="X361" s="16"/>
      <c r="Y361" s="16"/>
    </row>
    <row r="362">
      <c r="A362" s="9" t="s">
        <v>1513</v>
      </c>
      <c r="B362" s="10" t="s">
        <v>1514</v>
      </c>
      <c r="C362" s="10" t="s">
        <v>1388</v>
      </c>
      <c r="D362" s="10" t="s">
        <v>77</v>
      </c>
      <c r="E362" s="10" t="s">
        <v>1389</v>
      </c>
      <c r="F362" s="10" t="s">
        <v>1390</v>
      </c>
      <c r="G362" s="10"/>
      <c r="H362" s="10"/>
      <c r="I362" s="11">
        <v>1499.0</v>
      </c>
      <c r="J362" s="11">
        <v>7999.0</v>
      </c>
      <c r="K362" s="12">
        <f t="shared" si="1"/>
        <v>0.8126015752</v>
      </c>
      <c r="L362" s="13">
        <f>IFERROR(__xludf.DUMMYFUNCTION("GOOGLEFINANCE(""CURRENCY:INRBRL"") * I362
"),88.26362989562)</f>
        <v>88.2636299</v>
      </c>
      <c r="M362" s="9">
        <v>4.5</v>
      </c>
      <c r="N362" s="9">
        <v>22636.0</v>
      </c>
      <c r="O362" s="9" t="s">
        <v>1515</v>
      </c>
      <c r="P362" s="14" t="s">
        <v>1516</v>
      </c>
      <c r="U362" s="17"/>
      <c r="V362" s="18"/>
      <c r="W362" s="16"/>
      <c r="X362" s="16"/>
      <c r="Y362" s="16"/>
    </row>
    <row r="363">
      <c r="A363" s="9" t="s">
        <v>1517</v>
      </c>
      <c r="B363" s="10" t="s">
        <v>1518</v>
      </c>
      <c r="C363" s="10" t="s">
        <v>1412</v>
      </c>
      <c r="D363" s="10" t="s">
        <v>77</v>
      </c>
      <c r="E363" s="10" t="s">
        <v>1404</v>
      </c>
      <c r="F363" s="10" t="s">
        <v>1413</v>
      </c>
      <c r="G363" s="10" t="s">
        <v>1414</v>
      </c>
      <c r="H363" s="10"/>
      <c r="I363" s="11">
        <v>18499.0</v>
      </c>
      <c r="J363" s="11">
        <v>25999.0</v>
      </c>
      <c r="K363" s="12">
        <f t="shared" si="1"/>
        <v>0.2884726336</v>
      </c>
      <c r="L363" s="13">
        <f>IFERROR(__xludf.DUMMYFUNCTION("GOOGLEFINANCE(""CURRENCY:INRBRL"") * I363
"),1089.2520943556199)</f>
        <v>1089.252094</v>
      </c>
      <c r="M363" s="9">
        <v>4.49</v>
      </c>
      <c r="N363" s="9">
        <v>22318.0</v>
      </c>
      <c r="O363" s="9" t="s">
        <v>1519</v>
      </c>
      <c r="P363" s="14" t="s">
        <v>1520</v>
      </c>
      <c r="U363" s="17"/>
      <c r="V363" s="18"/>
      <c r="W363" s="16"/>
      <c r="X363" s="16"/>
      <c r="Y363" s="16"/>
    </row>
    <row r="364">
      <c r="A364" s="9" t="s">
        <v>1521</v>
      </c>
      <c r="B364" s="10" t="s">
        <v>1522</v>
      </c>
      <c r="C364" s="10" t="s">
        <v>1433</v>
      </c>
      <c r="D364" s="10" t="s">
        <v>77</v>
      </c>
      <c r="E364" s="10" t="s">
        <v>79</v>
      </c>
      <c r="F364" s="10" t="s">
        <v>1434</v>
      </c>
      <c r="G364" s="10" t="s">
        <v>1435</v>
      </c>
      <c r="H364" s="10"/>
      <c r="I364" s="11">
        <v>369.0</v>
      </c>
      <c r="J364" s="11">
        <v>700.0</v>
      </c>
      <c r="K364" s="12">
        <f t="shared" si="1"/>
        <v>0.4728571429</v>
      </c>
      <c r="L364" s="13">
        <f>IFERROR(__xludf.DUMMYFUNCTION("GOOGLEFINANCE(""CURRENCY:INRBRL"") * I364
"),21.72733784622)</f>
        <v>21.72733785</v>
      </c>
      <c r="M364" s="9">
        <v>4.5</v>
      </c>
      <c r="N364" s="9">
        <v>67259.0</v>
      </c>
      <c r="O364" s="9" t="s">
        <v>1523</v>
      </c>
      <c r="P364" s="14" t="s">
        <v>1524</v>
      </c>
      <c r="U364" s="17"/>
      <c r="V364" s="18"/>
      <c r="W364" s="16"/>
      <c r="X364" s="16"/>
      <c r="Y364" s="16"/>
    </row>
    <row r="365">
      <c r="A365" s="9" t="s">
        <v>1525</v>
      </c>
      <c r="B365" s="10" t="s">
        <v>1526</v>
      </c>
      <c r="C365" s="10" t="s">
        <v>1412</v>
      </c>
      <c r="D365" s="10" t="s">
        <v>77</v>
      </c>
      <c r="E365" s="10" t="s">
        <v>1404</v>
      </c>
      <c r="F365" s="10" t="s">
        <v>1413</v>
      </c>
      <c r="G365" s="10" t="s">
        <v>1414</v>
      </c>
      <c r="H365" s="10"/>
      <c r="I365" s="11">
        <v>12999.0</v>
      </c>
      <c r="J365" s="11">
        <v>17999.0</v>
      </c>
      <c r="K365" s="12">
        <f t="shared" si="1"/>
        <v>0.2777932107</v>
      </c>
      <c r="L365" s="13">
        <f>IFERROR(__xludf.DUMMYFUNCTION("GOOGLEFINANCE(""CURRENCY:INRBRL"") * I365
"),765.40288526562)</f>
        <v>765.4028853</v>
      </c>
      <c r="M365" s="9">
        <v>4.49</v>
      </c>
      <c r="N365" s="9">
        <v>18998.0</v>
      </c>
      <c r="O365" s="9" t="s">
        <v>1527</v>
      </c>
      <c r="P365" s="14" t="s">
        <v>1528</v>
      </c>
      <c r="U365" s="17"/>
      <c r="V365" s="18"/>
      <c r="W365" s="16"/>
      <c r="X365" s="16"/>
      <c r="Y365" s="16"/>
    </row>
    <row r="366">
      <c r="A366" s="9" t="s">
        <v>1529</v>
      </c>
      <c r="B366" s="10" t="s">
        <v>1387</v>
      </c>
      <c r="C366" s="10" t="s">
        <v>1388</v>
      </c>
      <c r="D366" s="10" t="s">
        <v>77</v>
      </c>
      <c r="E366" s="10" t="s">
        <v>1389</v>
      </c>
      <c r="F366" s="10" t="s">
        <v>1390</v>
      </c>
      <c r="G366" s="10"/>
      <c r="H366" s="10"/>
      <c r="I366" s="11">
        <v>1799.0</v>
      </c>
      <c r="J366" s="11">
        <v>19999.0</v>
      </c>
      <c r="K366" s="12">
        <f t="shared" si="1"/>
        <v>0.9100455023</v>
      </c>
      <c r="L366" s="13">
        <f>IFERROR(__xludf.DUMMYFUNCTION("GOOGLEFINANCE(""CURRENCY:INRBRL"") * I366
"),105.92813220962)</f>
        <v>105.9281322</v>
      </c>
      <c r="M366" s="9">
        <v>4.5</v>
      </c>
      <c r="N366" s="9">
        <v>13937.0</v>
      </c>
      <c r="O366" s="9" t="s">
        <v>1530</v>
      </c>
      <c r="P366" s="14" t="s">
        <v>1531</v>
      </c>
      <c r="U366" s="17"/>
      <c r="V366" s="18"/>
      <c r="W366" s="16"/>
      <c r="X366" s="16"/>
      <c r="Y366" s="16"/>
    </row>
    <row r="367">
      <c r="A367" s="9" t="s">
        <v>1532</v>
      </c>
      <c r="B367" s="10" t="s">
        <v>1533</v>
      </c>
      <c r="C367" s="10" t="s">
        <v>1388</v>
      </c>
      <c r="D367" s="10" t="s">
        <v>77</v>
      </c>
      <c r="E367" s="10" t="s">
        <v>1389</v>
      </c>
      <c r="F367" s="10" t="s">
        <v>1390</v>
      </c>
      <c r="G367" s="10"/>
      <c r="H367" s="10"/>
      <c r="I367" s="11">
        <v>2199.0</v>
      </c>
      <c r="J367" s="11">
        <v>9999.0</v>
      </c>
      <c r="K367" s="12">
        <f t="shared" si="1"/>
        <v>0.7800780078</v>
      </c>
      <c r="L367" s="13">
        <f>IFERROR(__xludf.DUMMYFUNCTION("GOOGLEFINANCE(""CURRENCY:INRBRL"") * I367
"),129.48080196162)</f>
        <v>129.480802</v>
      </c>
      <c r="M367" s="9">
        <v>4.5</v>
      </c>
      <c r="N367" s="9">
        <v>29471.0</v>
      </c>
      <c r="O367" s="9" t="s">
        <v>1534</v>
      </c>
      <c r="P367" s="14" t="s">
        <v>1535</v>
      </c>
      <c r="U367" s="17"/>
      <c r="V367" s="18"/>
      <c r="W367" s="16"/>
      <c r="X367" s="16"/>
      <c r="Y367" s="16"/>
    </row>
    <row r="368">
      <c r="A368" s="9" t="s">
        <v>1536</v>
      </c>
      <c r="B368" s="10" t="s">
        <v>1537</v>
      </c>
      <c r="C368" s="10" t="s">
        <v>1412</v>
      </c>
      <c r="D368" s="10" t="s">
        <v>77</v>
      </c>
      <c r="E368" s="10" t="s">
        <v>1404</v>
      </c>
      <c r="F368" s="10" t="s">
        <v>1413</v>
      </c>
      <c r="G368" s="10" t="s">
        <v>1414</v>
      </c>
      <c r="H368" s="10"/>
      <c r="I368" s="11">
        <v>16999.0</v>
      </c>
      <c r="J368" s="11">
        <v>24999.0</v>
      </c>
      <c r="K368" s="12">
        <f t="shared" si="1"/>
        <v>0.3200128005</v>
      </c>
      <c r="L368" s="13">
        <f>IFERROR(__xludf.DUMMYFUNCTION("GOOGLEFINANCE(""CURRENCY:INRBRL"") * I368
"),1000.92958278562)</f>
        <v>1000.929583</v>
      </c>
      <c r="M368" s="9">
        <v>4.49</v>
      </c>
      <c r="N368" s="9">
        <v>22318.0</v>
      </c>
      <c r="O368" s="9" t="s">
        <v>1538</v>
      </c>
      <c r="P368" s="14" t="s">
        <v>1539</v>
      </c>
      <c r="U368" s="17"/>
      <c r="V368" s="18"/>
      <c r="W368" s="16"/>
      <c r="X368" s="16"/>
      <c r="Y368" s="16"/>
    </row>
    <row r="369">
      <c r="A369" s="9" t="s">
        <v>1540</v>
      </c>
      <c r="B369" s="10" t="s">
        <v>1541</v>
      </c>
      <c r="C369" s="10" t="s">
        <v>1412</v>
      </c>
      <c r="D369" s="10" t="s">
        <v>77</v>
      </c>
      <c r="E369" s="10" t="s">
        <v>1404</v>
      </c>
      <c r="F369" s="10" t="s">
        <v>1413</v>
      </c>
      <c r="G369" s="10" t="s">
        <v>1414</v>
      </c>
      <c r="H369" s="10"/>
      <c r="I369" s="11">
        <v>16499.0</v>
      </c>
      <c r="J369" s="11">
        <v>20999.0</v>
      </c>
      <c r="K369" s="12">
        <f t="shared" si="1"/>
        <v>0.2142959189</v>
      </c>
      <c r="L369" s="13">
        <f>IFERROR(__xludf.DUMMYFUNCTION("GOOGLEFINANCE(""CURRENCY:INRBRL"") * I369
"),971.48874559562)</f>
        <v>971.4887456</v>
      </c>
      <c r="M369" s="9">
        <v>4.0</v>
      </c>
      <c r="N369" s="9">
        <v>2135.0</v>
      </c>
      <c r="O369" s="9" t="s">
        <v>1542</v>
      </c>
      <c r="P369" s="14" t="s">
        <v>1543</v>
      </c>
      <c r="U369" s="17"/>
      <c r="V369" s="18"/>
      <c r="W369" s="16"/>
      <c r="X369" s="16"/>
      <c r="Y369" s="16"/>
    </row>
    <row r="370">
      <c r="A370" s="9" t="s">
        <v>1544</v>
      </c>
      <c r="B370" s="10" t="s">
        <v>1387</v>
      </c>
      <c r="C370" s="10" t="s">
        <v>1388</v>
      </c>
      <c r="D370" s="10" t="s">
        <v>77</v>
      </c>
      <c r="E370" s="10" t="s">
        <v>1389</v>
      </c>
      <c r="F370" s="10" t="s">
        <v>1390</v>
      </c>
      <c r="G370" s="10"/>
      <c r="H370" s="10"/>
      <c r="I370" s="11">
        <v>1799.0</v>
      </c>
      <c r="J370" s="11">
        <v>19999.0</v>
      </c>
      <c r="K370" s="12">
        <f t="shared" si="1"/>
        <v>0.9100455023</v>
      </c>
      <c r="L370" s="13">
        <f>IFERROR(__xludf.DUMMYFUNCTION("GOOGLEFINANCE(""CURRENCY:INRBRL"") * I370
"),105.92813220962)</f>
        <v>105.9281322</v>
      </c>
      <c r="M370" s="9">
        <v>4.5</v>
      </c>
      <c r="N370" s="9">
        <v>13937.0</v>
      </c>
      <c r="O370" s="9" t="s">
        <v>1530</v>
      </c>
      <c r="P370" s="14" t="s">
        <v>1545</v>
      </c>
      <c r="U370" s="17"/>
      <c r="V370" s="18"/>
      <c r="W370" s="16"/>
      <c r="X370" s="16"/>
      <c r="Y370" s="16"/>
    </row>
    <row r="371">
      <c r="A371" s="9" t="s">
        <v>16</v>
      </c>
      <c r="B371" s="10" t="s">
        <v>17</v>
      </c>
      <c r="C371" s="10" t="s">
        <v>18</v>
      </c>
      <c r="D371" s="10" t="s">
        <v>19</v>
      </c>
      <c r="E371" s="10" t="s">
        <v>20</v>
      </c>
      <c r="F371" s="10" t="s">
        <v>21</v>
      </c>
      <c r="G371" s="10" t="s">
        <v>22</v>
      </c>
      <c r="H371" s="10" t="s">
        <v>23</v>
      </c>
      <c r="I371" s="11">
        <v>399.0</v>
      </c>
      <c r="J371" s="11">
        <v>1099.0</v>
      </c>
      <c r="K371" s="12">
        <f t="shared" si="1"/>
        <v>0.6369426752</v>
      </c>
      <c r="L371" s="13">
        <f>IFERROR(__xludf.DUMMYFUNCTION("GOOGLEFINANCE(""CURRENCY:INRBRL"") * I371
"),23.49378807762)</f>
        <v>23.49378808</v>
      </c>
      <c r="M371" s="9">
        <v>4.5</v>
      </c>
      <c r="N371" s="9">
        <v>2427.0</v>
      </c>
      <c r="O371" s="9" t="s">
        <v>24</v>
      </c>
      <c r="P371" s="14" t="s">
        <v>1546</v>
      </c>
      <c r="U371" s="17"/>
      <c r="V371" s="18"/>
      <c r="W371" s="16"/>
      <c r="X371" s="16"/>
      <c r="Y371" s="16"/>
    </row>
    <row r="372">
      <c r="A372" s="9" t="s">
        <v>1547</v>
      </c>
      <c r="B372" s="10" t="s">
        <v>1548</v>
      </c>
      <c r="C372" s="10" t="s">
        <v>1412</v>
      </c>
      <c r="D372" s="10" t="s">
        <v>77</v>
      </c>
      <c r="E372" s="10" t="s">
        <v>1404</v>
      </c>
      <c r="F372" s="10" t="s">
        <v>1413</v>
      </c>
      <c r="G372" s="10" t="s">
        <v>1414</v>
      </c>
      <c r="H372" s="10"/>
      <c r="I372" s="11">
        <v>8499.0</v>
      </c>
      <c r="J372" s="11">
        <v>10999.0</v>
      </c>
      <c r="K372" s="12">
        <f t="shared" si="1"/>
        <v>0.2272933903</v>
      </c>
      <c r="L372" s="13">
        <f>IFERROR(__xludf.DUMMYFUNCTION("GOOGLEFINANCE(""CURRENCY:INRBRL"") * I372
"),500.43535055562)</f>
        <v>500.4353506</v>
      </c>
      <c r="M372" s="9">
        <v>4.49</v>
      </c>
      <c r="N372" s="9">
        <v>313836.0</v>
      </c>
      <c r="O372" s="9" t="s">
        <v>1549</v>
      </c>
      <c r="P372" s="14" t="s">
        <v>1550</v>
      </c>
      <c r="U372" s="17"/>
      <c r="V372" s="18"/>
      <c r="W372" s="16"/>
      <c r="X372" s="16"/>
      <c r="Y372" s="16"/>
    </row>
    <row r="373">
      <c r="A373" s="9" t="s">
        <v>1551</v>
      </c>
      <c r="B373" s="10" t="s">
        <v>1552</v>
      </c>
      <c r="C373" s="10" t="s">
        <v>1412</v>
      </c>
      <c r="D373" s="10" t="s">
        <v>77</v>
      </c>
      <c r="E373" s="10" t="s">
        <v>1404</v>
      </c>
      <c r="F373" s="10" t="s">
        <v>1413</v>
      </c>
      <c r="G373" s="10" t="s">
        <v>1414</v>
      </c>
      <c r="H373" s="10"/>
      <c r="I373" s="11">
        <v>6499.0</v>
      </c>
      <c r="J373" s="11">
        <v>8499.0</v>
      </c>
      <c r="K373" s="12">
        <f t="shared" si="1"/>
        <v>0.2353218026</v>
      </c>
      <c r="L373" s="13">
        <f>IFERROR(__xludf.DUMMYFUNCTION("GOOGLEFINANCE(""CURRENCY:INRBRL"") * I373
"),382.67200179562)</f>
        <v>382.6720018</v>
      </c>
      <c r="M373" s="9">
        <v>4.49</v>
      </c>
      <c r="N373" s="9">
        <v>313836.0</v>
      </c>
      <c r="O373" s="9" t="s">
        <v>1553</v>
      </c>
      <c r="P373" s="14" t="s">
        <v>1554</v>
      </c>
      <c r="U373" s="17"/>
      <c r="V373" s="18"/>
      <c r="W373" s="16"/>
      <c r="X373" s="16"/>
      <c r="Y373" s="16"/>
    </row>
    <row r="374">
      <c r="A374" s="9" t="s">
        <v>1555</v>
      </c>
      <c r="B374" s="10" t="s">
        <v>1387</v>
      </c>
      <c r="C374" s="10" t="s">
        <v>1388</v>
      </c>
      <c r="D374" s="10" t="s">
        <v>77</v>
      </c>
      <c r="E374" s="10" t="s">
        <v>1389</v>
      </c>
      <c r="F374" s="10" t="s">
        <v>1390</v>
      </c>
      <c r="G374" s="10"/>
      <c r="H374" s="10"/>
      <c r="I374" s="11">
        <v>1799.0</v>
      </c>
      <c r="J374" s="11">
        <v>19999.0</v>
      </c>
      <c r="K374" s="12">
        <f t="shared" si="1"/>
        <v>0.9100455023</v>
      </c>
      <c r="L374" s="13">
        <f>IFERROR(__xludf.DUMMYFUNCTION("GOOGLEFINANCE(""CURRENCY:INRBRL"") * I374
"),105.92813220962)</f>
        <v>105.9281322</v>
      </c>
      <c r="M374" s="9">
        <v>4.5</v>
      </c>
      <c r="N374" s="9">
        <v>13937.0</v>
      </c>
      <c r="O374" s="9" t="s">
        <v>1556</v>
      </c>
      <c r="P374" s="14" t="s">
        <v>1557</v>
      </c>
      <c r="U374" s="17"/>
      <c r="V374" s="18"/>
      <c r="W374" s="16"/>
      <c r="X374" s="16"/>
      <c r="Y374" s="16"/>
    </row>
    <row r="375">
      <c r="A375" s="9" t="s">
        <v>1558</v>
      </c>
      <c r="B375" s="10" t="s">
        <v>1559</v>
      </c>
      <c r="C375" s="10" t="s">
        <v>1412</v>
      </c>
      <c r="D375" s="10" t="s">
        <v>77</v>
      </c>
      <c r="E375" s="10" t="s">
        <v>1404</v>
      </c>
      <c r="F375" s="10" t="s">
        <v>1413</v>
      </c>
      <c r="G375" s="10" t="s">
        <v>1414</v>
      </c>
      <c r="H375" s="10"/>
      <c r="I375" s="11">
        <v>8999.0</v>
      </c>
      <c r="J375" s="11">
        <v>11999.0</v>
      </c>
      <c r="K375" s="12">
        <f t="shared" si="1"/>
        <v>0.2500208351</v>
      </c>
      <c r="L375" s="13">
        <f>IFERROR(__xludf.DUMMYFUNCTION("GOOGLEFINANCE(""CURRENCY:INRBRL"") * I375
"),529.87618774562)</f>
        <v>529.8761877</v>
      </c>
      <c r="M375" s="9">
        <v>4.0</v>
      </c>
      <c r="N375" s="9">
        <v>12796.0</v>
      </c>
      <c r="O375" s="9" t="s">
        <v>1470</v>
      </c>
      <c r="P375" s="14" t="s">
        <v>1560</v>
      </c>
      <c r="U375" s="17"/>
      <c r="V375" s="18"/>
      <c r="W375" s="16"/>
      <c r="X375" s="16"/>
      <c r="Y375" s="16"/>
    </row>
    <row r="376">
      <c r="A376" s="9" t="s">
        <v>1561</v>
      </c>
      <c r="B376" s="10" t="s">
        <v>1562</v>
      </c>
      <c r="C376" s="10" t="s">
        <v>1563</v>
      </c>
      <c r="D376" s="10" t="s">
        <v>77</v>
      </c>
      <c r="E376" s="10" t="s">
        <v>1404</v>
      </c>
      <c r="F376" s="10" t="s">
        <v>1405</v>
      </c>
      <c r="G376" s="10" t="s">
        <v>1564</v>
      </c>
      <c r="H376" s="10" t="s">
        <v>1565</v>
      </c>
      <c r="I376" s="11">
        <v>139.0</v>
      </c>
      <c r="J376" s="11">
        <v>495.0</v>
      </c>
      <c r="K376" s="12">
        <f t="shared" si="1"/>
        <v>0.7191919192</v>
      </c>
      <c r="L376" s="13">
        <f>IFERROR(__xludf.DUMMYFUNCTION("GOOGLEFINANCE(""CURRENCY:INRBRL"") * I376
"),8.184552738819999)</f>
        <v>8.184552739</v>
      </c>
      <c r="M376" s="9">
        <v>4.5</v>
      </c>
      <c r="N376" s="9">
        <v>14185.0</v>
      </c>
      <c r="O376" s="9" t="s">
        <v>1566</v>
      </c>
      <c r="P376" s="14" t="s">
        <v>1567</v>
      </c>
      <c r="U376" s="17"/>
      <c r="V376" s="18"/>
      <c r="W376" s="16"/>
      <c r="X376" s="16"/>
      <c r="Y376" s="16"/>
    </row>
    <row r="377">
      <c r="A377" s="9" t="s">
        <v>1568</v>
      </c>
      <c r="B377" s="10" t="s">
        <v>1569</v>
      </c>
      <c r="C377" s="10" t="s">
        <v>1388</v>
      </c>
      <c r="D377" s="10" t="s">
        <v>77</v>
      </c>
      <c r="E377" s="10" t="s">
        <v>1389</v>
      </c>
      <c r="F377" s="10" t="s">
        <v>1390</v>
      </c>
      <c r="G377" s="10"/>
      <c r="H377" s="10"/>
      <c r="I377" s="11">
        <v>3999.0</v>
      </c>
      <c r="J377" s="11">
        <v>16999.0</v>
      </c>
      <c r="K377" s="12">
        <f t="shared" si="1"/>
        <v>0.7647508677</v>
      </c>
      <c r="L377" s="13">
        <f>IFERROR(__xludf.DUMMYFUNCTION("GOOGLEFINANCE(""CURRENCY:INRBRL"") * I377
"),235.46781584561998)</f>
        <v>235.4678158</v>
      </c>
      <c r="M377" s="9">
        <v>4.5</v>
      </c>
      <c r="N377" s="9">
        <v>17159.0</v>
      </c>
      <c r="O377" s="9" t="s">
        <v>1570</v>
      </c>
      <c r="P377" s="14" t="s">
        <v>1571</v>
      </c>
      <c r="U377" s="17"/>
      <c r="V377" s="18"/>
      <c r="W377" s="16"/>
      <c r="X377" s="16"/>
      <c r="Y377" s="16"/>
    </row>
    <row r="378">
      <c r="A378" s="9" t="s">
        <v>1572</v>
      </c>
      <c r="B378" s="10" t="s">
        <v>1573</v>
      </c>
      <c r="C378" s="10" t="s">
        <v>1388</v>
      </c>
      <c r="D378" s="10" t="s">
        <v>77</v>
      </c>
      <c r="E378" s="10" t="s">
        <v>1389</v>
      </c>
      <c r="F378" s="10" t="s">
        <v>1390</v>
      </c>
      <c r="G378" s="10"/>
      <c r="H378" s="10"/>
      <c r="I378" s="11">
        <v>2998.0</v>
      </c>
      <c r="J378" s="11">
        <v>5999.0</v>
      </c>
      <c r="K378" s="12">
        <f t="shared" si="1"/>
        <v>0.5002500417</v>
      </c>
      <c r="L378" s="13">
        <f>IFERROR(__xludf.DUMMYFUNCTION("GOOGLEFINANCE(""CURRENCY:INRBRL"") * I378
"),176.52725979124)</f>
        <v>176.5272598</v>
      </c>
      <c r="M378" s="9">
        <v>4.49</v>
      </c>
      <c r="N378" s="9">
        <v>5179.0</v>
      </c>
      <c r="O378" s="9" t="s">
        <v>1574</v>
      </c>
      <c r="P378" s="14" t="s">
        <v>1575</v>
      </c>
      <c r="U378" s="17"/>
      <c r="V378" s="18"/>
      <c r="W378" s="16"/>
      <c r="X378" s="16"/>
      <c r="Y378" s="16"/>
    </row>
    <row r="379">
      <c r="A379" s="9" t="s">
        <v>26</v>
      </c>
      <c r="B379" s="10" t="s">
        <v>27</v>
      </c>
      <c r="C379" s="10" t="s">
        <v>18</v>
      </c>
      <c r="D379" s="10" t="s">
        <v>19</v>
      </c>
      <c r="E379" s="10" t="s">
        <v>20</v>
      </c>
      <c r="F379" s="10" t="s">
        <v>21</v>
      </c>
      <c r="G379" s="10" t="s">
        <v>22</v>
      </c>
      <c r="H379" s="10" t="s">
        <v>23</v>
      </c>
      <c r="I379" s="11">
        <v>199.0</v>
      </c>
      <c r="J379" s="11">
        <v>349.0</v>
      </c>
      <c r="K379" s="12">
        <f t="shared" si="1"/>
        <v>0.4297994269</v>
      </c>
      <c r="L379" s="13">
        <f>IFERROR(__xludf.DUMMYFUNCTION("GOOGLEFINANCE(""CURRENCY:INRBRL"") * I379
"),11.71745320162)</f>
        <v>11.7174532</v>
      </c>
      <c r="M379" s="9">
        <v>4.0</v>
      </c>
      <c r="N379" s="9">
        <v>43993.0</v>
      </c>
      <c r="O379" s="9" t="s">
        <v>28</v>
      </c>
      <c r="P379" s="14" t="s">
        <v>1576</v>
      </c>
      <c r="U379" s="17"/>
      <c r="V379" s="18"/>
      <c r="W379" s="16"/>
      <c r="X379" s="16"/>
      <c r="Y379" s="16"/>
    </row>
    <row r="380">
      <c r="A380" s="9" t="s">
        <v>1577</v>
      </c>
      <c r="B380" s="10" t="s">
        <v>1578</v>
      </c>
      <c r="C380" s="10" t="s">
        <v>1412</v>
      </c>
      <c r="D380" s="10" t="s">
        <v>77</v>
      </c>
      <c r="E380" s="10" t="s">
        <v>1404</v>
      </c>
      <c r="F380" s="10" t="s">
        <v>1413</v>
      </c>
      <c r="G380" s="10" t="s">
        <v>1414</v>
      </c>
      <c r="H380" s="10"/>
      <c r="I380" s="11">
        <v>15499.0</v>
      </c>
      <c r="J380" s="11">
        <v>18999.0</v>
      </c>
      <c r="K380" s="12">
        <f t="shared" si="1"/>
        <v>0.1842202221</v>
      </c>
      <c r="L380" s="13">
        <f>IFERROR(__xludf.DUMMYFUNCTION("GOOGLEFINANCE(""CURRENCY:INRBRL"") * I380
"),912.60707121562)</f>
        <v>912.6070712</v>
      </c>
      <c r="M380" s="9">
        <v>4.49</v>
      </c>
      <c r="N380" s="9">
        <v>19252.0</v>
      </c>
      <c r="O380" s="9" t="s">
        <v>1579</v>
      </c>
      <c r="P380" s="14" t="s">
        <v>1580</v>
      </c>
      <c r="U380" s="17"/>
      <c r="V380" s="18"/>
      <c r="W380" s="16"/>
      <c r="X380" s="16"/>
      <c r="Y380" s="16"/>
    </row>
    <row r="381">
      <c r="A381" s="9" t="s">
        <v>30</v>
      </c>
      <c r="B381" s="10" t="s">
        <v>31</v>
      </c>
      <c r="C381" s="10" t="s">
        <v>18</v>
      </c>
      <c r="D381" s="10" t="s">
        <v>19</v>
      </c>
      <c r="E381" s="10" t="s">
        <v>20</v>
      </c>
      <c r="F381" s="10" t="s">
        <v>21</v>
      </c>
      <c r="G381" s="10" t="s">
        <v>22</v>
      </c>
      <c r="H381" s="10" t="s">
        <v>23</v>
      </c>
      <c r="I381" s="11">
        <v>199.0</v>
      </c>
      <c r="J381" s="11">
        <v>999.0</v>
      </c>
      <c r="K381" s="12">
        <f t="shared" si="1"/>
        <v>0.8008008008</v>
      </c>
      <c r="L381" s="13">
        <f>IFERROR(__xludf.DUMMYFUNCTION("GOOGLEFINANCE(""CURRENCY:INRBRL"") * I381
"),11.71745320162)</f>
        <v>11.7174532</v>
      </c>
      <c r="M381" s="9">
        <v>4.52</v>
      </c>
      <c r="N381" s="9">
        <v>7928.0</v>
      </c>
      <c r="O381" s="9" t="s">
        <v>1581</v>
      </c>
      <c r="P381" s="14" t="s">
        <v>1582</v>
      </c>
      <c r="U381" s="17"/>
      <c r="V381" s="18"/>
      <c r="W381" s="16"/>
      <c r="X381" s="16"/>
      <c r="Y381" s="16"/>
    </row>
    <row r="382">
      <c r="A382" s="9" t="s">
        <v>1583</v>
      </c>
      <c r="B382" s="10" t="s">
        <v>1387</v>
      </c>
      <c r="C382" s="10" t="s">
        <v>1388</v>
      </c>
      <c r="D382" s="10" t="s">
        <v>77</v>
      </c>
      <c r="E382" s="10" t="s">
        <v>1389</v>
      </c>
      <c r="F382" s="10" t="s">
        <v>1390</v>
      </c>
      <c r="G382" s="10"/>
      <c r="H382" s="10"/>
      <c r="I382" s="11">
        <v>1799.0</v>
      </c>
      <c r="J382" s="11">
        <v>19999.0</v>
      </c>
      <c r="K382" s="12">
        <f t="shared" si="1"/>
        <v>0.9100455023</v>
      </c>
      <c r="L382" s="13">
        <f>IFERROR(__xludf.DUMMYFUNCTION("GOOGLEFINANCE(""CURRENCY:INRBRL"") * I382
"),105.92813220962)</f>
        <v>105.9281322</v>
      </c>
      <c r="M382" s="9">
        <v>4.5</v>
      </c>
      <c r="N382" s="9">
        <v>13937.0</v>
      </c>
      <c r="O382" s="9" t="s">
        <v>1391</v>
      </c>
      <c r="P382" s="14" t="s">
        <v>1584</v>
      </c>
      <c r="U382" s="17"/>
      <c r="V382" s="18"/>
      <c r="W382" s="16"/>
      <c r="X382" s="16"/>
      <c r="Y382" s="16"/>
    </row>
    <row r="383">
      <c r="A383" s="9" t="s">
        <v>1585</v>
      </c>
      <c r="B383" s="10" t="s">
        <v>1586</v>
      </c>
      <c r="C383" s="10" t="s">
        <v>1412</v>
      </c>
      <c r="D383" s="10" t="s">
        <v>77</v>
      </c>
      <c r="E383" s="10" t="s">
        <v>1404</v>
      </c>
      <c r="F383" s="10" t="s">
        <v>1413</v>
      </c>
      <c r="G383" s="10" t="s">
        <v>1414</v>
      </c>
      <c r="H383" s="10"/>
      <c r="I383" s="11">
        <v>8999.0</v>
      </c>
      <c r="J383" s="11">
        <v>11999.0</v>
      </c>
      <c r="K383" s="12">
        <f t="shared" si="1"/>
        <v>0.2500208351</v>
      </c>
      <c r="L383" s="13">
        <f>IFERROR(__xludf.DUMMYFUNCTION("GOOGLEFINANCE(""CURRENCY:INRBRL"") * I383
"),529.87618774562)</f>
        <v>529.8761877</v>
      </c>
      <c r="M383" s="9">
        <v>4.0</v>
      </c>
      <c r="N383" s="9">
        <v>12796.0</v>
      </c>
      <c r="O383" s="9" t="s">
        <v>1470</v>
      </c>
      <c r="P383" s="14" t="s">
        <v>1587</v>
      </c>
      <c r="U383" s="17"/>
      <c r="V383" s="18"/>
      <c r="W383" s="16"/>
      <c r="X383" s="16"/>
      <c r="Y383" s="16"/>
    </row>
    <row r="384">
      <c r="A384" s="9" t="s">
        <v>1588</v>
      </c>
      <c r="B384" s="10" t="s">
        <v>1589</v>
      </c>
      <c r="C384" s="10" t="s">
        <v>1474</v>
      </c>
      <c r="D384" s="10" t="s">
        <v>77</v>
      </c>
      <c r="E384" s="10" t="s">
        <v>1404</v>
      </c>
      <c r="F384" s="10" t="s">
        <v>1405</v>
      </c>
      <c r="G384" s="10" t="s">
        <v>1406</v>
      </c>
      <c r="H384" s="10" t="s">
        <v>1475</v>
      </c>
      <c r="I384" s="11">
        <v>873.0</v>
      </c>
      <c r="J384" s="11">
        <v>1699.0</v>
      </c>
      <c r="K384" s="12">
        <f t="shared" si="1"/>
        <v>0.4861683343</v>
      </c>
      <c r="L384" s="13">
        <f>IFERROR(__xludf.DUMMYFUNCTION("GOOGLEFINANCE(""CURRENCY:INRBRL"") * I384
"),51.40370173374)</f>
        <v>51.40370173</v>
      </c>
      <c r="M384" s="9">
        <v>4.5</v>
      </c>
      <c r="N384" s="9">
        <v>168.0</v>
      </c>
      <c r="O384" s="9" t="s">
        <v>1590</v>
      </c>
      <c r="P384" s="14" t="s">
        <v>1591</v>
      </c>
      <c r="U384" s="17"/>
      <c r="V384" s="18"/>
      <c r="W384" s="16"/>
      <c r="X384" s="16"/>
      <c r="Y384" s="16"/>
    </row>
    <row r="385">
      <c r="A385" s="9" t="s">
        <v>1592</v>
      </c>
      <c r="B385" s="10" t="s">
        <v>1593</v>
      </c>
      <c r="C385" s="10" t="s">
        <v>1412</v>
      </c>
      <c r="D385" s="10" t="s">
        <v>77</v>
      </c>
      <c r="E385" s="10" t="s">
        <v>1404</v>
      </c>
      <c r="F385" s="10" t="s">
        <v>1413</v>
      </c>
      <c r="G385" s="10" t="s">
        <v>1414</v>
      </c>
      <c r="H385" s="10"/>
      <c r="I385" s="11">
        <v>12999.0</v>
      </c>
      <c r="J385" s="11">
        <v>15999.0</v>
      </c>
      <c r="K385" s="12">
        <f t="shared" si="1"/>
        <v>0.1875117195</v>
      </c>
      <c r="L385" s="13">
        <f>IFERROR(__xludf.DUMMYFUNCTION("GOOGLEFINANCE(""CURRENCY:INRBRL"") * I385
"),765.40288526562)</f>
        <v>765.4028853</v>
      </c>
      <c r="M385" s="9">
        <v>4.5</v>
      </c>
      <c r="N385" s="9">
        <v>13246.0</v>
      </c>
      <c r="O385" s="9" t="s">
        <v>1594</v>
      </c>
      <c r="P385" s="14" t="s">
        <v>1595</v>
      </c>
      <c r="U385" s="17"/>
      <c r="V385" s="18"/>
      <c r="W385" s="16"/>
      <c r="X385" s="16"/>
      <c r="Y385" s="16"/>
    </row>
    <row r="386">
      <c r="A386" s="9" t="s">
        <v>1596</v>
      </c>
      <c r="B386" s="10" t="s">
        <v>1597</v>
      </c>
      <c r="C386" s="10" t="s">
        <v>1598</v>
      </c>
      <c r="D386" s="10" t="s">
        <v>77</v>
      </c>
      <c r="E386" s="10" t="s">
        <v>1404</v>
      </c>
      <c r="F386" s="10" t="s">
        <v>1405</v>
      </c>
      <c r="G386" s="10" t="s">
        <v>1599</v>
      </c>
      <c r="H386" s="10" t="s">
        <v>1600</v>
      </c>
      <c r="I386" s="11">
        <v>539.0</v>
      </c>
      <c r="J386" s="11">
        <v>1599.0</v>
      </c>
      <c r="K386" s="12">
        <f t="shared" si="1"/>
        <v>0.6629143215</v>
      </c>
      <c r="L386" s="13">
        <f>IFERROR(__xludf.DUMMYFUNCTION("GOOGLEFINANCE(""CURRENCY:INRBRL"") * I386
"),31.73722249082)</f>
        <v>31.73722249</v>
      </c>
      <c r="M386" s="9">
        <v>4.51</v>
      </c>
      <c r="N386" s="9">
        <v>14648.0</v>
      </c>
      <c r="O386" s="9" t="s">
        <v>1601</v>
      </c>
      <c r="P386" s="14" t="s">
        <v>1602</v>
      </c>
      <c r="U386" s="17"/>
      <c r="V386" s="18"/>
      <c r="W386" s="16"/>
      <c r="X386" s="16"/>
      <c r="Y386" s="16"/>
    </row>
    <row r="387">
      <c r="A387" s="9" t="s">
        <v>1603</v>
      </c>
      <c r="B387" s="10" t="s">
        <v>1394</v>
      </c>
      <c r="C387" s="10" t="s">
        <v>1388</v>
      </c>
      <c r="D387" s="10" t="s">
        <v>77</v>
      </c>
      <c r="E387" s="10" t="s">
        <v>1389</v>
      </c>
      <c r="F387" s="10" t="s">
        <v>1390</v>
      </c>
      <c r="G387" s="10"/>
      <c r="H387" s="10"/>
      <c r="I387" s="11">
        <v>1999.0</v>
      </c>
      <c r="J387" s="11">
        <v>9999.0</v>
      </c>
      <c r="K387" s="12">
        <f t="shared" si="1"/>
        <v>0.800080008</v>
      </c>
      <c r="L387" s="13">
        <f>IFERROR(__xludf.DUMMYFUNCTION("GOOGLEFINANCE(""CURRENCY:INRBRL"") * I387
"),117.70446708562)</f>
        <v>117.7044671</v>
      </c>
      <c r="M387" s="9">
        <v>4.5</v>
      </c>
      <c r="N387" s="9">
        <v>27696.0</v>
      </c>
      <c r="O387" s="9" t="s">
        <v>1604</v>
      </c>
      <c r="P387" s="14" t="s">
        <v>1605</v>
      </c>
      <c r="U387" s="17"/>
      <c r="V387" s="18"/>
      <c r="W387" s="16"/>
      <c r="X387" s="16"/>
      <c r="Y387" s="16"/>
    </row>
    <row r="388">
      <c r="A388" s="9" t="s">
        <v>1606</v>
      </c>
      <c r="B388" s="10" t="s">
        <v>1607</v>
      </c>
      <c r="C388" s="10" t="s">
        <v>1412</v>
      </c>
      <c r="D388" s="10" t="s">
        <v>77</v>
      </c>
      <c r="E388" s="10" t="s">
        <v>1404</v>
      </c>
      <c r="F388" s="10" t="s">
        <v>1413</v>
      </c>
      <c r="G388" s="10" t="s">
        <v>1414</v>
      </c>
      <c r="H388" s="10"/>
      <c r="I388" s="11">
        <v>15490.0</v>
      </c>
      <c r="J388" s="11">
        <v>20990.0</v>
      </c>
      <c r="K388" s="12">
        <f t="shared" si="1"/>
        <v>0.2620295379</v>
      </c>
      <c r="L388" s="13">
        <f>IFERROR(__xludf.DUMMYFUNCTION("GOOGLEFINANCE(""CURRENCY:INRBRL"") * I388
"),912.0771361462)</f>
        <v>912.0771361</v>
      </c>
      <c r="M388" s="9">
        <v>4.5</v>
      </c>
      <c r="N388" s="9">
        <v>32916.0</v>
      </c>
      <c r="O388" s="9" t="s">
        <v>1608</v>
      </c>
      <c r="P388" s="14" t="s">
        <v>1609</v>
      </c>
      <c r="U388" s="17"/>
      <c r="V388" s="18"/>
      <c r="W388" s="16"/>
      <c r="X388" s="16"/>
      <c r="Y388" s="16"/>
    </row>
    <row r="389">
      <c r="A389" s="9" t="s">
        <v>1610</v>
      </c>
      <c r="B389" s="10" t="s">
        <v>1611</v>
      </c>
      <c r="C389" s="10" t="s">
        <v>1412</v>
      </c>
      <c r="D389" s="10" t="s">
        <v>77</v>
      </c>
      <c r="E389" s="10" t="s">
        <v>1404</v>
      </c>
      <c r="F389" s="10" t="s">
        <v>1413</v>
      </c>
      <c r="G389" s="10" t="s">
        <v>1414</v>
      </c>
      <c r="H389" s="10"/>
      <c r="I389" s="11">
        <v>19999.0</v>
      </c>
      <c r="J389" s="11">
        <v>24999.0</v>
      </c>
      <c r="K389" s="12">
        <f t="shared" si="1"/>
        <v>0.2000080003</v>
      </c>
      <c r="L389" s="13">
        <f>IFERROR(__xludf.DUMMYFUNCTION("GOOGLEFINANCE(""CURRENCY:INRBRL"") * I389
"),1177.57460592562)</f>
        <v>1177.574606</v>
      </c>
      <c r="M389" s="9">
        <v>4.52</v>
      </c>
      <c r="N389" s="9">
        <v>25824.0</v>
      </c>
      <c r="O389" s="9" t="s">
        <v>1612</v>
      </c>
      <c r="P389" s="14" t="s">
        <v>1613</v>
      </c>
      <c r="U389" s="17"/>
      <c r="V389" s="18"/>
      <c r="W389" s="16"/>
      <c r="X389" s="16"/>
      <c r="Y389" s="16"/>
    </row>
    <row r="390">
      <c r="A390" s="9" t="s">
        <v>1614</v>
      </c>
      <c r="B390" s="10" t="s">
        <v>1615</v>
      </c>
      <c r="C390" s="10" t="s">
        <v>1505</v>
      </c>
      <c r="D390" s="10" t="s">
        <v>77</v>
      </c>
      <c r="E390" s="10" t="s">
        <v>1404</v>
      </c>
      <c r="F390" s="10" t="s">
        <v>1405</v>
      </c>
      <c r="G390" s="10" t="s">
        <v>1406</v>
      </c>
      <c r="H390" s="10" t="s">
        <v>1506</v>
      </c>
      <c r="I390" s="11">
        <v>1075.0</v>
      </c>
      <c r="J390" s="11">
        <v>1699.0</v>
      </c>
      <c r="K390" s="12">
        <f t="shared" si="1"/>
        <v>0.3672748676</v>
      </c>
      <c r="L390" s="13">
        <f>IFERROR(__xludf.DUMMYFUNCTION("GOOGLEFINANCE(""CURRENCY:INRBRL"") * I390
"),63.2977999585)</f>
        <v>63.29779996</v>
      </c>
      <c r="M390" s="9">
        <v>4.5</v>
      </c>
      <c r="N390" s="9">
        <v>7462.0</v>
      </c>
      <c r="O390" s="9" t="s">
        <v>1616</v>
      </c>
      <c r="P390" s="14" t="s">
        <v>1617</v>
      </c>
      <c r="U390" s="17"/>
      <c r="V390" s="18"/>
      <c r="W390" s="16"/>
      <c r="X390" s="16"/>
      <c r="Y390" s="16"/>
    </row>
    <row r="391">
      <c r="A391" s="9" t="s">
        <v>1618</v>
      </c>
      <c r="B391" s="10" t="s">
        <v>1619</v>
      </c>
      <c r="C391" s="10" t="s">
        <v>1454</v>
      </c>
      <c r="D391" s="10" t="s">
        <v>77</v>
      </c>
      <c r="E391" s="10" t="s">
        <v>1455</v>
      </c>
      <c r="F391" s="10" t="s">
        <v>1456</v>
      </c>
      <c r="G391" s="10" t="s">
        <v>1457</v>
      </c>
      <c r="H391" s="10"/>
      <c r="I391" s="11">
        <v>399.0</v>
      </c>
      <c r="J391" s="11">
        <v>699.0</v>
      </c>
      <c r="K391" s="12">
        <f t="shared" si="1"/>
        <v>0.4291845494</v>
      </c>
      <c r="L391" s="13">
        <f>IFERROR(__xludf.DUMMYFUNCTION("GOOGLEFINANCE(""CURRENCY:INRBRL"") * I391
"),23.49378807762)</f>
        <v>23.49378808</v>
      </c>
      <c r="M391" s="9">
        <v>4.0</v>
      </c>
      <c r="N391" s="9">
        <v>37817.0</v>
      </c>
      <c r="O391" s="9" t="s">
        <v>1620</v>
      </c>
      <c r="P391" s="14" t="s">
        <v>1621</v>
      </c>
      <c r="U391" s="17"/>
      <c r="V391" s="18"/>
      <c r="W391" s="16"/>
      <c r="X391" s="16"/>
      <c r="Y391" s="16"/>
    </row>
    <row r="392">
      <c r="A392" s="9" t="s">
        <v>1622</v>
      </c>
      <c r="B392" s="10" t="s">
        <v>1623</v>
      </c>
      <c r="C392" s="10" t="s">
        <v>1388</v>
      </c>
      <c r="D392" s="10" t="s">
        <v>77</v>
      </c>
      <c r="E392" s="10" t="s">
        <v>1389</v>
      </c>
      <c r="F392" s="10" t="s">
        <v>1390</v>
      </c>
      <c r="G392" s="10"/>
      <c r="H392" s="10"/>
      <c r="I392" s="11">
        <v>1999.0</v>
      </c>
      <c r="J392" s="11">
        <v>3990.0</v>
      </c>
      <c r="K392" s="12">
        <f t="shared" si="1"/>
        <v>0.4989974937</v>
      </c>
      <c r="L392" s="13">
        <f>IFERROR(__xludf.DUMMYFUNCTION("GOOGLEFINANCE(""CURRENCY:INRBRL"") * I392
"),117.70446708562)</f>
        <v>117.7044671</v>
      </c>
      <c r="M392" s="9">
        <v>4.0</v>
      </c>
      <c r="N392" s="9">
        <v>30254.0</v>
      </c>
      <c r="O392" s="9" t="s">
        <v>1624</v>
      </c>
      <c r="P392" s="14" t="s">
        <v>1625</v>
      </c>
      <c r="U392" s="17"/>
      <c r="V392" s="18"/>
      <c r="W392" s="16"/>
      <c r="X392" s="16"/>
      <c r="Y392" s="16"/>
    </row>
    <row r="393">
      <c r="A393" s="9" t="s">
        <v>1626</v>
      </c>
      <c r="B393" s="10" t="s">
        <v>1627</v>
      </c>
      <c r="C393" s="10" t="s">
        <v>1388</v>
      </c>
      <c r="D393" s="10" t="s">
        <v>77</v>
      </c>
      <c r="E393" s="10" t="s">
        <v>1389</v>
      </c>
      <c r="F393" s="10" t="s">
        <v>1390</v>
      </c>
      <c r="G393" s="10"/>
      <c r="H393" s="10"/>
      <c r="I393" s="11">
        <v>1999.0</v>
      </c>
      <c r="J393" s="11">
        <v>7990.0</v>
      </c>
      <c r="K393" s="12">
        <f t="shared" si="1"/>
        <v>0.7498122653</v>
      </c>
      <c r="L393" s="13">
        <f>IFERROR(__xludf.DUMMYFUNCTION("GOOGLEFINANCE(""CURRENCY:INRBRL"") * I393
"),117.70446708562)</f>
        <v>117.7044671</v>
      </c>
      <c r="M393" s="9">
        <v>4.51</v>
      </c>
      <c r="N393" s="9">
        <v>17831.0</v>
      </c>
      <c r="O393" s="9" t="s">
        <v>1399</v>
      </c>
      <c r="P393" s="14" t="s">
        <v>1628</v>
      </c>
      <c r="U393" s="17"/>
      <c r="V393" s="18"/>
      <c r="W393" s="16"/>
      <c r="X393" s="16"/>
      <c r="Y393" s="16"/>
    </row>
    <row r="394">
      <c r="A394" s="9" t="s">
        <v>34</v>
      </c>
      <c r="B394" s="10" t="s">
        <v>35</v>
      </c>
      <c r="C394" s="10" t="s">
        <v>18</v>
      </c>
      <c r="D394" s="10" t="s">
        <v>19</v>
      </c>
      <c r="E394" s="10" t="s">
        <v>20</v>
      </c>
      <c r="F394" s="10" t="s">
        <v>21</v>
      </c>
      <c r="G394" s="10" t="s">
        <v>22</v>
      </c>
      <c r="H394" s="10" t="s">
        <v>23</v>
      </c>
      <c r="I394" s="11">
        <v>329.0</v>
      </c>
      <c r="J394" s="11">
        <v>699.0</v>
      </c>
      <c r="K394" s="12">
        <f t="shared" si="1"/>
        <v>0.5293276109</v>
      </c>
      <c r="L394" s="13">
        <f>IFERROR(__xludf.DUMMYFUNCTION("GOOGLEFINANCE(""CURRENCY:INRBRL"") * I394
"),19.37207087102)</f>
        <v>19.37207087</v>
      </c>
      <c r="M394" s="9">
        <v>4.5</v>
      </c>
      <c r="N394" s="9">
        <v>94364.0</v>
      </c>
      <c r="O394" s="9" t="s">
        <v>36</v>
      </c>
      <c r="P394" s="14" t="s">
        <v>1629</v>
      </c>
      <c r="U394" s="17"/>
      <c r="V394" s="18"/>
      <c r="W394" s="16"/>
      <c r="X394" s="16"/>
      <c r="Y394" s="16"/>
    </row>
    <row r="395">
      <c r="A395" s="9" t="s">
        <v>38</v>
      </c>
      <c r="B395" s="10" t="s">
        <v>39</v>
      </c>
      <c r="C395" s="10" t="s">
        <v>18</v>
      </c>
      <c r="D395" s="10" t="s">
        <v>19</v>
      </c>
      <c r="E395" s="10" t="s">
        <v>20</v>
      </c>
      <c r="F395" s="10" t="s">
        <v>21</v>
      </c>
      <c r="G395" s="10" t="s">
        <v>22</v>
      </c>
      <c r="H395" s="10" t="s">
        <v>23</v>
      </c>
      <c r="I395" s="11">
        <v>154.0</v>
      </c>
      <c r="J395" s="11">
        <v>399.0</v>
      </c>
      <c r="K395" s="12">
        <f t="shared" si="1"/>
        <v>0.6140350877</v>
      </c>
      <c r="L395" s="13">
        <f>IFERROR(__xludf.DUMMYFUNCTION("GOOGLEFINANCE(""CURRENCY:INRBRL"") * I395
"),9.06777785452)</f>
        <v>9.067777855</v>
      </c>
      <c r="M395" s="9">
        <v>4.5</v>
      </c>
      <c r="N395" s="9">
        <v>16905.0</v>
      </c>
      <c r="O395" s="9" t="s">
        <v>40</v>
      </c>
      <c r="P395" s="14" t="s">
        <v>1630</v>
      </c>
      <c r="U395" s="17"/>
      <c r="V395" s="18"/>
      <c r="W395" s="16"/>
      <c r="X395" s="16"/>
      <c r="Y395" s="16"/>
    </row>
    <row r="396">
      <c r="A396" s="9" t="s">
        <v>1631</v>
      </c>
      <c r="B396" s="10" t="s">
        <v>1632</v>
      </c>
      <c r="C396" s="10" t="s">
        <v>1412</v>
      </c>
      <c r="D396" s="10" t="s">
        <v>77</v>
      </c>
      <c r="E396" s="10" t="s">
        <v>1404</v>
      </c>
      <c r="F396" s="10" t="s">
        <v>1413</v>
      </c>
      <c r="G396" s="10" t="s">
        <v>1414</v>
      </c>
      <c r="H396" s="10"/>
      <c r="I396" s="11">
        <v>28999.0</v>
      </c>
      <c r="J396" s="11">
        <v>34999.0</v>
      </c>
      <c r="K396" s="12">
        <f t="shared" si="1"/>
        <v>0.1714334695</v>
      </c>
      <c r="L396" s="13">
        <f>IFERROR(__xludf.DUMMYFUNCTION("GOOGLEFINANCE(""CURRENCY:INRBRL"") * I396
"),1707.50967534562)</f>
        <v>1707.509675</v>
      </c>
      <c r="M396" s="9">
        <v>4.5</v>
      </c>
      <c r="N396" s="9">
        <v>20311.0</v>
      </c>
      <c r="O396" s="9" t="s">
        <v>1633</v>
      </c>
      <c r="P396" s="14" t="s">
        <v>1634</v>
      </c>
      <c r="U396" s="17"/>
      <c r="V396" s="18"/>
      <c r="W396" s="16"/>
      <c r="X396" s="16"/>
      <c r="Y396" s="16"/>
    </row>
    <row r="397">
      <c r="A397" s="9" t="s">
        <v>1635</v>
      </c>
      <c r="B397" s="10" t="s">
        <v>1636</v>
      </c>
      <c r="C397" s="10" t="s">
        <v>1388</v>
      </c>
      <c r="D397" s="10" t="s">
        <v>77</v>
      </c>
      <c r="E397" s="10" t="s">
        <v>1389</v>
      </c>
      <c r="F397" s="10" t="s">
        <v>1390</v>
      </c>
      <c r="G397" s="10"/>
      <c r="H397" s="10"/>
      <c r="I397" s="11">
        <v>2299.0</v>
      </c>
      <c r="J397" s="11">
        <v>7999.0</v>
      </c>
      <c r="K397" s="12">
        <f t="shared" si="1"/>
        <v>0.7125890736</v>
      </c>
      <c r="L397" s="13">
        <f>IFERROR(__xludf.DUMMYFUNCTION("GOOGLEFINANCE(""CURRENCY:INRBRL"") * I397
"),135.36896939962)</f>
        <v>135.3689694</v>
      </c>
      <c r="M397" s="9">
        <v>4.5</v>
      </c>
      <c r="N397" s="9">
        <v>69622.0</v>
      </c>
      <c r="O397" s="9" t="s">
        <v>1637</v>
      </c>
      <c r="P397" s="14" t="s">
        <v>1638</v>
      </c>
      <c r="U397" s="17"/>
      <c r="V397" s="18"/>
      <c r="W397" s="16"/>
      <c r="X397" s="16"/>
      <c r="Y397" s="16"/>
    </row>
    <row r="398">
      <c r="A398" s="9" t="s">
        <v>1639</v>
      </c>
      <c r="B398" s="10" t="s">
        <v>1640</v>
      </c>
      <c r="C398" s="10" t="s">
        <v>1641</v>
      </c>
      <c r="D398" s="10" t="s">
        <v>77</v>
      </c>
      <c r="E398" s="10" t="s">
        <v>1404</v>
      </c>
      <c r="F398" s="10" t="s">
        <v>1405</v>
      </c>
      <c r="G398" s="10" t="s">
        <v>1599</v>
      </c>
      <c r="H398" s="10" t="s">
        <v>1642</v>
      </c>
      <c r="I398" s="11">
        <v>399.0</v>
      </c>
      <c r="J398" s="11">
        <v>1999.0</v>
      </c>
      <c r="K398" s="12">
        <f t="shared" si="1"/>
        <v>0.8004002001</v>
      </c>
      <c r="L398" s="13">
        <f>IFERROR(__xludf.DUMMYFUNCTION("GOOGLEFINANCE(""CURRENCY:INRBRL"") * I398
"),23.49378807762)</f>
        <v>23.49378808</v>
      </c>
      <c r="M398" s="9">
        <v>4.0</v>
      </c>
      <c r="N398" s="9">
        <v>3382.0</v>
      </c>
      <c r="O398" s="9" t="s">
        <v>1643</v>
      </c>
      <c r="P398" s="14" t="s">
        <v>1644</v>
      </c>
      <c r="U398" s="17"/>
      <c r="V398" s="18"/>
      <c r="W398" s="16"/>
      <c r="X398" s="16"/>
      <c r="Y398" s="16"/>
    </row>
    <row r="399">
      <c r="A399" s="9" t="s">
        <v>1645</v>
      </c>
      <c r="B399" s="10" t="s">
        <v>1646</v>
      </c>
      <c r="C399" s="10" t="s">
        <v>1433</v>
      </c>
      <c r="D399" s="10" t="s">
        <v>77</v>
      </c>
      <c r="E399" s="10" t="s">
        <v>79</v>
      </c>
      <c r="F399" s="10" t="s">
        <v>1434</v>
      </c>
      <c r="G399" s="10" t="s">
        <v>1435</v>
      </c>
      <c r="H399" s="10"/>
      <c r="I399" s="11">
        <v>1149.0</v>
      </c>
      <c r="J399" s="11">
        <v>3999.0</v>
      </c>
      <c r="K399" s="12">
        <f t="shared" si="1"/>
        <v>0.7126781695</v>
      </c>
      <c r="L399" s="13">
        <f>IFERROR(__xludf.DUMMYFUNCTION("GOOGLEFINANCE(""CURRENCY:INRBRL"") * I399
"),67.65504386262)</f>
        <v>67.65504386</v>
      </c>
      <c r="M399" s="9">
        <v>4.5</v>
      </c>
      <c r="N399" s="9">
        <v>140036.0</v>
      </c>
      <c r="O399" s="9" t="s">
        <v>1647</v>
      </c>
      <c r="P399" s="14" t="s">
        <v>1648</v>
      </c>
      <c r="U399" s="17"/>
      <c r="V399" s="18"/>
      <c r="W399" s="16"/>
      <c r="X399" s="16"/>
      <c r="Y399" s="16"/>
    </row>
    <row r="400">
      <c r="A400" s="9" t="s">
        <v>1649</v>
      </c>
      <c r="B400" s="10" t="s">
        <v>1650</v>
      </c>
      <c r="C400" s="10" t="s">
        <v>1505</v>
      </c>
      <c r="D400" s="10" t="s">
        <v>77</v>
      </c>
      <c r="E400" s="10" t="s">
        <v>1404</v>
      </c>
      <c r="F400" s="10" t="s">
        <v>1405</v>
      </c>
      <c r="G400" s="10" t="s">
        <v>1406</v>
      </c>
      <c r="H400" s="10" t="s">
        <v>1506</v>
      </c>
      <c r="I400" s="11">
        <v>529.0</v>
      </c>
      <c r="J400" s="11">
        <v>1499.0</v>
      </c>
      <c r="K400" s="12">
        <f t="shared" si="1"/>
        <v>0.6470980654</v>
      </c>
      <c r="L400" s="13">
        <f>IFERROR(__xludf.DUMMYFUNCTION("GOOGLEFINANCE(""CURRENCY:INRBRL"") * I400
"),31.14840574702)</f>
        <v>31.14840575</v>
      </c>
      <c r="M400" s="9">
        <v>4.49</v>
      </c>
      <c r="N400" s="9">
        <v>8599.0</v>
      </c>
      <c r="O400" s="9" t="s">
        <v>1651</v>
      </c>
      <c r="P400" s="14" t="s">
        <v>1652</v>
      </c>
      <c r="U400" s="17"/>
      <c r="V400" s="18"/>
      <c r="W400" s="16"/>
      <c r="X400" s="16"/>
      <c r="Y400" s="16"/>
    </row>
    <row r="401">
      <c r="A401" s="9" t="s">
        <v>1653</v>
      </c>
      <c r="B401" s="10" t="s">
        <v>1654</v>
      </c>
      <c r="C401" s="10" t="s">
        <v>1412</v>
      </c>
      <c r="D401" s="10" t="s">
        <v>77</v>
      </c>
      <c r="E401" s="10" t="s">
        <v>1404</v>
      </c>
      <c r="F401" s="10" t="s">
        <v>1413</v>
      </c>
      <c r="G401" s="10" t="s">
        <v>1414</v>
      </c>
      <c r="H401" s="10"/>
      <c r="I401" s="11">
        <v>13999.0</v>
      </c>
      <c r="J401" s="11">
        <v>19499.0</v>
      </c>
      <c r="K401" s="12">
        <f t="shared" si="1"/>
        <v>0.282065747</v>
      </c>
      <c r="L401" s="13">
        <f>IFERROR(__xludf.DUMMYFUNCTION("GOOGLEFINANCE(""CURRENCY:INRBRL"") * I401
"),824.28455964562)</f>
        <v>824.2845596</v>
      </c>
      <c r="M401" s="9">
        <v>4.49</v>
      </c>
      <c r="N401" s="9">
        <v>18998.0</v>
      </c>
      <c r="O401" s="9" t="s">
        <v>1655</v>
      </c>
      <c r="P401" s="14" t="s">
        <v>1656</v>
      </c>
      <c r="U401" s="17"/>
      <c r="V401" s="18"/>
      <c r="W401" s="16"/>
      <c r="X401" s="16"/>
      <c r="Y401" s="16"/>
    </row>
    <row r="402">
      <c r="A402" s="9" t="s">
        <v>1657</v>
      </c>
      <c r="B402" s="10" t="s">
        <v>1658</v>
      </c>
      <c r="C402" s="10" t="s">
        <v>1454</v>
      </c>
      <c r="D402" s="10" t="s">
        <v>77</v>
      </c>
      <c r="E402" s="10" t="s">
        <v>1455</v>
      </c>
      <c r="F402" s="10" t="s">
        <v>1456</v>
      </c>
      <c r="G402" s="10" t="s">
        <v>1457</v>
      </c>
      <c r="H402" s="10"/>
      <c r="I402" s="11">
        <v>379.0</v>
      </c>
      <c r="J402" s="11">
        <v>999.0</v>
      </c>
      <c r="K402" s="12">
        <f t="shared" si="1"/>
        <v>0.6206206206</v>
      </c>
      <c r="L402" s="13">
        <f>IFERROR(__xludf.DUMMYFUNCTION("GOOGLEFINANCE(""CURRENCY:INRBRL"") * I402
"),22.31615459002)</f>
        <v>22.31615459</v>
      </c>
      <c r="M402" s="9">
        <v>4.49</v>
      </c>
      <c r="N402" s="9">
        <v>363713.0</v>
      </c>
      <c r="O402" s="9" t="s">
        <v>1659</v>
      </c>
      <c r="P402" s="14" t="s">
        <v>1660</v>
      </c>
      <c r="U402" s="17"/>
      <c r="V402" s="18"/>
      <c r="W402" s="16"/>
      <c r="X402" s="16"/>
      <c r="Y402" s="16"/>
    </row>
    <row r="403">
      <c r="A403" s="9" t="s">
        <v>1661</v>
      </c>
      <c r="B403" s="10" t="s">
        <v>1662</v>
      </c>
      <c r="C403" s="10" t="s">
        <v>1412</v>
      </c>
      <c r="D403" s="10" t="s">
        <v>77</v>
      </c>
      <c r="E403" s="10" t="s">
        <v>1404</v>
      </c>
      <c r="F403" s="10" t="s">
        <v>1413</v>
      </c>
      <c r="G403" s="10" t="s">
        <v>1414</v>
      </c>
      <c r="H403" s="10"/>
      <c r="I403" s="11">
        <v>13999.0</v>
      </c>
      <c r="J403" s="11">
        <v>19999.0</v>
      </c>
      <c r="K403" s="12">
        <f t="shared" si="1"/>
        <v>0.3000150008</v>
      </c>
      <c r="L403" s="13">
        <f>IFERROR(__xludf.DUMMYFUNCTION("GOOGLEFINANCE(""CURRENCY:INRBRL"") * I403
"),824.28455964562)</f>
        <v>824.2845596</v>
      </c>
      <c r="M403" s="9">
        <v>4.49</v>
      </c>
      <c r="N403" s="9">
        <v>19252.0</v>
      </c>
      <c r="O403" s="9" t="s">
        <v>1663</v>
      </c>
      <c r="P403" s="14" t="s">
        <v>1664</v>
      </c>
      <c r="U403" s="17"/>
      <c r="V403" s="18"/>
      <c r="W403" s="16"/>
      <c r="X403" s="16"/>
      <c r="Y403" s="16"/>
    </row>
    <row r="404">
      <c r="A404" s="9" t="s">
        <v>1665</v>
      </c>
      <c r="B404" s="10" t="s">
        <v>1666</v>
      </c>
      <c r="C404" s="10" t="s">
        <v>1388</v>
      </c>
      <c r="D404" s="10" t="s">
        <v>77</v>
      </c>
      <c r="E404" s="10" t="s">
        <v>1389</v>
      </c>
      <c r="F404" s="10" t="s">
        <v>1390</v>
      </c>
      <c r="G404" s="10"/>
      <c r="H404" s="10"/>
      <c r="I404" s="11">
        <v>3999.0</v>
      </c>
      <c r="J404" s="11">
        <v>9999.0</v>
      </c>
      <c r="K404" s="12">
        <f t="shared" si="1"/>
        <v>0.600060006</v>
      </c>
      <c r="L404" s="13">
        <f>IFERROR(__xludf.DUMMYFUNCTION("GOOGLEFINANCE(""CURRENCY:INRBRL"") * I404
"),235.46781584561998)</f>
        <v>235.4678158</v>
      </c>
      <c r="M404" s="9">
        <v>4.5</v>
      </c>
      <c r="N404" s="9">
        <v>73.0</v>
      </c>
      <c r="O404" s="9" t="s">
        <v>1667</v>
      </c>
      <c r="P404" s="14" t="s">
        <v>1668</v>
      </c>
      <c r="U404" s="17"/>
      <c r="V404" s="18"/>
      <c r="W404" s="16"/>
      <c r="X404" s="16"/>
      <c r="Y404" s="16"/>
    </row>
    <row r="405">
      <c r="A405" s="9" t="s">
        <v>42</v>
      </c>
      <c r="B405" s="10" t="s">
        <v>43</v>
      </c>
      <c r="C405" s="10" t="s">
        <v>18</v>
      </c>
      <c r="D405" s="10" t="s">
        <v>19</v>
      </c>
      <c r="E405" s="10" t="s">
        <v>20</v>
      </c>
      <c r="F405" s="10" t="s">
        <v>21</v>
      </c>
      <c r="G405" s="10" t="s">
        <v>22</v>
      </c>
      <c r="H405" s="10" t="s">
        <v>23</v>
      </c>
      <c r="I405" s="11">
        <v>149.0</v>
      </c>
      <c r="J405" s="11">
        <v>1000.0</v>
      </c>
      <c r="K405" s="12">
        <f t="shared" si="1"/>
        <v>0.851</v>
      </c>
      <c r="L405" s="13">
        <f>IFERROR(__xludf.DUMMYFUNCTION("GOOGLEFINANCE(""CURRENCY:INRBRL"") * I405
"),8.77336948262)</f>
        <v>8.773369483</v>
      </c>
      <c r="M405" s="9">
        <v>4.52</v>
      </c>
      <c r="N405" s="9">
        <v>2487.0</v>
      </c>
      <c r="O405" s="9" t="s">
        <v>44</v>
      </c>
      <c r="P405" s="14" t="s">
        <v>1669</v>
      </c>
      <c r="U405" s="17"/>
      <c r="V405" s="18"/>
      <c r="W405" s="16"/>
      <c r="X405" s="16"/>
      <c r="Y405" s="16"/>
    </row>
    <row r="406">
      <c r="A406" s="9" t="s">
        <v>1670</v>
      </c>
      <c r="B406" s="10" t="s">
        <v>1671</v>
      </c>
      <c r="C406" s="10" t="s">
        <v>1672</v>
      </c>
      <c r="D406" s="10" t="s">
        <v>77</v>
      </c>
      <c r="E406" s="10" t="s">
        <v>1404</v>
      </c>
      <c r="F406" s="10" t="s">
        <v>1405</v>
      </c>
      <c r="G406" s="10" t="s">
        <v>1673</v>
      </c>
      <c r="H406" s="10"/>
      <c r="I406" s="11">
        <v>99.0</v>
      </c>
      <c r="J406" s="11">
        <v>499.0</v>
      </c>
      <c r="K406" s="12">
        <f t="shared" si="1"/>
        <v>0.8016032064</v>
      </c>
      <c r="L406" s="13">
        <f>IFERROR(__xludf.DUMMYFUNCTION("GOOGLEFINANCE(""CURRENCY:INRBRL"") * I406
"),5.82928576362)</f>
        <v>5.829285764</v>
      </c>
      <c r="M406" s="9">
        <v>4.5</v>
      </c>
      <c r="N406" s="9">
        <v>42641.0</v>
      </c>
      <c r="O406" s="9" t="s">
        <v>1674</v>
      </c>
      <c r="P406" s="14" t="s">
        <v>1675</v>
      </c>
      <c r="U406" s="17"/>
      <c r="V406" s="18"/>
      <c r="W406" s="16"/>
      <c r="X406" s="16"/>
      <c r="Y406" s="16"/>
    </row>
    <row r="407">
      <c r="A407" s="9" t="s">
        <v>1676</v>
      </c>
      <c r="B407" s="10" t="s">
        <v>1677</v>
      </c>
      <c r="C407" s="10" t="s">
        <v>1454</v>
      </c>
      <c r="D407" s="10" t="s">
        <v>77</v>
      </c>
      <c r="E407" s="10" t="s">
        <v>1455</v>
      </c>
      <c r="F407" s="10" t="s">
        <v>1456</v>
      </c>
      <c r="G407" s="10" t="s">
        <v>1457</v>
      </c>
      <c r="H407" s="10"/>
      <c r="I407" s="11">
        <v>4790.0</v>
      </c>
      <c r="J407" s="11">
        <v>15990.0</v>
      </c>
      <c r="K407" s="12">
        <f t="shared" si="1"/>
        <v>0.7004377736</v>
      </c>
      <c r="L407" s="13">
        <f>IFERROR(__xludf.DUMMYFUNCTION("GOOGLEFINANCE(""CURRENCY:INRBRL"") * I407
"),282.0432202802)</f>
        <v>282.0432203</v>
      </c>
      <c r="M407" s="9">
        <v>4.0</v>
      </c>
      <c r="N407" s="9">
        <v>439.0</v>
      </c>
      <c r="O407" s="9" t="s">
        <v>1678</v>
      </c>
      <c r="P407" s="14" t="s">
        <v>1679</v>
      </c>
      <c r="U407" s="17"/>
      <c r="V407" s="18"/>
      <c r="W407" s="16"/>
      <c r="X407" s="16"/>
      <c r="Y407" s="16"/>
    </row>
    <row r="408">
      <c r="A408" s="9" t="s">
        <v>1680</v>
      </c>
      <c r="B408" s="10" t="s">
        <v>1681</v>
      </c>
      <c r="C408" s="10" t="s">
        <v>1412</v>
      </c>
      <c r="D408" s="10" t="s">
        <v>77</v>
      </c>
      <c r="E408" s="10" t="s">
        <v>1404</v>
      </c>
      <c r="F408" s="10" t="s">
        <v>1413</v>
      </c>
      <c r="G408" s="10" t="s">
        <v>1414</v>
      </c>
      <c r="H408" s="10"/>
      <c r="I408" s="11">
        <v>33999.0</v>
      </c>
      <c r="J408" s="11">
        <v>33999.0</v>
      </c>
      <c r="K408" s="12">
        <f t="shared" si="1"/>
        <v>0</v>
      </c>
      <c r="L408" s="13">
        <f>IFERROR(__xludf.DUMMYFUNCTION("GOOGLEFINANCE(""CURRENCY:INRBRL"") * I408
"),2001.9180472456198)</f>
        <v>2001.918047</v>
      </c>
      <c r="M408" s="9">
        <v>4.5</v>
      </c>
      <c r="N408" s="9">
        <v>17415.0</v>
      </c>
      <c r="O408" s="9" t="s">
        <v>1682</v>
      </c>
      <c r="P408" s="14" t="s">
        <v>1683</v>
      </c>
      <c r="U408" s="17"/>
      <c r="V408" s="18"/>
      <c r="W408" s="16"/>
      <c r="X408" s="16"/>
      <c r="Y408" s="16"/>
    </row>
    <row r="409">
      <c r="A409" s="9" t="s">
        <v>1684</v>
      </c>
      <c r="B409" s="10" t="s">
        <v>1685</v>
      </c>
      <c r="C409" s="10" t="s">
        <v>1686</v>
      </c>
      <c r="D409" s="10" t="s">
        <v>19</v>
      </c>
      <c r="E409" s="10" t="s">
        <v>20</v>
      </c>
      <c r="F409" s="10" t="s">
        <v>21</v>
      </c>
      <c r="G409" s="10" t="s">
        <v>1687</v>
      </c>
      <c r="H409" s="10"/>
      <c r="I409" s="11">
        <v>99.0</v>
      </c>
      <c r="J409" s="11">
        <v>999.0</v>
      </c>
      <c r="K409" s="12">
        <f t="shared" si="1"/>
        <v>0.9009009009</v>
      </c>
      <c r="L409" s="13">
        <f>IFERROR(__xludf.DUMMYFUNCTION("GOOGLEFINANCE(""CURRENCY:INRBRL"") * I409
"),5.82928576362)</f>
        <v>5.829285764</v>
      </c>
      <c r="M409" s="9">
        <v>4.0</v>
      </c>
      <c r="N409" s="9">
        <v>1396.0</v>
      </c>
      <c r="O409" s="9" t="s">
        <v>1688</v>
      </c>
      <c r="P409" s="14" t="s">
        <v>1689</v>
      </c>
      <c r="U409" s="17"/>
      <c r="V409" s="18"/>
      <c r="W409" s="16"/>
      <c r="X409" s="16"/>
      <c r="Y409" s="16"/>
    </row>
    <row r="410">
      <c r="A410" s="9" t="s">
        <v>1690</v>
      </c>
      <c r="B410" s="10" t="s">
        <v>1691</v>
      </c>
      <c r="C410" s="10" t="s">
        <v>1454</v>
      </c>
      <c r="D410" s="10" t="s">
        <v>77</v>
      </c>
      <c r="E410" s="10" t="s">
        <v>1455</v>
      </c>
      <c r="F410" s="10" t="s">
        <v>1456</v>
      </c>
      <c r="G410" s="10" t="s">
        <v>1457</v>
      </c>
      <c r="H410" s="10"/>
      <c r="I410" s="11">
        <v>299.0</v>
      </c>
      <c r="J410" s="11">
        <v>1900.0</v>
      </c>
      <c r="K410" s="12">
        <f t="shared" si="1"/>
        <v>0.8426315789</v>
      </c>
      <c r="L410" s="13">
        <f>IFERROR(__xludf.DUMMYFUNCTION("GOOGLEFINANCE(""CURRENCY:INRBRL"") * I410
"),17.60562063962)</f>
        <v>17.60562064</v>
      </c>
      <c r="M410" s="9">
        <v>4.51</v>
      </c>
      <c r="N410" s="9">
        <v>18202.0</v>
      </c>
      <c r="O410" s="9" t="s">
        <v>1692</v>
      </c>
      <c r="P410" s="14" t="s">
        <v>1693</v>
      </c>
      <c r="U410" s="17"/>
      <c r="V410" s="18"/>
      <c r="W410" s="16"/>
      <c r="X410" s="16"/>
      <c r="Y410" s="16"/>
    </row>
    <row r="411">
      <c r="A411" s="9" t="s">
        <v>1694</v>
      </c>
      <c r="B411" s="10" t="s">
        <v>1695</v>
      </c>
      <c r="C411" s="10" t="s">
        <v>1412</v>
      </c>
      <c r="D411" s="10" t="s">
        <v>77</v>
      </c>
      <c r="E411" s="10" t="s">
        <v>1404</v>
      </c>
      <c r="F411" s="10" t="s">
        <v>1413</v>
      </c>
      <c r="G411" s="10" t="s">
        <v>1414</v>
      </c>
      <c r="H411" s="10"/>
      <c r="I411" s="11">
        <v>10999.0</v>
      </c>
      <c r="J411" s="11">
        <v>14999.0</v>
      </c>
      <c r="K411" s="12">
        <f t="shared" si="1"/>
        <v>0.2666844456</v>
      </c>
      <c r="L411" s="13">
        <f>IFERROR(__xludf.DUMMYFUNCTION("GOOGLEFINANCE(""CURRENCY:INRBRL"") * I411
"),647.63953650562)</f>
        <v>647.6395365</v>
      </c>
      <c r="M411" s="9">
        <v>4.49</v>
      </c>
      <c r="N411" s="9">
        <v>18998.0</v>
      </c>
      <c r="O411" s="9" t="s">
        <v>1696</v>
      </c>
      <c r="P411" s="14" t="s">
        <v>1697</v>
      </c>
      <c r="U411" s="17"/>
      <c r="V411" s="18"/>
      <c r="W411" s="16"/>
      <c r="X411" s="16"/>
      <c r="Y411" s="16"/>
    </row>
    <row r="412">
      <c r="A412" s="9" t="s">
        <v>1698</v>
      </c>
      <c r="B412" s="10" t="s">
        <v>1699</v>
      </c>
      <c r="C412" s="10" t="s">
        <v>1412</v>
      </c>
      <c r="D412" s="10" t="s">
        <v>77</v>
      </c>
      <c r="E412" s="10" t="s">
        <v>1404</v>
      </c>
      <c r="F412" s="10" t="s">
        <v>1413</v>
      </c>
      <c r="G412" s="10" t="s">
        <v>1414</v>
      </c>
      <c r="H412" s="10"/>
      <c r="I412" s="11">
        <v>34999.0</v>
      </c>
      <c r="J412" s="11">
        <v>38999.0</v>
      </c>
      <c r="K412" s="12">
        <f t="shared" si="1"/>
        <v>0.1025667325</v>
      </c>
      <c r="L412" s="13">
        <f>IFERROR(__xludf.DUMMYFUNCTION("GOOGLEFINANCE(""CURRENCY:INRBRL"") * I412
"),2060.79972162562)</f>
        <v>2060.799722</v>
      </c>
      <c r="M412" s="9">
        <v>4.5</v>
      </c>
      <c r="N412" s="9">
        <v>11029.0</v>
      </c>
      <c r="O412" s="9" t="s">
        <v>1700</v>
      </c>
      <c r="P412" s="14" t="s">
        <v>1701</v>
      </c>
      <c r="U412" s="17"/>
      <c r="V412" s="18"/>
      <c r="W412" s="16"/>
      <c r="X412" s="16"/>
      <c r="Y412" s="16"/>
    </row>
    <row r="413">
      <c r="A413" s="9" t="s">
        <v>1702</v>
      </c>
      <c r="B413" s="10" t="s">
        <v>1537</v>
      </c>
      <c r="C413" s="10" t="s">
        <v>1412</v>
      </c>
      <c r="D413" s="10" t="s">
        <v>77</v>
      </c>
      <c r="E413" s="10" t="s">
        <v>1404</v>
      </c>
      <c r="F413" s="10" t="s">
        <v>1413</v>
      </c>
      <c r="G413" s="10" t="s">
        <v>1414</v>
      </c>
      <c r="H413" s="10"/>
      <c r="I413" s="11">
        <v>16999.0</v>
      </c>
      <c r="J413" s="11">
        <v>24999.0</v>
      </c>
      <c r="K413" s="12">
        <f t="shared" si="1"/>
        <v>0.3200128005</v>
      </c>
      <c r="L413" s="13">
        <f>IFERROR(__xludf.DUMMYFUNCTION("GOOGLEFINANCE(""CURRENCY:INRBRL"") * I413
"),1000.92958278562)</f>
        <v>1000.929583</v>
      </c>
      <c r="M413" s="9">
        <v>4.49</v>
      </c>
      <c r="N413" s="9">
        <v>22318.0</v>
      </c>
      <c r="O413" s="9" t="s">
        <v>1538</v>
      </c>
      <c r="P413" s="14" t="s">
        <v>1703</v>
      </c>
      <c r="U413" s="17"/>
      <c r="V413" s="18"/>
      <c r="W413" s="16"/>
      <c r="X413" s="16"/>
      <c r="Y413" s="16"/>
    </row>
    <row r="414">
      <c r="A414" s="9" t="s">
        <v>1704</v>
      </c>
      <c r="B414" s="10" t="s">
        <v>1705</v>
      </c>
      <c r="C414" s="10" t="s">
        <v>1672</v>
      </c>
      <c r="D414" s="10" t="s">
        <v>77</v>
      </c>
      <c r="E414" s="10" t="s">
        <v>1404</v>
      </c>
      <c r="F414" s="10" t="s">
        <v>1405</v>
      </c>
      <c r="G414" s="10" t="s">
        <v>1673</v>
      </c>
      <c r="H414" s="10"/>
      <c r="I414" s="11">
        <v>199.0</v>
      </c>
      <c r="J414" s="11">
        <v>499.0</v>
      </c>
      <c r="K414" s="12">
        <f t="shared" si="1"/>
        <v>0.6012024048</v>
      </c>
      <c r="L414" s="13">
        <f>IFERROR(__xludf.DUMMYFUNCTION("GOOGLEFINANCE(""CURRENCY:INRBRL"") * I414
"),11.71745320162)</f>
        <v>11.7174532</v>
      </c>
      <c r="M414" s="9">
        <v>4.49</v>
      </c>
      <c r="N414" s="9">
        <v>1786.0</v>
      </c>
      <c r="O414" s="9" t="s">
        <v>1706</v>
      </c>
      <c r="P414" s="14" t="s">
        <v>1707</v>
      </c>
      <c r="U414" s="17"/>
      <c r="V414" s="18"/>
      <c r="W414" s="16"/>
      <c r="X414" s="16"/>
      <c r="Y414" s="16"/>
    </row>
    <row r="415">
      <c r="A415" s="9" t="s">
        <v>1708</v>
      </c>
      <c r="B415" s="10" t="s">
        <v>1709</v>
      </c>
      <c r="C415" s="10" t="s">
        <v>1403</v>
      </c>
      <c r="D415" s="10" t="s">
        <v>77</v>
      </c>
      <c r="E415" s="10" t="s">
        <v>1404</v>
      </c>
      <c r="F415" s="10" t="s">
        <v>1405</v>
      </c>
      <c r="G415" s="10" t="s">
        <v>1406</v>
      </c>
      <c r="H415" s="10" t="s">
        <v>1407</v>
      </c>
      <c r="I415" s="11">
        <v>999.0</v>
      </c>
      <c r="J415" s="11">
        <v>1599.0</v>
      </c>
      <c r="K415" s="12">
        <f t="shared" si="1"/>
        <v>0.3752345216</v>
      </c>
      <c r="L415" s="13">
        <f>IFERROR(__xludf.DUMMYFUNCTION("GOOGLEFINANCE(""CURRENCY:INRBRL"") * I415
"),58.822792705619996)</f>
        <v>58.82279271</v>
      </c>
      <c r="M415" s="9">
        <v>4.0</v>
      </c>
      <c r="N415" s="9">
        <v>7222.0</v>
      </c>
      <c r="O415" s="9" t="s">
        <v>1710</v>
      </c>
      <c r="P415" s="14" t="s">
        <v>1711</v>
      </c>
      <c r="U415" s="17"/>
      <c r="V415" s="18"/>
      <c r="W415" s="16"/>
      <c r="X415" s="16"/>
      <c r="Y415" s="16"/>
    </row>
    <row r="416">
      <c r="A416" s="9" t="s">
        <v>1712</v>
      </c>
      <c r="B416" s="10" t="s">
        <v>1713</v>
      </c>
      <c r="C416" s="10" t="s">
        <v>1444</v>
      </c>
      <c r="D416" s="10" t="s">
        <v>77</v>
      </c>
      <c r="E416" s="10" t="s">
        <v>1404</v>
      </c>
      <c r="F416" s="10" t="s">
        <v>1413</v>
      </c>
      <c r="G416" s="10" t="s">
        <v>1445</v>
      </c>
      <c r="H416" s="10"/>
      <c r="I416" s="11">
        <v>1299.0</v>
      </c>
      <c r="J416" s="11">
        <v>1599.0</v>
      </c>
      <c r="K416" s="12">
        <f t="shared" si="1"/>
        <v>0.1876172608</v>
      </c>
      <c r="L416" s="13">
        <f>IFERROR(__xludf.DUMMYFUNCTION("GOOGLEFINANCE(""CURRENCY:INRBRL"") * I416
"),76.48729501961999)</f>
        <v>76.48729502</v>
      </c>
      <c r="M416" s="9">
        <v>4.0</v>
      </c>
      <c r="N416" s="9">
        <v>128311.0</v>
      </c>
      <c r="O416" s="9" t="s">
        <v>1446</v>
      </c>
      <c r="P416" s="14" t="s">
        <v>1714</v>
      </c>
      <c r="U416" s="17"/>
      <c r="V416" s="18"/>
      <c r="W416" s="16"/>
      <c r="X416" s="16"/>
      <c r="Y416" s="16"/>
    </row>
    <row r="417">
      <c r="A417" s="9" t="s">
        <v>1715</v>
      </c>
      <c r="B417" s="10" t="s">
        <v>1716</v>
      </c>
      <c r="C417" s="10" t="s">
        <v>1454</v>
      </c>
      <c r="D417" s="10" t="s">
        <v>77</v>
      </c>
      <c r="E417" s="10" t="s">
        <v>1455</v>
      </c>
      <c r="F417" s="10" t="s">
        <v>1456</v>
      </c>
      <c r="G417" s="10" t="s">
        <v>1457</v>
      </c>
      <c r="H417" s="10"/>
      <c r="I417" s="11">
        <v>599.0</v>
      </c>
      <c r="J417" s="11">
        <v>1800.0</v>
      </c>
      <c r="K417" s="12">
        <f t="shared" si="1"/>
        <v>0.6672222222</v>
      </c>
      <c r="L417" s="13">
        <f>IFERROR(__xludf.DUMMYFUNCTION("GOOGLEFINANCE(""CURRENCY:INRBRL"") * I417
"),35.270122953619996)</f>
        <v>35.27012295</v>
      </c>
      <c r="M417" s="9">
        <v>4.5</v>
      </c>
      <c r="N417" s="9">
        <v>83996.0</v>
      </c>
      <c r="O417" s="9" t="s">
        <v>1717</v>
      </c>
      <c r="P417" s="14" t="s">
        <v>1718</v>
      </c>
      <c r="U417" s="17"/>
      <c r="V417" s="18"/>
      <c r="W417" s="16"/>
      <c r="X417" s="16"/>
      <c r="Y417" s="16"/>
    </row>
    <row r="418">
      <c r="A418" s="9" t="s">
        <v>1719</v>
      </c>
      <c r="B418" s="10" t="s">
        <v>1720</v>
      </c>
      <c r="C418" s="10" t="s">
        <v>1433</v>
      </c>
      <c r="D418" s="10" t="s">
        <v>77</v>
      </c>
      <c r="E418" s="10" t="s">
        <v>79</v>
      </c>
      <c r="F418" s="10" t="s">
        <v>1434</v>
      </c>
      <c r="G418" s="10" t="s">
        <v>1435</v>
      </c>
      <c r="H418" s="10"/>
      <c r="I418" s="11">
        <v>599.0</v>
      </c>
      <c r="J418" s="11">
        <v>1899.0</v>
      </c>
      <c r="K418" s="12">
        <f t="shared" si="1"/>
        <v>0.6845708268</v>
      </c>
      <c r="L418" s="13">
        <f>IFERROR(__xludf.DUMMYFUNCTION("GOOGLEFINANCE(""CURRENCY:INRBRL"") * I418
"),35.270122953619996)</f>
        <v>35.27012295</v>
      </c>
      <c r="M418" s="9">
        <v>4.5</v>
      </c>
      <c r="N418" s="9">
        <v>140036.0</v>
      </c>
      <c r="O418" s="9" t="s">
        <v>1647</v>
      </c>
      <c r="P418" s="14" t="s">
        <v>1721</v>
      </c>
      <c r="U418" s="17"/>
      <c r="V418" s="18"/>
      <c r="W418" s="16"/>
      <c r="X418" s="16"/>
      <c r="Y418" s="16"/>
    </row>
    <row r="419">
      <c r="A419" s="9" t="s">
        <v>1722</v>
      </c>
      <c r="B419" s="10" t="s">
        <v>1723</v>
      </c>
      <c r="C419" s="10" t="s">
        <v>1403</v>
      </c>
      <c r="D419" s="10" t="s">
        <v>77</v>
      </c>
      <c r="E419" s="10" t="s">
        <v>1404</v>
      </c>
      <c r="F419" s="10" t="s">
        <v>1405</v>
      </c>
      <c r="G419" s="10" t="s">
        <v>1406</v>
      </c>
      <c r="H419" s="10" t="s">
        <v>1407</v>
      </c>
      <c r="I419" s="11">
        <v>1799.0</v>
      </c>
      <c r="J419" s="11">
        <v>2499.0</v>
      </c>
      <c r="K419" s="12">
        <f t="shared" si="1"/>
        <v>0.2801120448</v>
      </c>
      <c r="L419" s="13">
        <f>IFERROR(__xludf.DUMMYFUNCTION("GOOGLEFINANCE(""CURRENCY:INRBRL"") * I419
"),105.92813220962)</f>
        <v>105.9281322</v>
      </c>
      <c r="M419" s="9">
        <v>4.49</v>
      </c>
      <c r="N419" s="9">
        <v>18678.0</v>
      </c>
      <c r="O419" s="9" t="s">
        <v>1724</v>
      </c>
      <c r="P419" s="14" t="s">
        <v>1725</v>
      </c>
      <c r="U419" s="17"/>
      <c r="V419" s="18"/>
      <c r="W419" s="16"/>
      <c r="X419" s="16"/>
      <c r="Y419" s="16"/>
    </row>
    <row r="420">
      <c r="A420" s="9" t="s">
        <v>46</v>
      </c>
      <c r="B420" s="10" t="s">
        <v>47</v>
      </c>
      <c r="C420" s="10" t="s">
        <v>18</v>
      </c>
      <c r="D420" s="10" t="s">
        <v>19</v>
      </c>
      <c r="E420" s="10" t="s">
        <v>20</v>
      </c>
      <c r="F420" s="10" t="s">
        <v>21</v>
      </c>
      <c r="G420" s="10" t="s">
        <v>22</v>
      </c>
      <c r="H420" s="10" t="s">
        <v>23</v>
      </c>
      <c r="I420" s="11">
        <v>176.63</v>
      </c>
      <c r="J420" s="11">
        <v>499.0</v>
      </c>
      <c r="K420" s="12">
        <f t="shared" si="1"/>
        <v>0.6460320641</v>
      </c>
      <c r="L420" s="13">
        <f>IFERROR(__xludf.DUMMYFUNCTION("GOOGLEFINANCE(""CURRENCY:INRBRL"") * I420
"),10.4002701457394)</f>
        <v>10.40027015</v>
      </c>
      <c r="M420" s="9">
        <v>4.49</v>
      </c>
      <c r="N420" s="9">
        <v>15189.0</v>
      </c>
      <c r="O420" s="9" t="s">
        <v>48</v>
      </c>
      <c r="P420" s="14" t="s">
        <v>1726</v>
      </c>
      <c r="U420" s="17"/>
      <c r="V420" s="18"/>
      <c r="W420" s="16"/>
      <c r="X420" s="16"/>
      <c r="Y420" s="16"/>
    </row>
    <row r="421">
      <c r="A421" s="9" t="s">
        <v>1727</v>
      </c>
      <c r="B421" s="10" t="s">
        <v>1728</v>
      </c>
      <c r="C421" s="10" t="s">
        <v>1412</v>
      </c>
      <c r="D421" s="10" t="s">
        <v>77</v>
      </c>
      <c r="E421" s="10" t="s">
        <v>1404</v>
      </c>
      <c r="F421" s="10" t="s">
        <v>1413</v>
      </c>
      <c r="G421" s="10" t="s">
        <v>1414</v>
      </c>
      <c r="H421" s="10"/>
      <c r="I421" s="11">
        <v>10999.0</v>
      </c>
      <c r="J421" s="11">
        <v>14999.0</v>
      </c>
      <c r="K421" s="12">
        <f t="shared" si="1"/>
        <v>0.2666844456</v>
      </c>
      <c r="L421" s="13">
        <f>IFERROR(__xludf.DUMMYFUNCTION("GOOGLEFINANCE(""CURRENCY:INRBRL"") * I421
"),647.63953650562)</f>
        <v>647.6395365</v>
      </c>
      <c r="M421" s="9">
        <v>4.49</v>
      </c>
      <c r="N421" s="9">
        <v>18998.0</v>
      </c>
      <c r="O421" s="9" t="s">
        <v>1696</v>
      </c>
      <c r="P421" s="14" t="s">
        <v>1729</v>
      </c>
      <c r="U421" s="17"/>
      <c r="V421" s="18"/>
      <c r="W421" s="16"/>
      <c r="X421" s="16"/>
      <c r="Y421" s="16"/>
    </row>
    <row r="422">
      <c r="A422" s="9" t="s">
        <v>1730</v>
      </c>
      <c r="B422" s="10" t="s">
        <v>1731</v>
      </c>
      <c r="C422" s="10" t="s">
        <v>1388</v>
      </c>
      <c r="D422" s="10" t="s">
        <v>77</v>
      </c>
      <c r="E422" s="10" t="s">
        <v>1389</v>
      </c>
      <c r="F422" s="10" t="s">
        <v>1390</v>
      </c>
      <c r="G422" s="10"/>
      <c r="H422" s="10"/>
      <c r="I422" s="11">
        <v>2999.0</v>
      </c>
      <c r="J422" s="11">
        <v>7990.0</v>
      </c>
      <c r="K422" s="12">
        <f t="shared" si="1"/>
        <v>0.6246558198</v>
      </c>
      <c r="L422" s="13">
        <f>IFERROR(__xludf.DUMMYFUNCTION("GOOGLEFINANCE(""CURRENCY:INRBRL"") * I422
"),176.58614146562)</f>
        <v>176.5861415</v>
      </c>
      <c r="M422" s="9">
        <v>4.49</v>
      </c>
      <c r="N422" s="9">
        <v>48449.0</v>
      </c>
      <c r="O422" s="9" t="s">
        <v>1637</v>
      </c>
      <c r="P422" s="14" t="s">
        <v>1732</v>
      </c>
      <c r="U422" s="17"/>
      <c r="V422" s="18"/>
      <c r="W422" s="16"/>
      <c r="X422" s="16"/>
      <c r="Y422" s="16"/>
    </row>
    <row r="423">
      <c r="A423" s="9" t="s">
        <v>1733</v>
      </c>
      <c r="B423" s="10" t="s">
        <v>1734</v>
      </c>
      <c r="C423" s="10" t="s">
        <v>1388</v>
      </c>
      <c r="D423" s="10" t="s">
        <v>77</v>
      </c>
      <c r="E423" s="10" t="s">
        <v>1389</v>
      </c>
      <c r="F423" s="10" t="s">
        <v>1390</v>
      </c>
      <c r="G423" s="10"/>
      <c r="H423" s="10"/>
      <c r="I423" s="11">
        <v>1999.0</v>
      </c>
      <c r="J423" s="11">
        <v>7990.0</v>
      </c>
      <c r="K423" s="12">
        <f t="shared" si="1"/>
        <v>0.7498122653</v>
      </c>
      <c r="L423" s="13">
        <f>IFERROR(__xludf.DUMMYFUNCTION("GOOGLEFINANCE(""CURRENCY:INRBRL"") * I423
"),117.70446708562)</f>
        <v>117.7044671</v>
      </c>
      <c r="M423" s="9">
        <v>4.51</v>
      </c>
      <c r="N423" s="9">
        <v>17831.0</v>
      </c>
      <c r="O423" s="9" t="s">
        <v>1399</v>
      </c>
      <c r="P423" s="14" t="s">
        <v>1735</v>
      </c>
      <c r="U423" s="17"/>
      <c r="V423" s="18"/>
      <c r="W423" s="16"/>
      <c r="X423" s="16"/>
      <c r="Y423" s="16"/>
    </row>
    <row r="424">
      <c r="A424" s="9" t="s">
        <v>50</v>
      </c>
      <c r="B424" s="10" t="s">
        <v>51</v>
      </c>
      <c r="C424" s="10" t="s">
        <v>18</v>
      </c>
      <c r="D424" s="10" t="s">
        <v>19</v>
      </c>
      <c r="E424" s="10" t="s">
        <v>20</v>
      </c>
      <c r="F424" s="10" t="s">
        <v>21</v>
      </c>
      <c r="G424" s="10" t="s">
        <v>22</v>
      </c>
      <c r="H424" s="10" t="s">
        <v>23</v>
      </c>
      <c r="I424" s="11">
        <v>229.0</v>
      </c>
      <c r="J424" s="11">
        <v>299.0</v>
      </c>
      <c r="K424" s="12">
        <f t="shared" si="1"/>
        <v>0.2341137124</v>
      </c>
      <c r="L424" s="13">
        <f>IFERROR(__xludf.DUMMYFUNCTION("GOOGLEFINANCE(""CURRENCY:INRBRL"") * I424
"),13.48390343302)</f>
        <v>13.48390343</v>
      </c>
      <c r="M424" s="9">
        <v>4.5</v>
      </c>
      <c r="N424" s="9">
        <v>30411.0</v>
      </c>
      <c r="O424" s="9" t="s">
        <v>52</v>
      </c>
      <c r="P424" s="14" t="s">
        <v>1736</v>
      </c>
      <c r="U424" s="17"/>
      <c r="V424" s="18"/>
      <c r="W424" s="16"/>
      <c r="X424" s="16"/>
      <c r="Y424" s="16"/>
    </row>
    <row r="425">
      <c r="A425" s="9" t="s">
        <v>62</v>
      </c>
      <c r="B425" s="10" t="s">
        <v>63</v>
      </c>
      <c r="C425" s="10" t="s">
        <v>18</v>
      </c>
      <c r="D425" s="10" t="s">
        <v>19</v>
      </c>
      <c r="E425" s="10" t="s">
        <v>20</v>
      </c>
      <c r="F425" s="10" t="s">
        <v>21</v>
      </c>
      <c r="G425" s="10" t="s">
        <v>22</v>
      </c>
      <c r="H425" s="10" t="s">
        <v>23</v>
      </c>
      <c r="I425" s="11">
        <v>199.0</v>
      </c>
      <c r="J425" s="11">
        <v>299.0</v>
      </c>
      <c r="K425" s="12">
        <f t="shared" si="1"/>
        <v>0.3344481605</v>
      </c>
      <c r="L425" s="13">
        <f>IFERROR(__xludf.DUMMYFUNCTION("GOOGLEFINANCE(""CURRENCY:INRBRL"") * I425
"),11.71745320162)</f>
        <v>11.7174532</v>
      </c>
      <c r="M425" s="9">
        <v>4.0</v>
      </c>
      <c r="N425" s="9">
        <v>43994.0</v>
      </c>
      <c r="O425" s="9" t="s">
        <v>64</v>
      </c>
      <c r="P425" s="14" t="s">
        <v>1737</v>
      </c>
      <c r="U425" s="17"/>
      <c r="V425" s="18"/>
      <c r="W425" s="16"/>
      <c r="X425" s="16"/>
      <c r="Y425" s="16"/>
    </row>
    <row r="426">
      <c r="A426" s="9" t="s">
        <v>1738</v>
      </c>
      <c r="B426" s="10" t="s">
        <v>1739</v>
      </c>
      <c r="C426" s="10" t="s">
        <v>1505</v>
      </c>
      <c r="D426" s="10" t="s">
        <v>77</v>
      </c>
      <c r="E426" s="10" t="s">
        <v>1404</v>
      </c>
      <c r="F426" s="10" t="s">
        <v>1405</v>
      </c>
      <c r="G426" s="10" t="s">
        <v>1406</v>
      </c>
      <c r="H426" s="10" t="s">
        <v>1506</v>
      </c>
      <c r="I426" s="11">
        <v>649.0</v>
      </c>
      <c r="J426" s="11">
        <v>999.0</v>
      </c>
      <c r="K426" s="12">
        <f t="shared" si="1"/>
        <v>0.3503503504</v>
      </c>
      <c r="L426" s="13">
        <f>IFERROR(__xludf.DUMMYFUNCTION("GOOGLEFINANCE(""CURRENCY:INRBRL"") * I426
"),38.21420667262)</f>
        <v>38.21420667</v>
      </c>
      <c r="M426" s="9">
        <v>4.5</v>
      </c>
      <c r="N426" s="9">
        <v>1315.0</v>
      </c>
      <c r="O426" s="9" t="s">
        <v>1740</v>
      </c>
      <c r="P426" s="14" t="s">
        <v>1741</v>
      </c>
      <c r="U426" s="17"/>
      <c r="V426" s="18"/>
      <c r="W426" s="16"/>
      <c r="X426" s="16"/>
      <c r="Y426" s="16"/>
    </row>
    <row r="427">
      <c r="A427" s="9" t="s">
        <v>1742</v>
      </c>
      <c r="B427" s="10" t="s">
        <v>1654</v>
      </c>
      <c r="C427" s="10" t="s">
        <v>1412</v>
      </c>
      <c r="D427" s="10" t="s">
        <v>77</v>
      </c>
      <c r="E427" s="10" t="s">
        <v>1404</v>
      </c>
      <c r="F427" s="10" t="s">
        <v>1413</v>
      </c>
      <c r="G427" s="10" t="s">
        <v>1414</v>
      </c>
      <c r="H427" s="10"/>
      <c r="I427" s="11">
        <v>13999.0</v>
      </c>
      <c r="J427" s="11">
        <v>19499.0</v>
      </c>
      <c r="K427" s="12">
        <f t="shared" si="1"/>
        <v>0.282065747</v>
      </c>
      <c r="L427" s="13">
        <f>IFERROR(__xludf.DUMMYFUNCTION("GOOGLEFINANCE(""CURRENCY:INRBRL"") * I427
"),824.28455964562)</f>
        <v>824.2845596</v>
      </c>
      <c r="M427" s="9">
        <v>4.49</v>
      </c>
      <c r="N427" s="9">
        <v>18998.0</v>
      </c>
      <c r="O427" s="9" t="s">
        <v>1655</v>
      </c>
      <c r="P427" s="14" t="s">
        <v>1743</v>
      </c>
      <c r="U427" s="17"/>
      <c r="V427" s="18"/>
      <c r="W427" s="16"/>
      <c r="X427" s="16"/>
      <c r="Y427" s="16"/>
    </row>
    <row r="428">
      <c r="A428" s="9" t="s">
        <v>1744</v>
      </c>
      <c r="B428" s="10" t="s">
        <v>1745</v>
      </c>
      <c r="C428" s="10" t="s">
        <v>1746</v>
      </c>
      <c r="D428" s="10" t="s">
        <v>77</v>
      </c>
      <c r="E428" s="10" t="s">
        <v>1404</v>
      </c>
      <c r="F428" s="10" t="s">
        <v>1405</v>
      </c>
      <c r="G428" s="10" t="s">
        <v>1747</v>
      </c>
      <c r="H428" s="10"/>
      <c r="I428" s="11">
        <v>119.0</v>
      </c>
      <c r="J428" s="11">
        <v>299.0</v>
      </c>
      <c r="K428" s="12">
        <f t="shared" si="1"/>
        <v>0.602006689</v>
      </c>
      <c r="L428" s="13">
        <f>IFERROR(__xludf.DUMMYFUNCTION("GOOGLEFINANCE(""CURRENCY:INRBRL"") * I428
"),7.00691925122)</f>
        <v>7.006919251</v>
      </c>
      <c r="M428" s="9">
        <v>4.49</v>
      </c>
      <c r="N428" s="9">
        <v>5999.0</v>
      </c>
      <c r="O428" s="9" t="s">
        <v>1748</v>
      </c>
      <c r="P428" s="14" t="s">
        <v>1749</v>
      </c>
      <c r="U428" s="17"/>
      <c r="V428" s="18"/>
      <c r="W428" s="16"/>
      <c r="X428" s="16"/>
      <c r="Y428" s="16"/>
    </row>
    <row r="429">
      <c r="A429" s="9" t="s">
        <v>1750</v>
      </c>
      <c r="B429" s="10" t="s">
        <v>1751</v>
      </c>
      <c r="C429" s="10" t="s">
        <v>1412</v>
      </c>
      <c r="D429" s="10" t="s">
        <v>77</v>
      </c>
      <c r="E429" s="10" t="s">
        <v>1404</v>
      </c>
      <c r="F429" s="10" t="s">
        <v>1413</v>
      </c>
      <c r="G429" s="10" t="s">
        <v>1414</v>
      </c>
      <c r="H429" s="10"/>
      <c r="I429" s="11">
        <v>12999.0</v>
      </c>
      <c r="J429" s="11">
        <v>17999.0</v>
      </c>
      <c r="K429" s="12">
        <f t="shared" si="1"/>
        <v>0.2777932107</v>
      </c>
      <c r="L429" s="13">
        <f>IFERROR(__xludf.DUMMYFUNCTION("GOOGLEFINANCE(""CURRENCY:INRBRL"") * I429
"),765.40288526562)</f>
        <v>765.4028853</v>
      </c>
      <c r="M429" s="9">
        <v>4.49</v>
      </c>
      <c r="N429" s="9">
        <v>50772.0</v>
      </c>
      <c r="O429" s="9" t="s">
        <v>1752</v>
      </c>
      <c r="P429" s="14" t="s">
        <v>1753</v>
      </c>
      <c r="U429" s="17"/>
      <c r="V429" s="18"/>
      <c r="W429" s="16"/>
      <c r="X429" s="16"/>
      <c r="Y429" s="16"/>
    </row>
    <row r="430">
      <c r="A430" s="9" t="s">
        <v>66</v>
      </c>
      <c r="B430" s="10" t="s">
        <v>67</v>
      </c>
      <c r="C430" s="10" t="s">
        <v>18</v>
      </c>
      <c r="D430" s="10" t="s">
        <v>19</v>
      </c>
      <c r="E430" s="10" t="s">
        <v>20</v>
      </c>
      <c r="F430" s="10" t="s">
        <v>21</v>
      </c>
      <c r="G430" s="10" t="s">
        <v>22</v>
      </c>
      <c r="H430" s="10" t="s">
        <v>23</v>
      </c>
      <c r="I430" s="11">
        <v>154.0</v>
      </c>
      <c r="J430" s="11">
        <v>339.0</v>
      </c>
      <c r="K430" s="12">
        <f t="shared" si="1"/>
        <v>0.5457227139</v>
      </c>
      <c r="L430" s="13">
        <f>IFERROR(__xludf.DUMMYFUNCTION("GOOGLEFINANCE(""CURRENCY:INRBRL"") * I430
"),9.06777785452)</f>
        <v>9.067777855</v>
      </c>
      <c r="M430" s="9">
        <v>4.5</v>
      </c>
      <c r="N430" s="9">
        <v>13391.0</v>
      </c>
      <c r="O430" s="9" t="s">
        <v>499</v>
      </c>
      <c r="P430" s="14" t="s">
        <v>1754</v>
      </c>
      <c r="U430" s="17"/>
      <c r="V430" s="18"/>
      <c r="W430" s="16"/>
      <c r="X430" s="16"/>
      <c r="Y430" s="16"/>
    </row>
    <row r="431">
      <c r="A431" s="9" t="s">
        <v>1755</v>
      </c>
      <c r="B431" s="10" t="s">
        <v>1756</v>
      </c>
      <c r="C431" s="10" t="s">
        <v>1412</v>
      </c>
      <c r="D431" s="10" t="s">
        <v>77</v>
      </c>
      <c r="E431" s="10" t="s">
        <v>1404</v>
      </c>
      <c r="F431" s="10" t="s">
        <v>1413</v>
      </c>
      <c r="G431" s="10" t="s">
        <v>1414</v>
      </c>
      <c r="H431" s="10"/>
      <c r="I431" s="11">
        <v>20999.0</v>
      </c>
      <c r="J431" s="11">
        <v>26999.0</v>
      </c>
      <c r="K431" s="12">
        <f t="shared" si="1"/>
        <v>0.222230453</v>
      </c>
      <c r="L431" s="13">
        <f>IFERROR(__xludf.DUMMYFUNCTION("GOOGLEFINANCE(""CURRENCY:INRBRL"") * I431
"),1236.4562803056199)</f>
        <v>1236.45628</v>
      </c>
      <c r="M431" s="9">
        <v>4.52</v>
      </c>
      <c r="N431" s="9">
        <v>25824.0</v>
      </c>
      <c r="O431" s="9" t="s">
        <v>1757</v>
      </c>
      <c r="P431" s="14" t="s">
        <v>1758</v>
      </c>
      <c r="U431" s="17"/>
      <c r="V431" s="18"/>
      <c r="W431" s="16"/>
      <c r="X431" s="16"/>
      <c r="Y431" s="16"/>
    </row>
    <row r="432">
      <c r="A432" s="9" t="s">
        <v>1759</v>
      </c>
      <c r="B432" s="10" t="s">
        <v>1760</v>
      </c>
      <c r="C432" s="10" t="s">
        <v>1505</v>
      </c>
      <c r="D432" s="10" t="s">
        <v>77</v>
      </c>
      <c r="E432" s="10" t="s">
        <v>1404</v>
      </c>
      <c r="F432" s="10" t="s">
        <v>1405</v>
      </c>
      <c r="G432" s="10" t="s">
        <v>1406</v>
      </c>
      <c r="H432" s="10" t="s">
        <v>1506</v>
      </c>
      <c r="I432" s="11">
        <v>249.0</v>
      </c>
      <c r="J432" s="11">
        <v>649.0</v>
      </c>
      <c r="K432" s="12">
        <f t="shared" si="1"/>
        <v>0.6163328197</v>
      </c>
      <c r="L432" s="13">
        <f>IFERROR(__xludf.DUMMYFUNCTION("GOOGLEFINANCE(""CURRENCY:INRBRL"") * I432
"),14.66153692062)</f>
        <v>14.66153692</v>
      </c>
      <c r="M432" s="9">
        <v>4.0</v>
      </c>
      <c r="N432" s="9">
        <v>14404.0</v>
      </c>
      <c r="O432" s="9" t="s">
        <v>1761</v>
      </c>
      <c r="P432" s="14" t="s">
        <v>1762</v>
      </c>
      <c r="U432" s="17"/>
      <c r="V432" s="18"/>
      <c r="W432" s="16"/>
      <c r="X432" s="16"/>
      <c r="Y432" s="16"/>
    </row>
    <row r="433">
      <c r="A433" s="9" t="s">
        <v>1763</v>
      </c>
      <c r="B433" s="10" t="s">
        <v>1764</v>
      </c>
      <c r="C433" s="10" t="s">
        <v>1505</v>
      </c>
      <c r="D433" s="10" t="s">
        <v>77</v>
      </c>
      <c r="E433" s="10" t="s">
        <v>1404</v>
      </c>
      <c r="F433" s="10" t="s">
        <v>1405</v>
      </c>
      <c r="G433" s="10" t="s">
        <v>1406</v>
      </c>
      <c r="H433" s="10" t="s">
        <v>1506</v>
      </c>
      <c r="I433" s="11">
        <v>99.0</v>
      </c>
      <c r="J433" s="11">
        <v>171.0</v>
      </c>
      <c r="K433" s="12">
        <f t="shared" si="1"/>
        <v>0.4210526316</v>
      </c>
      <c r="L433" s="13">
        <f>IFERROR(__xludf.DUMMYFUNCTION("GOOGLEFINANCE(""CURRENCY:INRBRL"") * I433
"),5.82928576362)</f>
        <v>5.829285764</v>
      </c>
      <c r="M433" s="9">
        <v>4.51</v>
      </c>
      <c r="N433" s="9">
        <v>11339.0</v>
      </c>
      <c r="O433" s="9" t="s">
        <v>1765</v>
      </c>
      <c r="P433" s="14" t="s">
        <v>1766</v>
      </c>
      <c r="U433" s="17"/>
      <c r="V433" s="18"/>
      <c r="W433" s="16"/>
      <c r="X433" s="16"/>
      <c r="Y433" s="16"/>
    </row>
    <row r="434">
      <c r="A434" s="9" t="s">
        <v>1767</v>
      </c>
      <c r="B434" s="10" t="s">
        <v>1768</v>
      </c>
      <c r="C434" s="10" t="s">
        <v>1498</v>
      </c>
      <c r="D434" s="10" t="s">
        <v>77</v>
      </c>
      <c r="E434" s="10" t="s">
        <v>1404</v>
      </c>
      <c r="F434" s="10" t="s">
        <v>1405</v>
      </c>
      <c r="G434" s="10" t="s">
        <v>1499</v>
      </c>
      <c r="H434" s="10" t="s">
        <v>1500</v>
      </c>
      <c r="I434" s="11">
        <v>489.0</v>
      </c>
      <c r="J434" s="11">
        <v>1999.0</v>
      </c>
      <c r="K434" s="12">
        <f t="shared" si="1"/>
        <v>0.7553776888</v>
      </c>
      <c r="L434" s="13">
        <f>IFERROR(__xludf.DUMMYFUNCTION("GOOGLEFINANCE(""CURRENCY:INRBRL"") * I434
"),28.79313877182)</f>
        <v>28.79313877</v>
      </c>
      <c r="M434" s="9">
        <v>4.0</v>
      </c>
      <c r="N434" s="9">
        <v>3626.0</v>
      </c>
      <c r="O434" s="9" t="s">
        <v>1769</v>
      </c>
      <c r="P434" s="14" t="s">
        <v>1770</v>
      </c>
      <c r="U434" s="17"/>
      <c r="V434" s="18"/>
      <c r="W434" s="16"/>
      <c r="X434" s="16"/>
      <c r="Y434" s="16"/>
    </row>
    <row r="435">
      <c r="A435" s="9" t="s">
        <v>1771</v>
      </c>
      <c r="B435" s="10" t="s">
        <v>1772</v>
      </c>
      <c r="C435" s="10" t="s">
        <v>1433</v>
      </c>
      <c r="D435" s="10" t="s">
        <v>77</v>
      </c>
      <c r="E435" s="10" t="s">
        <v>79</v>
      </c>
      <c r="F435" s="10" t="s">
        <v>1434</v>
      </c>
      <c r="G435" s="10" t="s">
        <v>1435</v>
      </c>
      <c r="H435" s="10"/>
      <c r="I435" s="11">
        <v>369.0</v>
      </c>
      <c r="J435" s="11">
        <v>1600.0</v>
      </c>
      <c r="K435" s="12">
        <f t="shared" si="1"/>
        <v>0.769375</v>
      </c>
      <c r="L435" s="13">
        <f>IFERROR(__xludf.DUMMYFUNCTION("GOOGLEFINANCE(""CURRENCY:INRBRL"") * I435
"),21.72733784622)</f>
        <v>21.72733785</v>
      </c>
      <c r="M435" s="9">
        <v>4.0</v>
      </c>
      <c r="N435" s="9">
        <v>32625.0</v>
      </c>
      <c r="O435" s="9" t="s">
        <v>1773</v>
      </c>
      <c r="P435" s="14" t="s">
        <v>1774</v>
      </c>
      <c r="U435" s="17"/>
      <c r="V435" s="18"/>
      <c r="W435" s="16"/>
      <c r="X435" s="16"/>
      <c r="Y435" s="16"/>
    </row>
    <row r="436">
      <c r="A436" s="9" t="s">
        <v>1775</v>
      </c>
      <c r="B436" s="10" t="s">
        <v>1776</v>
      </c>
      <c r="C436" s="10" t="s">
        <v>1412</v>
      </c>
      <c r="D436" s="10" t="s">
        <v>77</v>
      </c>
      <c r="E436" s="10" t="s">
        <v>1404</v>
      </c>
      <c r="F436" s="10" t="s">
        <v>1413</v>
      </c>
      <c r="G436" s="10" t="s">
        <v>1414</v>
      </c>
      <c r="H436" s="10"/>
      <c r="I436" s="11">
        <v>15499.0</v>
      </c>
      <c r="J436" s="11">
        <v>20999.0</v>
      </c>
      <c r="K436" s="12">
        <f t="shared" si="1"/>
        <v>0.2619172342</v>
      </c>
      <c r="L436" s="13">
        <f>IFERROR(__xludf.DUMMYFUNCTION("GOOGLEFINANCE(""CURRENCY:INRBRL"") * I436
"),912.60707121562)</f>
        <v>912.6070712</v>
      </c>
      <c r="M436" s="9">
        <v>4.49</v>
      </c>
      <c r="N436" s="9">
        <v>19252.0</v>
      </c>
      <c r="O436" s="9" t="s">
        <v>1777</v>
      </c>
      <c r="P436" s="14" t="s">
        <v>1778</v>
      </c>
      <c r="U436" s="17"/>
      <c r="V436" s="18"/>
      <c r="W436" s="16"/>
      <c r="X436" s="16"/>
      <c r="Y436" s="16"/>
    </row>
    <row r="437">
      <c r="A437" s="9" t="s">
        <v>1779</v>
      </c>
      <c r="B437" s="10" t="s">
        <v>1780</v>
      </c>
      <c r="C437" s="10" t="s">
        <v>1412</v>
      </c>
      <c r="D437" s="10" t="s">
        <v>77</v>
      </c>
      <c r="E437" s="10" t="s">
        <v>1404</v>
      </c>
      <c r="F437" s="10" t="s">
        <v>1413</v>
      </c>
      <c r="G437" s="10" t="s">
        <v>1414</v>
      </c>
      <c r="H437" s="10"/>
      <c r="I437" s="11">
        <v>15499.0</v>
      </c>
      <c r="J437" s="11">
        <v>18999.0</v>
      </c>
      <c r="K437" s="12">
        <f t="shared" si="1"/>
        <v>0.1842202221</v>
      </c>
      <c r="L437" s="13">
        <f>IFERROR(__xludf.DUMMYFUNCTION("GOOGLEFINANCE(""CURRENCY:INRBRL"") * I437
"),912.60707121562)</f>
        <v>912.6070712</v>
      </c>
      <c r="M437" s="9">
        <v>4.49</v>
      </c>
      <c r="N437" s="9">
        <v>19252.0</v>
      </c>
      <c r="O437" s="9" t="s">
        <v>1579</v>
      </c>
      <c r="P437" s="14" t="s">
        <v>1781</v>
      </c>
      <c r="U437" s="17"/>
      <c r="V437" s="18"/>
      <c r="W437" s="16"/>
      <c r="X437" s="16"/>
      <c r="Y437" s="16"/>
    </row>
    <row r="438">
      <c r="A438" s="9" t="s">
        <v>1782</v>
      </c>
      <c r="B438" s="10" t="s">
        <v>1783</v>
      </c>
      <c r="C438" s="10" t="s">
        <v>1412</v>
      </c>
      <c r="D438" s="10" t="s">
        <v>77</v>
      </c>
      <c r="E438" s="10" t="s">
        <v>1404</v>
      </c>
      <c r="F438" s="10" t="s">
        <v>1413</v>
      </c>
      <c r="G438" s="10" t="s">
        <v>1414</v>
      </c>
      <c r="H438" s="10"/>
      <c r="I438" s="11">
        <v>22999.0</v>
      </c>
      <c r="J438" s="11">
        <v>28999.0</v>
      </c>
      <c r="K438" s="12">
        <f t="shared" si="1"/>
        <v>0.2069036863</v>
      </c>
      <c r="L438" s="13">
        <f>IFERROR(__xludf.DUMMYFUNCTION("GOOGLEFINANCE(""CURRENCY:INRBRL"") * I438
"),1354.21962906562)</f>
        <v>1354.219629</v>
      </c>
      <c r="M438" s="9">
        <v>4.52</v>
      </c>
      <c r="N438" s="9">
        <v>25824.0</v>
      </c>
      <c r="O438" s="9" t="s">
        <v>1784</v>
      </c>
      <c r="P438" s="14" t="s">
        <v>1785</v>
      </c>
      <c r="U438" s="17"/>
      <c r="V438" s="18"/>
      <c r="W438" s="16"/>
      <c r="X438" s="16"/>
      <c r="Y438" s="16"/>
    </row>
    <row r="439">
      <c r="A439" s="9" t="s">
        <v>1786</v>
      </c>
      <c r="B439" s="10" t="s">
        <v>1787</v>
      </c>
      <c r="C439" s="10" t="s">
        <v>1454</v>
      </c>
      <c r="D439" s="10" t="s">
        <v>77</v>
      </c>
      <c r="E439" s="10" t="s">
        <v>1455</v>
      </c>
      <c r="F439" s="10" t="s">
        <v>1456</v>
      </c>
      <c r="G439" s="10" t="s">
        <v>1457</v>
      </c>
      <c r="H439" s="10"/>
      <c r="I439" s="11">
        <v>599.0</v>
      </c>
      <c r="J439" s="11">
        <v>1490.0</v>
      </c>
      <c r="K439" s="12">
        <f t="shared" si="1"/>
        <v>0.5979865772</v>
      </c>
      <c r="L439" s="13">
        <f>IFERROR(__xludf.DUMMYFUNCTION("GOOGLEFINANCE(""CURRENCY:INRBRL"") * I439
"),35.270122953619996)</f>
        <v>35.27012295</v>
      </c>
      <c r="M439" s="9">
        <v>4.49</v>
      </c>
      <c r="N439" s="9">
        <v>161679.0</v>
      </c>
      <c r="O439" s="9" t="s">
        <v>1788</v>
      </c>
      <c r="P439" s="14" t="s">
        <v>1789</v>
      </c>
      <c r="U439" s="17"/>
      <c r="V439" s="18"/>
      <c r="W439" s="16"/>
      <c r="X439" s="16"/>
      <c r="Y439" s="16"/>
    </row>
    <row r="440">
      <c r="A440" s="9" t="s">
        <v>1790</v>
      </c>
      <c r="B440" s="10" t="s">
        <v>1791</v>
      </c>
      <c r="C440" s="10" t="s">
        <v>1672</v>
      </c>
      <c r="D440" s="10" t="s">
        <v>77</v>
      </c>
      <c r="E440" s="10" t="s">
        <v>1404</v>
      </c>
      <c r="F440" s="10" t="s">
        <v>1405</v>
      </c>
      <c r="G440" s="10" t="s">
        <v>1673</v>
      </c>
      <c r="H440" s="10"/>
      <c r="I440" s="11">
        <v>134.0</v>
      </c>
      <c r="J440" s="11">
        <v>699.0</v>
      </c>
      <c r="K440" s="12">
        <f t="shared" si="1"/>
        <v>0.808297568</v>
      </c>
      <c r="L440" s="13">
        <f>IFERROR(__xludf.DUMMYFUNCTION("GOOGLEFINANCE(""CURRENCY:INRBRL"") * I440
"),7.8901443669199995)</f>
        <v>7.890144367</v>
      </c>
      <c r="M440" s="9">
        <v>4.49</v>
      </c>
      <c r="N440" s="9">
        <v>16685.0</v>
      </c>
      <c r="O440" s="9" t="s">
        <v>1792</v>
      </c>
      <c r="P440" s="14" t="s">
        <v>1793</v>
      </c>
      <c r="U440" s="17"/>
      <c r="V440" s="18"/>
      <c r="W440" s="16"/>
      <c r="X440" s="16"/>
      <c r="Y440" s="16"/>
    </row>
    <row r="441">
      <c r="A441" s="9" t="s">
        <v>1794</v>
      </c>
      <c r="B441" s="10" t="s">
        <v>1795</v>
      </c>
      <c r="C441" s="10" t="s">
        <v>1412</v>
      </c>
      <c r="D441" s="10" t="s">
        <v>77</v>
      </c>
      <c r="E441" s="10" t="s">
        <v>1404</v>
      </c>
      <c r="F441" s="10" t="s">
        <v>1413</v>
      </c>
      <c r="G441" s="10" t="s">
        <v>1414</v>
      </c>
      <c r="H441" s="10"/>
      <c r="I441" s="11">
        <v>7499.0</v>
      </c>
      <c r="J441" s="11">
        <v>7999.0</v>
      </c>
      <c r="K441" s="12">
        <f t="shared" si="1"/>
        <v>0.06250781348</v>
      </c>
      <c r="L441" s="13">
        <f>IFERROR(__xludf.DUMMYFUNCTION("GOOGLEFINANCE(""CURRENCY:INRBRL"") * I441
"),441.55367617562)</f>
        <v>441.5536762</v>
      </c>
      <c r="M441" s="9">
        <v>4.0</v>
      </c>
      <c r="N441" s="9">
        <v>30907.0</v>
      </c>
      <c r="O441" s="9" t="s">
        <v>1796</v>
      </c>
      <c r="P441" s="14" t="s">
        <v>1797</v>
      </c>
      <c r="U441" s="17"/>
      <c r="V441" s="18"/>
      <c r="W441" s="16"/>
      <c r="X441" s="16"/>
      <c r="Y441" s="16"/>
    </row>
    <row r="442">
      <c r="A442" s="9" t="s">
        <v>1798</v>
      </c>
      <c r="B442" s="10" t="s">
        <v>1799</v>
      </c>
      <c r="C442" s="10" t="s">
        <v>1403</v>
      </c>
      <c r="D442" s="10" t="s">
        <v>77</v>
      </c>
      <c r="E442" s="10" t="s">
        <v>1404</v>
      </c>
      <c r="F442" s="10" t="s">
        <v>1405</v>
      </c>
      <c r="G442" s="10" t="s">
        <v>1406</v>
      </c>
      <c r="H442" s="10" t="s">
        <v>1407</v>
      </c>
      <c r="I442" s="11">
        <v>1149.0</v>
      </c>
      <c r="J442" s="11">
        <v>2199.0</v>
      </c>
      <c r="K442" s="12">
        <f t="shared" si="1"/>
        <v>0.4774897681</v>
      </c>
      <c r="L442" s="13">
        <f>IFERROR(__xludf.DUMMYFUNCTION("GOOGLEFINANCE(""CURRENCY:INRBRL"") * I442
"),67.65504386262)</f>
        <v>67.65504386</v>
      </c>
      <c r="M442" s="9">
        <v>4.5</v>
      </c>
      <c r="N442" s="9">
        <v>178912.0</v>
      </c>
      <c r="O442" s="9" t="s">
        <v>1800</v>
      </c>
      <c r="P442" s="14" t="s">
        <v>1801</v>
      </c>
      <c r="U442" s="17"/>
      <c r="V442" s="18"/>
      <c r="W442" s="16"/>
      <c r="X442" s="16"/>
      <c r="Y442" s="16"/>
    </row>
    <row r="443">
      <c r="A443" s="9" t="s">
        <v>1802</v>
      </c>
      <c r="B443" s="10" t="s">
        <v>1803</v>
      </c>
      <c r="C443" s="10" t="s">
        <v>1444</v>
      </c>
      <c r="D443" s="10" t="s">
        <v>77</v>
      </c>
      <c r="E443" s="10" t="s">
        <v>1404</v>
      </c>
      <c r="F443" s="10" t="s">
        <v>1413</v>
      </c>
      <c r="G443" s="10" t="s">
        <v>1445</v>
      </c>
      <c r="H443" s="10"/>
      <c r="I443" s="11">
        <v>1324.0</v>
      </c>
      <c r="J443" s="11">
        <v>1699.0</v>
      </c>
      <c r="K443" s="12">
        <f t="shared" si="1"/>
        <v>0.2207180695</v>
      </c>
      <c r="L443" s="13">
        <f>IFERROR(__xludf.DUMMYFUNCTION("GOOGLEFINANCE(""CURRENCY:INRBRL"") * I443
"),77.95933687912)</f>
        <v>77.95933688</v>
      </c>
      <c r="M443" s="9">
        <v>4.0</v>
      </c>
      <c r="N443" s="9">
        <v>128311.0</v>
      </c>
      <c r="O443" s="9" t="s">
        <v>1804</v>
      </c>
      <c r="P443" s="14" t="s">
        <v>1805</v>
      </c>
      <c r="U443" s="17"/>
      <c r="V443" s="18"/>
      <c r="W443" s="16"/>
      <c r="X443" s="16"/>
      <c r="Y443" s="16"/>
    </row>
    <row r="444">
      <c r="A444" s="9" t="s">
        <v>1806</v>
      </c>
      <c r="B444" s="10" t="s">
        <v>1807</v>
      </c>
      <c r="C444" s="10" t="s">
        <v>1412</v>
      </c>
      <c r="D444" s="10" t="s">
        <v>77</v>
      </c>
      <c r="E444" s="10" t="s">
        <v>1404</v>
      </c>
      <c r="F444" s="10" t="s">
        <v>1413</v>
      </c>
      <c r="G444" s="10" t="s">
        <v>1414</v>
      </c>
      <c r="H444" s="10"/>
      <c r="I444" s="11">
        <v>13999.0</v>
      </c>
      <c r="J444" s="11">
        <v>19999.0</v>
      </c>
      <c r="K444" s="12">
        <f t="shared" si="1"/>
        <v>0.3000150008</v>
      </c>
      <c r="L444" s="13">
        <f>IFERROR(__xludf.DUMMYFUNCTION("GOOGLEFINANCE(""CURRENCY:INRBRL"") * I444
"),824.28455964562)</f>
        <v>824.2845596</v>
      </c>
      <c r="M444" s="9">
        <v>4.49</v>
      </c>
      <c r="N444" s="9">
        <v>19252.0</v>
      </c>
      <c r="O444" s="9" t="s">
        <v>1777</v>
      </c>
      <c r="P444" s="14" t="s">
        <v>1808</v>
      </c>
      <c r="U444" s="17"/>
      <c r="V444" s="18"/>
      <c r="W444" s="16"/>
      <c r="X444" s="16"/>
      <c r="Y444" s="16"/>
    </row>
    <row r="445">
      <c r="A445" s="9" t="s">
        <v>70</v>
      </c>
      <c r="B445" s="10" t="s">
        <v>71</v>
      </c>
      <c r="C445" s="10" t="s">
        <v>18</v>
      </c>
      <c r="D445" s="10" t="s">
        <v>19</v>
      </c>
      <c r="E445" s="10" t="s">
        <v>20</v>
      </c>
      <c r="F445" s="10" t="s">
        <v>21</v>
      </c>
      <c r="G445" s="10" t="s">
        <v>22</v>
      </c>
      <c r="H445" s="10" t="s">
        <v>23</v>
      </c>
      <c r="I445" s="11">
        <v>299.0</v>
      </c>
      <c r="J445" s="11">
        <v>799.0</v>
      </c>
      <c r="K445" s="12">
        <f t="shared" si="1"/>
        <v>0.6257822278</v>
      </c>
      <c r="L445" s="13">
        <f>IFERROR(__xludf.DUMMYFUNCTION("GOOGLEFINANCE(""CURRENCY:INRBRL"") * I445
"),17.60562063962)</f>
        <v>17.60562064</v>
      </c>
      <c r="M445" s="9">
        <v>4.5</v>
      </c>
      <c r="N445" s="9">
        <v>94364.0</v>
      </c>
      <c r="O445" s="9" t="s">
        <v>72</v>
      </c>
      <c r="P445" s="14" t="s">
        <v>1809</v>
      </c>
      <c r="U445" s="17"/>
      <c r="V445" s="18"/>
      <c r="W445" s="16"/>
      <c r="X445" s="16"/>
      <c r="Y445" s="16"/>
    </row>
    <row r="446">
      <c r="A446" s="9" t="s">
        <v>1810</v>
      </c>
      <c r="B446" s="10" t="s">
        <v>1811</v>
      </c>
      <c r="C446" s="10" t="s">
        <v>1403</v>
      </c>
      <c r="D446" s="10" t="s">
        <v>77</v>
      </c>
      <c r="E446" s="10" t="s">
        <v>1404</v>
      </c>
      <c r="F446" s="10" t="s">
        <v>1405</v>
      </c>
      <c r="G446" s="10" t="s">
        <v>1406</v>
      </c>
      <c r="H446" s="10" t="s">
        <v>1407</v>
      </c>
      <c r="I446" s="11">
        <v>999.0</v>
      </c>
      <c r="J446" s="11">
        <v>1599.0</v>
      </c>
      <c r="K446" s="12">
        <f t="shared" si="1"/>
        <v>0.3752345216</v>
      </c>
      <c r="L446" s="13">
        <f>IFERROR(__xludf.DUMMYFUNCTION("GOOGLEFINANCE(""CURRENCY:INRBRL"") * I446
"),58.822792705619996)</f>
        <v>58.82279271</v>
      </c>
      <c r="M446" s="9">
        <v>4.0</v>
      </c>
      <c r="N446" s="9">
        <v>7222.0</v>
      </c>
      <c r="O446" s="9" t="s">
        <v>1812</v>
      </c>
      <c r="P446" s="14" t="s">
        <v>1813</v>
      </c>
      <c r="U446" s="17"/>
      <c r="V446" s="18"/>
      <c r="W446" s="16"/>
      <c r="X446" s="16"/>
      <c r="Y446" s="16"/>
    </row>
    <row r="447">
      <c r="A447" s="9" t="s">
        <v>1814</v>
      </c>
      <c r="B447" s="10" t="s">
        <v>1815</v>
      </c>
      <c r="C447" s="10" t="s">
        <v>1412</v>
      </c>
      <c r="D447" s="10" t="s">
        <v>77</v>
      </c>
      <c r="E447" s="10" t="s">
        <v>1404</v>
      </c>
      <c r="F447" s="10" t="s">
        <v>1413</v>
      </c>
      <c r="G447" s="10" t="s">
        <v>1414</v>
      </c>
      <c r="H447" s="10"/>
      <c r="I447" s="11">
        <v>12999.0</v>
      </c>
      <c r="J447" s="11">
        <v>17999.0</v>
      </c>
      <c r="K447" s="12">
        <f t="shared" si="1"/>
        <v>0.2777932107</v>
      </c>
      <c r="L447" s="13">
        <f>IFERROR(__xludf.DUMMYFUNCTION("GOOGLEFINANCE(""CURRENCY:INRBRL"") * I447
"),765.40288526562)</f>
        <v>765.4028853</v>
      </c>
      <c r="M447" s="9">
        <v>4.49</v>
      </c>
      <c r="N447" s="9">
        <v>18998.0</v>
      </c>
      <c r="O447" s="9" t="s">
        <v>1527</v>
      </c>
      <c r="P447" s="14" t="s">
        <v>1816</v>
      </c>
      <c r="U447" s="17"/>
      <c r="V447" s="18"/>
      <c r="W447" s="16"/>
      <c r="X447" s="16"/>
      <c r="Y447" s="16"/>
    </row>
    <row r="448">
      <c r="A448" s="9" t="s">
        <v>1817</v>
      </c>
      <c r="B448" s="10" t="s">
        <v>1818</v>
      </c>
      <c r="C448" s="10" t="s">
        <v>1412</v>
      </c>
      <c r="D448" s="10" t="s">
        <v>77</v>
      </c>
      <c r="E448" s="10" t="s">
        <v>1404</v>
      </c>
      <c r="F448" s="10" t="s">
        <v>1413</v>
      </c>
      <c r="G448" s="10" t="s">
        <v>1414</v>
      </c>
      <c r="H448" s="10"/>
      <c r="I448" s="11">
        <v>15490.0</v>
      </c>
      <c r="J448" s="11">
        <v>20990.0</v>
      </c>
      <c r="K448" s="12">
        <f t="shared" si="1"/>
        <v>0.2620295379</v>
      </c>
      <c r="L448" s="13">
        <f>IFERROR(__xludf.DUMMYFUNCTION("GOOGLEFINANCE(""CURRENCY:INRBRL"") * I448
"),912.0771361462)</f>
        <v>912.0771361</v>
      </c>
      <c r="M448" s="9">
        <v>4.5</v>
      </c>
      <c r="N448" s="9">
        <v>32916.0</v>
      </c>
      <c r="O448" s="9" t="s">
        <v>1819</v>
      </c>
      <c r="P448" s="14" t="s">
        <v>1820</v>
      </c>
      <c r="U448" s="17"/>
      <c r="V448" s="18"/>
      <c r="W448" s="16"/>
      <c r="X448" s="16"/>
      <c r="Y448" s="16"/>
    </row>
    <row r="449">
      <c r="A449" s="9" t="s">
        <v>1821</v>
      </c>
      <c r="B449" s="10" t="s">
        <v>1822</v>
      </c>
      <c r="C449" s="10" t="s">
        <v>1823</v>
      </c>
      <c r="D449" s="10" t="s">
        <v>77</v>
      </c>
      <c r="E449" s="10" t="s">
        <v>1404</v>
      </c>
      <c r="F449" s="10" t="s">
        <v>1405</v>
      </c>
      <c r="G449" s="10" t="s">
        <v>1824</v>
      </c>
      <c r="H449" s="10" t="s">
        <v>1825</v>
      </c>
      <c r="I449" s="11">
        <v>999.0</v>
      </c>
      <c r="J449" s="11">
        <v>2899.0</v>
      </c>
      <c r="K449" s="12">
        <f t="shared" si="1"/>
        <v>0.6553984132</v>
      </c>
      <c r="L449" s="13">
        <f>IFERROR(__xludf.DUMMYFUNCTION("GOOGLEFINANCE(""CURRENCY:INRBRL"") * I449
"),58.822792705619996)</f>
        <v>58.82279271</v>
      </c>
      <c r="M449" s="9">
        <v>4.51</v>
      </c>
      <c r="N449" s="9">
        <v>26603.0</v>
      </c>
      <c r="O449" s="9" t="s">
        <v>1826</v>
      </c>
      <c r="P449" s="14" t="s">
        <v>1827</v>
      </c>
      <c r="U449" s="17"/>
      <c r="V449" s="18"/>
      <c r="W449" s="16"/>
      <c r="X449" s="16"/>
      <c r="Y449" s="16"/>
    </row>
    <row r="450">
      <c r="A450" s="9" t="s">
        <v>1828</v>
      </c>
      <c r="B450" s="10" t="s">
        <v>1829</v>
      </c>
      <c r="C450" s="10" t="s">
        <v>1388</v>
      </c>
      <c r="D450" s="10" t="s">
        <v>77</v>
      </c>
      <c r="E450" s="10" t="s">
        <v>1389</v>
      </c>
      <c r="F450" s="10" t="s">
        <v>1390</v>
      </c>
      <c r="G450" s="10"/>
      <c r="H450" s="10"/>
      <c r="I450" s="11">
        <v>1599.0</v>
      </c>
      <c r="J450" s="11">
        <v>4999.0</v>
      </c>
      <c r="K450" s="12">
        <f t="shared" si="1"/>
        <v>0.6801360272</v>
      </c>
      <c r="L450" s="13">
        <f>IFERROR(__xludf.DUMMYFUNCTION("GOOGLEFINANCE(""CURRENCY:INRBRL"") * I450
"),94.15179733362)</f>
        <v>94.15179733</v>
      </c>
      <c r="M450" s="9">
        <v>4.0</v>
      </c>
      <c r="N450" s="9">
        <v>6795.0</v>
      </c>
      <c r="O450" s="9" t="s">
        <v>1830</v>
      </c>
      <c r="P450" s="14" t="s">
        <v>1831</v>
      </c>
      <c r="U450" s="17"/>
      <c r="V450" s="18"/>
      <c r="W450" s="16"/>
      <c r="X450" s="16"/>
      <c r="Y450" s="16"/>
    </row>
    <row r="451">
      <c r="A451" s="9" t="s">
        <v>1832</v>
      </c>
      <c r="B451" s="10" t="s">
        <v>1833</v>
      </c>
      <c r="C451" s="10" t="s">
        <v>1444</v>
      </c>
      <c r="D451" s="10" t="s">
        <v>77</v>
      </c>
      <c r="E451" s="10" t="s">
        <v>1404</v>
      </c>
      <c r="F451" s="10" t="s">
        <v>1413</v>
      </c>
      <c r="G451" s="10" t="s">
        <v>1445</v>
      </c>
      <c r="H451" s="10"/>
      <c r="I451" s="11">
        <v>1324.0</v>
      </c>
      <c r="J451" s="11">
        <v>1699.0</v>
      </c>
      <c r="K451" s="12">
        <f t="shared" si="1"/>
        <v>0.2207180695</v>
      </c>
      <c r="L451" s="13">
        <f>IFERROR(__xludf.DUMMYFUNCTION("GOOGLEFINANCE(""CURRENCY:INRBRL"") * I451
"),77.95933687912)</f>
        <v>77.95933688</v>
      </c>
      <c r="M451" s="9">
        <v>4.0</v>
      </c>
      <c r="N451" s="9">
        <v>128311.0</v>
      </c>
      <c r="O451" s="9" t="s">
        <v>1804</v>
      </c>
      <c r="P451" s="14" t="s">
        <v>1834</v>
      </c>
      <c r="U451" s="17"/>
      <c r="V451" s="18"/>
      <c r="W451" s="16"/>
      <c r="X451" s="16"/>
      <c r="Y451" s="16"/>
    </row>
    <row r="452">
      <c r="A452" s="9" t="s">
        <v>1835</v>
      </c>
      <c r="B452" s="10" t="s">
        <v>1836</v>
      </c>
      <c r="C452" s="10" t="s">
        <v>1412</v>
      </c>
      <c r="D452" s="10" t="s">
        <v>77</v>
      </c>
      <c r="E452" s="10" t="s">
        <v>1404</v>
      </c>
      <c r="F452" s="10" t="s">
        <v>1413</v>
      </c>
      <c r="G452" s="10" t="s">
        <v>1414</v>
      </c>
      <c r="H452" s="10"/>
      <c r="I452" s="11">
        <v>20999.0</v>
      </c>
      <c r="J452" s="11">
        <v>29990.0</v>
      </c>
      <c r="K452" s="12">
        <f t="shared" si="1"/>
        <v>0.2997999333</v>
      </c>
      <c r="L452" s="13">
        <f>IFERROR(__xludf.DUMMYFUNCTION("GOOGLEFINANCE(""CURRENCY:INRBRL"") * I452
"),1236.4562803056199)</f>
        <v>1236.45628</v>
      </c>
      <c r="M452" s="9">
        <v>4.5</v>
      </c>
      <c r="N452" s="9">
        <v>9499.0</v>
      </c>
      <c r="O452" s="9" t="s">
        <v>1837</v>
      </c>
      <c r="P452" s="14" t="s">
        <v>1838</v>
      </c>
      <c r="U452" s="17"/>
      <c r="V452" s="18"/>
      <c r="W452" s="16"/>
      <c r="X452" s="16"/>
      <c r="Y452" s="16"/>
    </row>
    <row r="453">
      <c r="A453" s="9" t="s">
        <v>1839</v>
      </c>
      <c r="B453" s="10" t="s">
        <v>1840</v>
      </c>
      <c r="C453" s="10" t="s">
        <v>1505</v>
      </c>
      <c r="D453" s="10" t="s">
        <v>77</v>
      </c>
      <c r="E453" s="10" t="s">
        <v>1404</v>
      </c>
      <c r="F453" s="10" t="s">
        <v>1405</v>
      </c>
      <c r="G453" s="10" t="s">
        <v>1406</v>
      </c>
      <c r="H453" s="10" t="s">
        <v>1506</v>
      </c>
      <c r="I453" s="11">
        <v>999.0</v>
      </c>
      <c r="J453" s="11">
        <v>1999.0</v>
      </c>
      <c r="K453" s="12">
        <f t="shared" si="1"/>
        <v>0.5002501251</v>
      </c>
      <c r="L453" s="13">
        <f>IFERROR(__xludf.DUMMYFUNCTION("GOOGLEFINANCE(""CURRENCY:INRBRL"") * I453
"),58.822792705619996)</f>
        <v>58.82279271</v>
      </c>
      <c r="M453" s="9">
        <v>4.5</v>
      </c>
      <c r="N453" s="9">
        <v>1777.0</v>
      </c>
      <c r="O453" s="9" t="s">
        <v>1841</v>
      </c>
      <c r="P453" s="14" t="s">
        <v>1842</v>
      </c>
      <c r="U453" s="17"/>
      <c r="V453" s="18"/>
      <c r="W453" s="16"/>
      <c r="X453" s="16"/>
      <c r="Y453" s="16"/>
    </row>
    <row r="454">
      <c r="A454" s="9" t="s">
        <v>1843</v>
      </c>
      <c r="B454" s="10" t="s">
        <v>1844</v>
      </c>
      <c r="C454" s="10" t="s">
        <v>1412</v>
      </c>
      <c r="D454" s="10" t="s">
        <v>77</v>
      </c>
      <c r="E454" s="10" t="s">
        <v>1404</v>
      </c>
      <c r="F454" s="10" t="s">
        <v>1413</v>
      </c>
      <c r="G454" s="10" t="s">
        <v>1414</v>
      </c>
      <c r="H454" s="10"/>
      <c r="I454" s="11">
        <v>12490.0</v>
      </c>
      <c r="J454" s="11">
        <v>15990.0</v>
      </c>
      <c r="K454" s="12">
        <f t="shared" si="1"/>
        <v>0.2188868043</v>
      </c>
      <c r="L454" s="13">
        <f>IFERROR(__xludf.DUMMYFUNCTION("GOOGLEFINANCE(""CURRENCY:INRBRL"") * I454
"),735.4321130062)</f>
        <v>735.432113</v>
      </c>
      <c r="M454" s="9">
        <v>4.5</v>
      </c>
      <c r="N454" s="9">
        <v>58506.0</v>
      </c>
      <c r="O454" s="9" t="s">
        <v>1845</v>
      </c>
      <c r="P454" s="14" t="s">
        <v>1846</v>
      </c>
      <c r="U454" s="17"/>
      <c r="V454" s="18"/>
      <c r="W454" s="16"/>
      <c r="X454" s="16"/>
      <c r="Y454" s="16"/>
    </row>
    <row r="455">
      <c r="A455" s="9" t="s">
        <v>1847</v>
      </c>
      <c r="B455" s="10" t="s">
        <v>1848</v>
      </c>
      <c r="C455" s="10" t="s">
        <v>1412</v>
      </c>
      <c r="D455" s="10" t="s">
        <v>77</v>
      </c>
      <c r="E455" s="10" t="s">
        <v>1404</v>
      </c>
      <c r="F455" s="10" t="s">
        <v>1413</v>
      </c>
      <c r="G455" s="10" t="s">
        <v>1414</v>
      </c>
      <c r="H455" s="10"/>
      <c r="I455" s="11">
        <v>17999.0</v>
      </c>
      <c r="J455" s="11">
        <v>21990.0</v>
      </c>
      <c r="K455" s="12">
        <f t="shared" si="1"/>
        <v>0.1814915871</v>
      </c>
      <c r="L455" s="13">
        <f>IFERROR(__xludf.DUMMYFUNCTION("GOOGLEFINANCE(""CURRENCY:INRBRL"") * I455
"),1059.81125716562)</f>
        <v>1059.811257</v>
      </c>
      <c r="M455" s="9">
        <v>4.0</v>
      </c>
      <c r="N455" s="9">
        <v>2135.0</v>
      </c>
      <c r="O455" s="9" t="s">
        <v>1849</v>
      </c>
      <c r="P455" s="14" t="s">
        <v>1850</v>
      </c>
      <c r="U455" s="17"/>
      <c r="V455" s="18"/>
      <c r="W455" s="16"/>
      <c r="X455" s="16"/>
      <c r="Y455" s="16"/>
    </row>
    <row r="456">
      <c r="A456" s="9" t="s">
        <v>83</v>
      </c>
      <c r="B456" s="10" t="s">
        <v>84</v>
      </c>
      <c r="C456" s="10" t="s">
        <v>18</v>
      </c>
      <c r="D456" s="10" t="s">
        <v>19</v>
      </c>
      <c r="E456" s="10" t="s">
        <v>20</v>
      </c>
      <c r="F456" s="10" t="s">
        <v>21</v>
      </c>
      <c r="G456" s="10" t="s">
        <v>22</v>
      </c>
      <c r="H456" s="10" t="s">
        <v>23</v>
      </c>
      <c r="I456" s="11">
        <v>350.0</v>
      </c>
      <c r="J456" s="11">
        <v>899.0</v>
      </c>
      <c r="K456" s="12">
        <f t="shared" si="1"/>
        <v>0.6106785317</v>
      </c>
      <c r="L456" s="13">
        <f>IFERROR(__xludf.DUMMYFUNCTION("GOOGLEFINANCE(""CURRENCY:INRBRL"") * I456
"),20.608586032999998)</f>
        <v>20.60858603</v>
      </c>
      <c r="M456" s="9">
        <v>4.5</v>
      </c>
      <c r="N456" s="9">
        <v>2263.0</v>
      </c>
      <c r="O456" s="9" t="s">
        <v>85</v>
      </c>
      <c r="P456" s="14" t="s">
        <v>1851</v>
      </c>
      <c r="U456" s="17"/>
      <c r="V456" s="18"/>
      <c r="W456" s="16"/>
      <c r="X456" s="16"/>
      <c r="Y456" s="16"/>
    </row>
    <row r="457">
      <c r="A457" s="9" t="s">
        <v>1852</v>
      </c>
      <c r="B457" s="10" t="s">
        <v>1853</v>
      </c>
      <c r="C457" s="10" t="s">
        <v>1444</v>
      </c>
      <c r="D457" s="10" t="s">
        <v>77</v>
      </c>
      <c r="E457" s="10" t="s">
        <v>1404</v>
      </c>
      <c r="F457" s="10" t="s">
        <v>1413</v>
      </c>
      <c r="G457" s="10" t="s">
        <v>1445</v>
      </c>
      <c r="H457" s="10"/>
      <c r="I457" s="11">
        <v>1399.0</v>
      </c>
      <c r="J457" s="11">
        <v>1630.0</v>
      </c>
      <c r="K457" s="12">
        <f t="shared" si="1"/>
        <v>0.1417177914</v>
      </c>
      <c r="L457" s="13">
        <f>IFERROR(__xludf.DUMMYFUNCTION("GOOGLEFINANCE(""CURRENCY:INRBRL"") * I457
"),82.37546245762)</f>
        <v>82.37546246</v>
      </c>
      <c r="M457" s="9">
        <v>4.0</v>
      </c>
      <c r="N457" s="9">
        <v>9378.0</v>
      </c>
      <c r="O457" s="9" t="s">
        <v>1854</v>
      </c>
      <c r="P457" s="14" t="s">
        <v>1855</v>
      </c>
      <c r="U457" s="17"/>
      <c r="V457" s="18"/>
      <c r="W457" s="16"/>
      <c r="X457" s="16"/>
      <c r="Y457" s="16"/>
    </row>
    <row r="458">
      <c r="A458" s="9" t="s">
        <v>87</v>
      </c>
      <c r="B458" s="10" t="s">
        <v>88</v>
      </c>
      <c r="C458" s="10" t="s">
        <v>18</v>
      </c>
      <c r="D458" s="10" t="s">
        <v>19</v>
      </c>
      <c r="E458" s="10" t="s">
        <v>20</v>
      </c>
      <c r="F458" s="10" t="s">
        <v>21</v>
      </c>
      <c r="G458" s="10" t="s">
        <v>22</v>
      </c>
      <c r="H458" s="10" t="s">
        <v>23</v>
      </c>
      <c r="I458" s="11">
        <v>159.0</v>
      </c>
      <c r="J458" s="11">
        <v>399.0</v>
      </c>
      <c r="K458" s="12">
        <f t="shared" si="1"/>
        <v>0.6015037594</v>
      </c>
      <c r="L458" s="13">
        <f>IFERROR(__xludf.DUMMYFUNCTION("GOOGLEFINANCE(""CURRENCY:INRBRL"") * I458
"),9.36218622642)</f>
        <v>9.362186226</v>
      </c>
      <c r="M458" s="9">
        <v>4.49</v>
      </c>
      <c r="N458" s="9">
        <v>4768.0</v>
      </c>
      <c r="O458" s="9" t="s">
        <v>40</v>
      </c>
      <c r="P458" s="14" t="s">
        <v>1856</v>
      </c>
      <c r="U458" s="17"/>
      <c r="V458" s="18"/>
      <c r="W458" s="16"/>
      <c r="X458" s="16"/>
      <c r="Y458" s="16"/>
    </row>
    <row r="459">
      <c r="A459" s="9" t="s">
        <v>1857</v>
      </c>
      <c r="B459" s="10" t="s">
        <v>1858</v>
      </c>
      <c r="C459" s="10" t="s">
        <v>1388</v>
      </c>
      <c r="D459" s="10" t="s">
        <v>77</v>
      </c>
      <c r="E459" s="10" t="s">
        <v>1389</v>
      </c>
      <c r="F459" s="10" t="s">
        <v>1390</v>
      </c>
      <c r="G459" s="10"/>
      <c r="H459" s="10"/>
      <c r="I459" s="11">
        <v>1499.0</v>
      </c>
      <c r="J459" s="11">
        <v>6990.0</v>
      </c>
      <c r="K459" s="12">
        <f t="shared" si="1"/>
        <v>0.7855507868</v>
      </c>
      <c r="L459" s="13">
        <f>IFERROR(__xludf.DUMMYFUNCTION("GOOGLEFINANCE(""CURRENCY:INRBRL"") * I459
"),88.26362989562)</f>
        <v>88.2636299</v>
      </c>
      <c r="M459" s="9">
        <v>4.52</v>
      </c>
      <c r="N459" s="9">
        <v>21796.0</v>
      </c>
      <c r="O459" s="9" t="s">
        <v>1450</v>
      </c>
      <c r="P459" s="14" t="s">
        <v>1859</v>
      </c>
      <c r="U459" s="17"/>
      <c r="V459" s="18"/>
      <c r="W459" s="16"/>
      <c r="X459" s="16"/>
      <c r="Y459" s="16"/>
    </row>
    <row r="460">
      <c r="A460" s="9" t="s">
        <v>1860</v>
      </c>
      <c r="B460" s="10" t="s">
        <v>1861</v>
      </c>
      <c r="C460" s="10" t="s">
        <v>1388</v>
      </c>
      <c r="D460" s="10" t="s">
        <v>77</v>
      </c>
      <c r="E460" s="10" t="s">
        <v>1389</v>
      </c>
      <c r="F460" s="10" t="s">
        <v>1390</v>
      </c>
      <c r="G460" s="10"/>
      <c r="H460" s="10"/>
      <c r="I460" s="11">
        <v>1999.0</v>
      </c>
      <c r="J460" s="11">
        <v>7990.0</v>
      </c>
      <c r="K460" s="12">
        <f t="shared" si="1"/>
        <v>0.7498122653</v>
      </c>
      <c r="L460" s="13">
        <f>IFERROR(__xludf.DUMMYFUNCTION("GOOGLEFINANCE(""CURRENCY:INRBRL"") * I460
"),117.70446708562)</f>
        <v>117.7044671</v>
      </c>
      <c r="M460" s="9">
        <v>4.51</v>
      </c>
      <c r="N460" s="9">
        <v>17833.0</v>
      </c>
      <c r="O460" s="9" t="s">
        <v>1399</v>
      </c>
      <c r="P460" s="14" t="s">
        <v>1862</v>
      </c>
      <c r="U460" s="17"/>
      <c r="V460" s="18"/>
      <c r="W460" s="16"/>
      <c r="X460" s="16"/>
      <c r="Y460" s="16"/>
    </row>
    <row r="461">
      <c r="A461" s="9" t="s">
        <v>1863</v>
      </c>
      <c r="B461" s="10" t="s">
        <v>1864</v>
      </c>
      <c r="C461" s="10" t="s">
        <v>1823</v>
      </c>
      <c r="D461" s="10" t="s">
        <v>77</v>
      </c>
      <c r="E461" s="10" t="s">
        <v>1404</v>
      </c>
      <c r="F461" s="10" t="s">
        <v>1405</v>
      </c>
      <c r="G461" s="10" t="s">
        <v>1824</v>
      </c>
      <c r="H461" s="10" t="s">
        <v>1825</v>
      </c>
      <c r="I461" s="11">
        <v>999.0</v>
      </c>
      <c r="J461" s="11">
        <v>2899.0</v>
      </c>
      <c r="K461" s="12">
        <f t="shared" si="1"/>
        <v>0.6553984132</v>
      </c>
      <c r="L461" s="13">
        <f>IFERROR(__xludf.DUMMYFUNCTION("GOOGLEFINANCE(""CURRENCY:INRBRL"") * I461
"),58.822792705619996)</f>
        <v>58.82279271</v>
      </c>
      <c r="M461" s="9">
        <v>4.51</v>
      </c>
      <c r="N461" s="9">
        <v>7779.0</v>
      </c>
      <c r="O461" s="9" t="s">
        <v>1865</v>
      </c>
      <c r="P461" s="14" t="s">
        <v>1866</v>
      </c>
      <c r="U461" s="17"/>
      <c r="V461" s="18"/>
      <c r="W461" s="16"/>
      <c r="X461" s="16"/>
      <c r="Y461" s="16"/>
    </row>
    <row r="462">
      <c r="A462" s="9" t="s">
        <v>1867</v>
      </c>
      <c r="B462" s="10" t="s">
        <v>1868</v>
      </c>
      <c r="C462" s="10" t="s">
        <v>1869</v>
      </c>
      <c r="D462" s="10" t="s">
        <v>77</v>
      </c>
      <c r="E462" s="10" t="s">
        <v>1404</v>
      </c>
      <c r="F462" s="10" t="s">
        <v>1405</v>
      </c>
      <c r="G462" s="10" t="s">
        <v>1870</v>
      </c>
      <c r="H462" s="10"/>
      <c r="I462" s="11">
        <v>2099.0</v>
      </c>
      <c r="J462" s="11">
        <v>5999.0</v>
      </c>
      <c r="K462" s="12">
        <f t="shared" si="1"/>
        <v>0.6501083514</v>
      </c>
      <c r="L462" s="13">
        <f>IFERROR(__xludf.DUMMYFUNCTION("GOOGLEFINANCE(""CURRENCY:INRBRL"") * I462
"),123.59263452361999)</f>
        <v>123.5926345</v>
      </c>
      <c r="M462" s="9">
        <v>4.5</v>
      </c>
      <c r="N462" s="9">
        <v>17129.0</v>
      </c>
      <c r="O462" s="9" t="s">
        <v>1871</v>
      </c>
      <c r="P462" s="14" t="s">
        <v>1872</v>
      </c>
      <c r="U462" s="17"/>
      <c r="V462" s="18"/>
      <c r="W462" s="16"/>
      <c r="X462" s="16"/>
      <c r="Y462" s="16"/>
    </row>
    <row r="463">
      <c r="A463" s="9" t="s">
        <v>1873</v>
      </c>
      <c r="B463" s="10" t="s">
        <v>1874</v>
      </c>
      <c r="C463" s="10" t="s">
        <v>1474</v>
      </c>
      <c r="D463" s="10" t="s">
        <v>77</v>
      </c>
      <c r="E463" s="10" t="s">
        <v>1404</v>
      </c>
      <c r="F463" s="10" t="s">
        <v>1405</v>
      </c>
      <c r="G463" s="10" t="s">
        <v>1406</v>
      </c>
      <c r="H463" s="10" t="s">
        <v>1475</v>
      </c>
      <c r="I463" s="11">
        <v>337.0</v>
      </c>
      <c r="J463" s="11">
        <v>699.0</v>
      </c>
      <c r="K463" s="12">
        <f t="shared" si="1"/>
        <v>0.5178826896</v>
      </c>
      <c r="L463" s="13">
        <f>IFERROR(__xludf.DUMMYFUNCTION("GOOGLEFINANCE(""CURRENCY:INRBRL"") * I463
"),19.84312426606)</f>
        <v>19.84312427</v>
      </c>
      <c r="M463" s="9">
        <v>4.5</v>
      </c>
      <c r="N463" s="9">
        <v>4969.0</v>
      </c>
      <c r="O463" s="9" t="s">
        <v>1875</v>
      </c>
      <c r="P463" s="14" t="s">
        <v>1876</v>
      </c>
      <c r="U463" s="17"/>
      <c r="V463" s="18"/>
      <c r="W463" s="16"/>
      <c r="X463" s="16"/>
      <c r="Y463" s="16"/>
    </row>
    <row r="464">
      <c r="A464" s="9" t="s">
        <v>1877</v>
      </c>
      <c r="B464" s="10" t="s">
        <v>1878</v>
      </c>
      <c r="C464" s="10" t="s">
        <v>1388</v>
      </c>
      <c r="D464" s="10" t="s">
        <v>77</v>
      </c>
      <c r="E464" s="10" t="s">
        <v>1389</v>
      </c>
      <c r="F464" s="10" t="s">
        <v>1390</v>
      </c>
      <c r="G464" s="10"/>
      <c r="H464" s="10"/>
      <c r="I464" s="11">
        <v>2999.0</v>
      </c>
      <c r="J464" s="11">
        <v>7990.0</v>
      </c>
      <c r="K464" s="12">
        <f t="shared" si="1"/>
        <v>0.6246558198</v>
      </c>
      <c r="L464" s="13">
        <f>IFERROR(__xludf.DUMMYFUNCTION("GOOGLEFINANCE(""CURRENCY:INRBRL"") * I464
"),176.58614146562)</f>
        <v>176.5861415</v>
      </c>
      <c r="M464" s="9">
        <v>4.49</v>
      </c>
      <c r="N464" s="9">
        <v>154.0</v>
      </c>
      <c r="O464" s="9" t="s">
        <v>1879</v>
      </c>
      <c r="P464" s="14" t="s">
        <v>1880</v>
      </c>
      <c r="U464" s="17"/>
      <c r="V464" s="18"/>
      <c r="W464" s="16"/>
      <c r="X464" s="16"/>
      <c r="Y464" s="16"/>
    </row>
    <row r="465">
      <c r="A465" s="9" t="s">
        <v>1881</v>
      </c>
      <c r="B465" s="10" t="s">
        <v>1882</v>
      </c>
      <c r="C465" s="10" t="s">
        <v>1388</v>
      </c>
      <c r="D465" s="10" t="s">
        <v>77</v>
      </c>
      <c r="E465" s="10" t="s">
        <v>1389</v>
      </c>
      <c r="F465" s="10" t="s">
        <v>1390</v>
      </c>
      <c r="G465" s="10"/>
      <c r="H465" s="10"/>
      <c r="I465" s="11">
        <v>1299.0</v>
      </c>
      <c r="J465" s="11">
        <v>5999.0</v>
      </c>
      <c r="K465" s="12">
        <f t="shared" si="1"/>
        <v>0.7834639107</v>
      </c>
      <c r="L465" s="13">
        <f>IFERROR(__xludf.DUMMYFUNCTION("GOOGLEFINANCE(""CURRENCY:INRBRL"") * I465
"),76.48729501961999)</f>
        <v>76.48729502</v>
      </c>
      <c r="M465" s="9">
        <v>4.5</v>
      </c>
      <c r="N465" s="9">
        <v>4415.0</v>
      </c>
      <c r="O465" s="9" t="s">
        <v>1883</v>
      </c>
      <c r="P465" s="14" t="s">
        <v>1884</v>
      </c>
      <c r="U465" s="17"/>
      <c r="V465" s="18"/>
      <c r="W465" s="16"/>
      <c r="X465" s="16"/>
      <c r="Y465" s="16"/>
    </row>
    <row r="466">
      <c r="A466" s="9" t="s">
        <v>90</v>
      </c>
      <c r="B466" s="10" t="s">
        <v>91</v>
      </c>
      <c r="C466" s="10" t="s">
        <v>18</v>
      </c>
      <c r="D466" s="10" t="s">
        <v>19</v>
      </c>
      <c r="E466" s="10" t="s">
        <v>20</v>
      </c>
      <c r="F466" s="10" t="s">
        <v>21</v>
      </c>
      <c r="G466" s="10" t="s">
        <v>22</v>
      </c>
      <c r="H466" s="10" t="s">
        <v>23</v>
      </c>
      <c r="I466" s="11">
        <v>349.0</v>
      </c>
      <c r="J466" s="11">
        <v>399.0</v>
      </c>
      <c r="K466" s="12">
        <f t="shared" si="1"/>
        <v>0.1253132832</v>
      </c>
      <c r="L466" s="13">
        <f>IFERROR(__xludf.DUMMYFUNCTION("GOOGLEFINANCE(""CURRENCY:INRBRL"") * I466
"),20.549704358619998)</f>
        <v>20.54970436</v>
      </c>
      <c r="M466" s="9">
        <v>4.5</v>
      </c>
      <c r="N466" s="9">
        <v>18757.0</v>
      </c>
      <c r="O466" s="9" t="s">
        <v>92</v>
      </c>
      <c r="P466" s="14" t="s">
        <v>1885</v>
      </c>
      <c r="U466" s="17"/>
      <c r="V466" s="18"/>
      <c r="W466" s="16"/>
      <c r="X466" s="16"/>
      <c r="Y466" s="16"/>
    </row>
    <row r="467">
      <c r="A467" s="9" t="s">
        <v>1886</v>
      </c>
      <c r="B467" s="10" t="s">
        <v>1887</v>
      </c>
      <c r="C467" s="10" t="s">
        <v>1412</v>
      </c>
      <c r="D467" s="10" t="s">
        <v>77</v>
      </c>
      <c r="E467" s="10" t="s">
        <v>1404</v>
      </c>
      <c r="F467" s="10" t="s">
        <v>1413</v>
      </c>
      <c r="G467" s="10" t="s">
        <v>1414</v>
      </c>
      <c r="H467" s="10"/>
      <c r="I467" s="11">
        <v>16499.0</v>
      </c>
      <c r="J467" s="11">
        <v>20990.0</v>
      </c>
      <c r="K467" s="12">
        <f t="shared" si="1"/>
        <v>0.2139590281</v>
      </c>
      <c r="L467" s="13">
        <f>IFERROR(__xludf.DUMMYFUNCTION("GOOGLEFINANCE(""CURRENCY:INRBRL"") * I467
"),971.48874559562)</f>
        <v>971.4887456</v>
      </c>
      <c r="M467" s="9">
        <v>4.0</v>
      </c>
      <c r="N467" s="9">
        <v>2135.0</v>
      </c>
      <c r="O467" s="9" t="s">
        <v>1849</v>
      </c>
      <c r="P467" s="14" t="s">
        <v>1888</v>
      </c>
      <c r="U467" s="17"/>
      <c r="V467" s="18"/>
      <c r="W467" s="16"/>
      <c r="X467" s="16"/>
      <c r="Y467" s="16"/>
    </row>
    <row r="468">
      <c r="A468" s="9" t="s">
        <v>1889</v>
      </c>
      <c r="B468" s="10" t="s">
        <v>1890</v>
      </c>
      <c r="C468" s="10" t="s">
        <v>1454</v>
      </c>
      <c r="D468" s="10" t="s">
        <v>77</v>
      </c>
      <c r="E468" s="10" t="s">
        <v>1455</v>
      </c>
      <c r="F468" s="10" t="s">
        <v>1456</v>
      </c>
      <c r="G468" s="10" t="s">
        <v>1457</v>
      </c>
      <c r="H468" s="10"/>
      <c r="I468" s="11">
        <v>499.0</v>
      </c>
      <c r="J468" s="11">
        <v>499.0</v>
      </c>
      <c r="K468" s="12">
        <f t="shared" si="1"/>
        <v>0</v>
      </c>
      <c r="L468" s="13">
        <f>IFERROR(__xludf.DUMMYFUNCTION("GOOGLEFINANCE(""CURRENCY:INRBRL"") * I468
"),29.38195551562)</f>
        <v>29.38195552</v>
      </c>
      <c r="M468" s="9">
        <v>4.5</v>
      </c>
      <c r="N468" s="9">
        <v>31539.0</v>
      </c>
      <c r="O468" s="9" t="s">
        <v>1891</v>
      </c>
      <c r="P468" s="14" t="s">
        <v>1892</v>
      </c>
      <c r="U468" s="17"/>
      <c r="V468" s="18"/>
      <c r="W468" s="16"/>
      <c r="X468" s="16"/>
      <c r="Y468" s="16"/>
    </row>
    <row r="469">
      <c r="A469" s="9" t="s">
        <v>113</v>
      </c>
      <c r="B469" s="10" t="s">
        <v>114</v>
      </c>
      <c r="C469" s="10" t="s">
        <v>18</v>
      </c>
      <c r="D469" s="10" t="s">
        <v>19</v>
      </c>
      <c r="E469" s="10" t="s">
        <v>20</v>
      </c>
      <c r="F469" s="10" t="s">
        <v>21</v>
      </c>
      <c r="G469" s="10" t="s">
        <v>22</v>
      </c>
      <c r="H469" s="10" t="s">
        <v>23</v>
      </c>
      <c r="I469" s="11">
        <v>970.0</v>
      </c>
      <c r="J469" s="11">
        <v>1799.0</v>
      </c>
      <c r="K469" s="12">
        <f t="shared" si="1"/>
        <v>0.460811562</v>
      </c>
      <c r="L469" s="13">
        <f>IFERROR(__xludf.DUMMYFUNCTION("GOOGLEFINANCE(""CURRENCY:INRBRL"") * I469
"),57.1152241486)</f>
        <v>57.11522415</v>
      </c>
      <c r="M469" s="9">
        <v>4.51</v>
      </c>
      <c r="N469" s="9">
        <v>815.0</v>
      </c>
      <c r="O469" s="9" t="s">
        <v>115</v>
      </c>
      <c r="P469" s="14" t="s">
        <v>1893</v>
      </c>
      <c r="U469" s="17"/>
      <c r="V469" s="18"/>
      <c r="W469" s="16"/>
      <c r="X469" s="16"/>
      <c r="Y469" s="16"/>
    </row>
    <row r="470">
      <c r="A470" s="9" t="s">
        <v>1894</v>
      </c>
      <c r="B470" s="10" t="s">
        <v>1895</v>
      </c>
      <c r="C470" s="10" t="s">
        <v>1823</v>
      </c>
      <c r="D470" s="10" t="s">
        <v>77</v>
      </c>
      <c r="E470" s="10" t="s">
        <v>1404</v>
      </c>
      <c r="F470" s="10" t="s">
        <v>1405</v>
      </c>
      <c r="G470" s="10" t="s">
        <v>1824</v>
      </c>
      <c r="H470" s="10" t="s">
        <v>1825</v>
      </c>
      <c r="I470" s="11">
        <v>999.0</v>
      </c>
      <c r="J470" s="11">
        <v>2899.0</v>
      </c>
      <c r="K470" s="12">
        <f t="shared" si="1"/>
        <v>0.6553984132</v>
      </c>
      <c r="L470" s="13">
        <f>IFERROR(__xludf.DUMMYFUNCTION("GOOGLEFINANCE(""CURRENCY:INRBRL"") * I470
"),58.822792705619996)</f>
        <v>58.82279271</v>
      </c>
      <c r="M470" s="9">
        <v>4.51</v>
      </c>
      <c r="N470" s="9">
        <v>6129.0</v>
      </c>
      <c r="O470" s="9" t="s">
        <v>1896</v>
      </c>
      <c r="P470" s="14" t="s">
        <v>1897</v>
      </c>
      <c r="U470" s="17"/>
      <c r="V470" s="18"/>
      <c r="W470" s="16"/>
      <c r="X470" s="16"/>
      <c r="Y470" s="16"/>
    </row>
    <row r="471">
      <c r="A471" s="9" t="s">
        <v>1898</v>
      </c>
      <c r="B471" s="10" t="s">
        <v>1899</v>
      </c>
      <c r="C471" s="10" t="s">
        <v>1412</v>
      </c>
      <c r="D471" s="10" t="s">
        <v>77</v>
      </c>
      <c r="E471" s="10" t="s">
        <v>1404</v>
      </c>
      <c r="F471" s="10" t="s">
        <v>1413</v>
      </c>
      <c r="G471" s="10" t="s">
        <v>1414</v>
      </c>
      <c r="H471" s="10"/>
      <c r="I471" s="11">
        <v>10499.0</v>
      </c>
      <c r="J471" s="11">
        <v>13499.0</v>
      </c>
      <c r="K471" s="12">
        <f t="shared" si="1"/>
        <v>0.2222386843</v>
      </c>
      <c r="L471" s="13">
        <f>IFERROR(__xludf.DUMMYFUNCTION("GOOGLEFINANCE(""CURRENCY:INRBRL"") * I471
"),618.1986993156199)</f>
        <v>618.1986993</v>
      </c>
      <c r="M471" s="9">
        <v>4.5</v>
      </c>
      <c r="N471" s="9">
        <v>284.0</v>
      </c>
      <c r="O471" s="9" t="s">
        <v>1462</v>
      </c>
      <c r="P471" s="14" t="s">
        <v>1900</v>
      </c>
      <c r="U471" s="17"/>
      <c r="V471" s="18"/>
      <c r="W471" s="16"/>
      <c r="X471" s="16"/>
      <c r="Y471" s="16"/>
    </row>
    <row r="472">
      <c r="A472" s="9" t="s">
        <v>101</v>
      </c>
      <c r="B472" s="10" t="s">
        <v>102</v>
      </c>
      <c r="C472" s="10" t="s">
        <v>18</v>
      </c>
      <c r="D472" s="10" t="s">
        <v>19</v>
      </c>
      <c r="E472" s="10" t="s">
        <v>20</v>
      </c>
      <c r="F472" s="10" t="s">
        <v>21</v>
      </c>
      <c r="G472" s="10" t="s">
        <v>22</v>
      </c>
      <c r="H472" s="10" t="s">
        <v>23</v>
      </c>
      <c r="I472" s="11">
        <v>249.0</v>
      </c>
      <c r="J472" s="11">
        <v>399.0</v>
      </c>
      <c r="K472" s="12">
        <f t="shared" si="1"/>
        <v>0.3759398496</v>
      </c>
      <c r="L472" s="13">
        <f>IFERROR(__xludf.DUMMYFUNCTION("GOOGLEFINANCE(""CURRENCY:INRBRL"") * I472
"),14.66153692062)</f>
        <v>14.66153692</v>
      </c>
      <c r="M472" s="9">
        <v>4.0</v>
      </c>
      <c r="N472" s="9">
        <v>43994.0</v>
      </c>
      <c r="O472" s="9" t="s">
        <v>103</v>
      </c>
      <c r="P472" s="14" t="s">
        <v>1901</v>
      </c>
      <c r="U472" s="17"/>
      <c r="V472" s="18"/>
      <c r="W472" s="16"/>
      <c r="X472" s="16"/>
      <c r="Y472" s="16"/>
    </row>
    <row r="473">
      <c r="A473" s="9" t="s">
        <v>1902</v>
      </c>
      <c r="B473" s="10" t="s">
        <v>1903</v>
      </c>
      <c r="C473" s="10" t="s">
        <v>1904</v>
      </c>
      <c r="D473" s="10" t="s">
        <v>77</v>
      </c>
      <c r="E473" s="10" t="s">
        <v>1404</v>
      </c>
      <c r="F473" s="10" t="s">
        <v>1405</v>
      </c>
      <c r="G473" s="10" t="s">
        <v>571</v>
      </c>
      <c r="H473" s="10" t="s">
        <v>1905</v>
      </c>
      <c r="I473" s="11">
        <v>251.0</v>
      </c>
      <c r="J473" s="11">
        <v>999.0</v>
      </c>
      <c r="K473" s="12">
        <f t="shared" si="1"/>
        <v>0.7487487487</v>
      </c>
      <c r="L473" s="13">
        <f>IFERROR(__xludf.DUMMYFUNCTION("GOOGLEFINANCE(""CURRENCY:INRBRL"") * I473
"),14.77930026938)</f>
        <v>14.77930027</v>
      </c>
      <c r="M473" s="9">
        <v>4.51</v>
      </c>
      <c r="N473" s="9">
        <v>3234.0</v>
      </c>
      <c r="O473" s="9" t="s">
        <v>1906</v>
      </c>
      <c r="P473" s="14" t="s">
        <v>1907</v>
      </c>
      <c r="U473" s="17"/>
      <c r="V473" s="18"/>
      <c r="W473" s="16"/>
      <c r="X473" s="16"/>
      <c r="Y473" s="16"/>
    </row>
    <row r="474">
      <c r="A474" s="9" t="s">
        <v>105</v>
      </c>
      <c r="B474" s="10" t="s">
        <v>106</v>
      </c>
      <c r="C474" s="10" t="s">
        <v>18</v>
      </c>
      <c r="D474" s="10" t="s">
        <v>19</v>
      </c>
      <c r="E474" s="10" t="s">
        <v>20</v>
      </c>
      <c r="F474" s="10" t="s">
        <v>21</v>
      </c>
      <c r="G474" s="10" t="s">
        <v>22</v>
      </c>
      <c r="H474" s="10" t="s">
        <v>23</v>
      </c>
      <c r="I474" s="11">
        <v>199.0</v>
      </c>
      <c r="J474" s="11">
        <v>499.0</v>
      </c>
      <c r="K474" s="12">
        <f t="shared" si="1"/>
        <v>0.6012024048</v>
      </c>
      <c r="L474" s="13">
        <f>IFERROR(__xludf.DUMMYFUNCTION("GOOGLEFINANCE(""CURRENCY:INRBRL"") * I474
"),11.71745320162)</f>
        <v>11.7174532</v>
      </c>
      <c r="M474" s="9">
        <v>4.49</v>
      </c>
      <c r="N474" s="9">
        <v>13045.0</v>
      </c>
      <c r="O474" s="9" t="s">
        <v>107</v>
      </c>
      <c r="P474" s="14" t="s">
        <v>1908</v>
      </c>
      <c r="U474" s="17"/>
      <c r="V474" s="18"/>
      <c r="W474" s="16"/>
      <c r="X474" s="16"/>
      <c r="Y474" s="16"/>
    </row>
    <row r="475">
      <c r="A475" s="9" t="s">
        <v>1909</v>
      </c>
      <c r="B475" s="10" t="s">
        <v>1910</v>
      </c>
      <c r="C475" s="10" t="s">
        <v>1412</v>
      </c>
      <c r="D475" s="10" t="s">
        <v>77</v>
      </c>
      <c r="E475" s="10" t="s">
        <v>1404</v>
      </c>
      <c r="F475" s="10" t="s">
        <v>1413</v>
      </c>
      <c r="G475" s="10" t="s">
        <v>1414</v>
      </c>
      <c r="H475" s="10"/>
      <c r="I475" s="11">
        <v>6499.0</v>
      </c>
      <c r="J475" s="11">
        <v>7999.0</v>
      </c>
      <c r="K475" s="12">
        <f t="shared" si="1"/>
        <v>0.1875234404</v>
      </c>
      <c r="L475" s="13">
        <f>IFERROR(__xludf.DUMMYFUNCTION("GOOGLEFINANCE(""CURRENCY:INRBRL"") * I475
"),382.67200179562)</f>
        <v>382.6720018</v>
      </c>
      <c r="M475" s="9">
        <v>4.49</v>
      </c>
      <c r="N475" s="9">
        <v>313832.0</v>
      </c>
      <c r="O475" s="9" t="s">
        <v>1911</v>
      </c>
      <c r="P475" s="14" t="s">
        <v>1912</v>
      </c>
      <c r="U475" s="17"/>
      <c r="V475" s="18"/>
      <c r="W475" s="16"/>
      <c r="X475" s="16"/>
      <c r="Y475" s="16"/>
    </row>
    <row r="476">
      <c r="A476" s="9" t="s">
        <v>1913</v>
      </c>
      <c r="B476" s="10" t="s">
        <v>1914</v>
      </c>
      <c r="C476" s="10" t="s">
        <v>1388</v>
      </c>
      <c r="D476" s="10" t="s">
        <v>77</v>
      </c>
      <c r="E476" s="10" t="s">
        <v>1389</v>
      </c>
      <c r="F476" s="10" t="s">
        <v>1390</v>
      </c>
      <c r="G476" s="10"/>
      <c r="H476" s="10"/>
      <c r="I476" s="11">
        <v>2999.0</v>
      </c>
      <c r="J476" s="11">
        <v>9999.0</v>
      </c>
      <c r="K476" s="12">
        <f t="shared" si="1"/>
        <v>0.700070007</v>
      </c>
      <c r="L476" s="13">
        <f>IFERROR(__xludf.DUMMYFUNCTION("GOOGLEFINANCE(""CURRENCY:INRBRL"") * I476
"),176.58614146562)</f>
        <v>176.5861415</v>
      </c>
      <c r="M476" s="9">
        <v>4.5</v>
      </c>
      <c r="N476" s="9">
        <v>20879.0</v>
      </c>
      <c r="O476" s="9" t="s">
        <v>1915</v>
      </c>
      <c r="P476" s="14" t="s">
        <v>1916</v>
      </c>
      <c r="U476" s="17"/>
      <c r="V476" s="18"/>
      <c r="W476" s="16"/>
      <c r="X476" s="16"/>
      <c r="Y476" s="16"/>
    </row>
    <row r="477">
      <c r="A477" s="9" t="s">
        <v>1917</v>
      </c>
      <c r="B477" s="10" t="s">
        <v>1918</v>
      </c>
      <c r="C477" s="10" t="s">
        <v>1919</v>
      </c>
      <c r="D477" s="10" t="s">
        <v>77</v>
      </c>
      <c r="E477" s="10" t="s">
        <v>1404</v>
      </c>
      <c r="F477" s="10" t="s">
        <v>1405</v>
      </c>
      <c r="G477" s="10" t="s">
        <v>1920</v>
      </c>
      <c r="H477" s="10" t="s">
        <v>1921</v>
      </c>
      <c r="I477" s="11">
        <v>279.0</v>
      </c>
      <c r="J477" s="11">
        <v>1499.0</v>
      </c>
      <c r="K477" s="12">
        <f t="shared" si="1"/>
        <v>0.8138759173</v>
      </c>
      <c r="L477" s="13">
        <f>IFERROR(__xludf.DUMMYFUNCTION("GOOGLEFINANCE(""CURRENCY:INRBRL"") * I477
"),16.42798715202)</f>
        <v>16.42798715</v>
      </c>
      <c r="M477" s="9">
        <v>4.5</v>
      </c>
      <c r="N477" s="9">
        <v>2646.0</v>
      </c>
      <c r="O477" s="9" t="s">
        <v>1922</v>
      </c>
      <c r="P477" s="14" t="s">
        <v>1923</v>
      </c>
      <c r="U477" s="17"/>
      <c r="V477" s="18"/>
      <c r="W477" s="16"/>
      <c r="X477" s="16"/>
      <c r="Y477" s="16"/>
    </row>
    <row r="478">
      <c r="A478" s="9" t="s">
        <v>1924</v>
      </c>
      <c r="B478" s="10" t="s">
        <v>1925</v>
      </c>
      <c r="C478" s="10" t="s">
        <v>1672</v>
      </c>
      <c r="D478" s="10" t="s">
        <v>77</v>
      </c>
      <c r="E478" s="10" t="s">
        <v>1404</v>
      </c>
      <c r="F478" s="10" t="s">
        <v>1405</v>
      </c>
      <c r="G478" s="10" t="s">
        <v>1673</v>
      </c>
      <c r="H478" s="10"/>
      <c r="I478" s="11">
        <v>269.0</v>
      </c>
      <c r="J478" s="11">
        <v>1499.0</v>
      </c>
      <c r="K478" s="12">
        <f t="shared" si="1"/>
        <v>0.8205470314</v>
      </c>
      <c r="L478" s="13">
        <f>IFERROR(__xludf.DUMMYFUNCTION("GOOGLEFINANCE(""CURRENCY:INRBRL"") * I478
"),15.83917040822)</f>
        <v>15.83917041</v>
      </c>
      <c r="M478" s="9">
        <v>4.51</v>
      </c>
      <c r="N478" s="9">
        <v>28978.0</v>
      </c>
      <c r="O478" s="9" t="s">
        <v>1926</v>
      </c>
      <c r="P478" s="14" t="s">
        <v>1927</v>
      </c>
      <c r="U478" s="17"/>
      <c r="V478" s="18"/>
      <c r="W478" s="16"/>
      <c r="X478" s="16"/>
      <c r="Y478" s="16"/>
    </row>
    <row r="479">
      <c r="A479" s="9" t="s">
        <v>1928</v>
      </c>
      <c r="B479" s="10" t="s">
        <v>1929</v>
      </c>
      <c r="C479" s="10" t="s">
        <v>1412</v>
      </c>
      <c r="D479" s="10" t="s">
        <v>77</v>
      </c>
      <c r="E479" s="10" t="s">
        <v>1404</v>
      </c>
      <c r="F479" s="10" t="s">
        <v>1413</v>
      </c>
      <c r="G479" s="10" t="s">
        <v>1414</v>
      </c>
      <c r="H479" s="10"/>
      <c r="I479" s="11">
        <v>8999.0</v>
      </c>
      <c r="J479" s="11">
        <v>13499.0</v>
      </c>
      <c r="K479" s="12">
        <f t="shared" si="1"/>
        <v>0.3333580265</v>
      </c>
      <c r="L479" s="13">
        <f>IFERROR(__xludf.DUMMYFUNCTION("GOOGLEFINANCE(""CURRENCY:INRBRL"") * I479
"),529.87618774562)</f>
        <v>529.8761877</v>
      </c>
      <c r="M479" s="9">
        <v>4.51</v>
      </c>
      <c r="N479" s="9">
        <v>3145.0</v>
      </c>
      <c r="O479" s="9" t="s">
        <v>1930</v>
      </c>
      <c r="P479" s="14" t="s">
        <v>1931</v>
      </c>
      <c r="U479" s="17"/>
      <c r="V479" s="18"/>
      <c r="W479" s="16"/>
      <c r="X479" s="16"/>
      <c r="Y479" s="16"/>
    </row>
    <row r="480">
      <c r="A480" s="9" t="s">
        <v>125</v>
      </c>
      <c r="B480" s="10" t="s">
        <v>126</v>
      </c>
      <c r="C480" s="10" t="s">
        <v>18</v>
      </c>
      <c r="D480" s="10" t="s">
        <v>19</v>
      </c>
      <c r="E480" s="10" t="s">
        <v>20</v>
      </c>
      <c r="F480" s="10" t="s">
        <v>21</v>
      </c>
      <c r="G480" s="10" t="s">
        <v>22</v>
      </c>
      <c r="H480" s="10" t="s">
        <v>23</v>
      </c>
      <c r="I480" s="11">
        <v>59.0</v>
      </c>
      <c r="J480" s="11">
        <v>199.0</v>
      </c>
      <c r="K480" s="12">
        <f t="shared" si="1"/>
        <v>0.7035175879</v>
      </c>
      <c r="L480" s="13">
        <f>IFERROR(__xludf.DUMMYFUNCTION("GOOGLEFINANCE(""CURRENCY:INRBRL"") * I480
"),3.47401878842)</f>
        <v>3.474018788</v>
      </c>
      <c r="M480" s="9">
        <v>4.0</v>
      </c>
      <c r="N480" s="9">
        <v>9377.0</v>
      </c>
      <c r="O480" s="9" t="s">
        <v>127</v>
      </c>
      <c r="P480" s="14" t="s">
        <v>1932</v>
      </c>
      <c r="U480" s="17"/>
      <c r="V480" s="18"/>
      <c r="W480" s="16"/>
      <c r="X480" s="16"/>
      <c r="Y480" s="16"/>
    </row>
    <row r="481">
      <c r="A481" s="9" t="s">
        <v>1933</v>
      </c>
      <c r="B481" s="10" t="s">
        <v>1934</v>
      </c>
      <c r="C481" s="10" t="s">
        <v>1454</v>
      </c>
      <c r="D481" s="10" t="s">
        <v>77</v>
      </c>
      <c r="E481" s="10" t="s">
        <v>1455</v>
      </c>
      <c r="F481" s="10" t="s">
        <v>1456</v>
      </c>
      <c r="G481" s="10" t="s">
        <v>1457</v>
      </c>
      <c r="H481" s="10"/>
      <c r="I481" s="11">
        <v>599.0</v>
      </c>
      <c r="J481" s="11">
        <v>1299.0</v>
      </c>
      <c r="K481" s="12">
        <f t="shared" si="1"/>
        <v>0.5388760585</v>
      </c>
      <c r="L481" s="13">
        <f>IFERROR(__xludf.DUMMYFUNCTION("GOOGLEFINANCE(""CURRENCY:INRBRL"") * I481
"),35.270122953619996)</f>
        <v>35.27012295</v>
      </c>
      <c r="M481" s="9">
        <v>4.49</v>
      </c>
      <c r="N481" s="9">
        <v>192589.0</v>
      </c>
      <c r="O481" s="9" t="s">
        <v>1935</v>
      </c>
      <c r="P481" s="14" t="s">
        <v>1936</v>
      </c>
      <c r="U481" s="17"/>
      <c r="V481" s="18"/>
      <c r="W481" s="16"/>
      <c r="X481" s="16"/>
      <c r="Y481" s="16"/>
    </row>
    <row r="482">
      <c r="A482" s="9" t="s">
        <v>1937</v>
      </c>
      <c r="B482" s="10" t="s">
        <v>1938</v>
      </c>
      <c r="C482" s="10" t="s">
        <v>1869</v>
      </c>
      <c r="D482" s="10" t="s">
        <v>77</v>
      </c>
      <c r="E482" s="10" t="s">
        <v>1404</v>
      </c>
      <c r="F482" s="10" t="s">
        <v>1405</v>
      </c>
      <c r="G482" s="10" t="s">
        <v>1870</v>
      </c>
      <c r="H482" s="10"/>
      <c r="I482" s="11">
        <v>349.0</v>
      </c>
      <c r="J482" s="11">
        <v>999.0</v>
      </c>
      <c r="K482" s="12">
        <f t="shared" si="1"/>
        <v>0.6506506507</v>
      </c>
      <c r="L482" s="13">
        <f>IFERROR(__xludf.DUMMYFUNCTION("GOOGLEFINANCE(""CURRENCY:INRBRL"") * I482
"),20.549704358619998)</f>
        <v>20.54970436</v>
      </c>
      <c r="M482" s="9">
        <v>4.51</v>
      </c>
      <c r="N482" s="9">
        <v>16557.0</v>
      </c>
      <c r="O482" s="9" t="s">
        <v>1939</v>
      </c>
      <c r="P482" s="14" t="s">
        <v>1940</v>
      </c>
      <c r="U482" s="17"/>
      <c r="V482" s="18"/>
      <c r="W482" s="16"/>
      <c r="X482" s="16"/>
      <c r="Y482" s="16"/>
    </row>
    <row r="483">
      <c r="A483" s="9" t="s">
        <v>1941</v>
      </c>
      <c r="B483" s="10" t="s">
        <v>1654</v>
      </c>
      <c r="C483" s="10" t="s">
        <v>1412</v>
      </c>
      <c r="D483" s="10" t="s">
        <v>77</v>
      </c>
      <c r="E483" s="10" t="s">
        <v>1404</v>
      </c>
      <c r="F483" s="10" t="s">
        <v>1413</v>
      </c>
      <c r="G483" s="10" t="s">
        <v>1414</v>
      </c>
      <c r="H483" s="10"/>
      <c r="I483" s="11">
        <v>13999.0</v>
      </c>
      <c r="J483" s="11">
        <v>19499.0</v>
      </c>
      <c r="K483" s="12">
        <f t="shared" si="1"/>
        <v>0.282065747</v>
      </c>
      <c r="L483" s="13">
        <f>IFERROR(__xludf.DUMMYFUNCTION("GOOGLEFINANCE(""CURRENCY:INRBRL"") * I483
"),824.28455964562)</f>
        <v>824.2845596</v>
      </c>
      <c r="M483" s="9">
        <v>4.49</v>
      </c>
      <c r="N483" s="9">
        <v>18998.0</v>
      </c>
      <c r="O483" s="9" t="s">
        <v>1655</v>
      </c>
      <c r="P483" s="14" t="s">
        <v>1942</v>
      </c>
      <c r="U483" s="17"/>
      <c r="V483" s="18"/>
      <c r="W483" s="16"/>
      <c r="X483" s="16"/>
      <c r="Y483" s="16"/>
    </row>
    <row r="484">
      <c r="A484" s="9" t="s">
        <v>1943</v>
      </c>
      <c r="B484" s="10" t="s">
        <v>1944</v>
      </c>
      <c r="C484" s="10" t="s">
        <v>1869</v>
      </c>
      <c r="D484" s="10" t="s">
        <v>77</v>
      </c>
      <c r="E484" s="10" t="s">
        <v>1404</v>
      </c>
      <c r="F484" s="10" t="s">
        <v>1405</v>
      </c>
      <c r="G484" s="10" t="s">
        <v>1870</v>
      </c>
      <c r="H484" s="10"/>
      <c r="I484" s="11">
        <v>349.0</v>
      </c>
      <c r="J484" s="11">
        <v>999.0</v>
      </c>
      <c r="K484" s="12">
        <f t="shared" si="1"/>
        <v>0.6506506507</v>
      </c>
      <c r="L484" s="13">
        <f>IFERROR(__xludf.DUMMYFUNCTION("GOOGLEFINANCE(""CURRENCY:INRBRL"") * I484
"),20.549704358619998)</f>
        <v>20.54970436</v>
      </c>
      <c r="M484" s="9">
        <v>4.51</v>
      </c>
      <c r="N484" s="9">
        <v>16557.0</v>
      </c>
      <c r="O484" s="9" t="s">
        <v>1945</v>
      </c>
      <c r="P484" s="14" t="s">
        <v>1946</v>
      </c>
      <c r="U484" s="17"/>
      <c r="V484" s="18"/>
      <c r="W484" s="16"/>
      <c r="X484" s="16"/>
      <c r="Y484" s="16"/>
    </row>
    <row r="485">
      <c r="A485" s="9" t="s">
        <v>1947</v>
      </c>
      <c r="B485" s="10" t="s">
        <v>1948</v>
      </c>
      <c r="C485" s="10" t="s">
        <v>1505</v>
      </c>
      <c r="D485" s="10" t="s">
        <v>77</v>
      </c>
      <c r="E485" s="10" t="s">
        <v>1404</v>
      </c>
      <c r="F485" s="10" t="s">
        <v>1405</v>
      </c>
      <c r="G485" s="10" t="s">
        <v>1406</v>
      </c>
      <c r="H485" s="10" t="s">
        <v>1506</v>
      </c>
      <c r="I485" s="11">
        <v>499.0</v>
      </c>
      <c r="J485" s="11">
        <v>599.0</v>
      </c>
      <c r="K485" s="12">
        <f t="shared" si="1"/>
        <v>0.1669449082</v>
      </c>
      <c r="L485" s="13">
        <f>IFERROR(__xludf.DUMMYFUNCTION("GOOGLEFINANCE(""CURRENCY:INRBRL"") * I485
"),29.38195551562)</f>
        <v>29.38195552</v>
      </c>
      <c r="M485" s="9">
        <v>4.5</v>
      </c>
      <c r="N485" s="9">
        <v>21916.0</v>
      </c>
      <c r="O485" s="9" t="s">
        <v>1949</v>
      </c>
      <c r="P485" s="14" t="s">
        <v>1950</v>
      </c>
      <c r="U485" s="17"/>
      <c r="V485" s="18"/>
      <c r="W485" s="16"/>
      <c r="X485" s="16"/>
      <c r="Y485" s="16"/>
    </row>
    <row r="486">
      <c r="A486" s="9" t="s">
        <v>1951</v>
      </c>
      <c r="B486" s="10" t="s">
        <v>1533</v>
      </c>
      <c r="C486" s="10" t="s">
        <v>1388</v>
      </c>
      <c r="D486" s="10" t="s">
        <v>77</v>
      </c>
      <c r="E486" s="10" t="s">
        <v>1389</v>
      </c>
      <c r="F486" s="10" t="s">
        <v>1390</v>
      </c>
      <c r="G486" s="10"/>
      <c r="H486" s="10"/>
      <c r="I486" s="11">
        <v>2199.0</v>
      </c>
      <c r="J486" s="11">
        <v>9999.0</v>
      </c>
      <c r="K486" s="12">
        <f t="shared" si="1"/>
        <v>0.7800780078</v>
      </c>
      <c r="L486" s="13">
        <f>IFERROR(__xludf.DUMMYFUNCTION("GOOGLEFINANCE(""CURRENCY:INRBRL"") * I486
"),129.48080196162)</f>
        <v>129.480802</v>
      </c>
      <c r="M486" s="9">
        <v>4.5</v>
      </c>
      <c r="N486" s="9">
        <v>29472.0</v>
      </c>
      <c r="O486" s="9" t="s">
        <v>1952</v>
      </c>
      <c r="P486" s="14" t="s">
        <v>1953</v>
      </c>
      <c r="U486" s="17"/>
      <c r="V486" s="18"/>
      <c r="W486" s="16"/>
      <c r="X486" s="16"/>
      <c r="Y486" s="16"/>
    </row>
    <row r="487">
      <c r="A487" s="9" t="s">
        <v>1954</v>
      </c>
      <c r="B487" s="10" t="s">
        <v>1955</v>
      </c>
      <c r="C487" s="10" t="s">
        <v>1746</v>
      </c>
      <c r="D487" s="10" t="s">
        <v>77</v>
      </c>
      <c r="E487" s="10" t="s">
        <v>1404</v>
      </c>
      <c r="F487" s="10" t="s">
        <v>1405</v>
      </c>
      <c r="G487" s="10" t="s">
        <v>1747</v>
      </c>
      <c r="H487" s="10"/>
      <c r="I487" s="11">
        <v>95.0</v>
      </c>
      <c r="J487" s="11">
        <v>499.0</v>
      </c>
      <c r="K487" s="12">
        <f t="shared" si="1"/>
        <v>0.8096192385</v>
      </c>
      <c r="L487" s="13">
        <f>IFERROR(__xludf.DUMMYFUNCTION("GOOGLEFINANCE(""CURRENCY:INRBRL"") * I487
"),5.5937590661)</f>
        <v>5.593759066</v>
      </c>
      <c r="M487" s="9">
        <v>4.5</v>
      </c>
      <c r="N487" s="9">
        <v>1949.0</v>
      </c>
      <c r="O487" s="9" t="s">
        <v>1956</v>
      </c>
      <c r="P487" s="14" t="s">
        <v>1957</v>
      </c>
      <c r="U487" s="17"/>
      <c r="V487" s="18"/>
      <c r="W487" s="16"/>
      <c r="X487" s="16"/>
      <c r="Y487" s="16"/>
    </row>
    <row r="488">
      <c r="A488" s="9" t="s">
        <v>1958</v>
      </c>
      <c r="B488" s="10" t="s">
        <v>1959</v>
      </c>
      <c r="C488" s="10" t="s">
        <v>18</v>
      </c>
      <c r="D488" s="10" t="s">
        <v>19</v>
      </c>
      <c r="E488" s="10" t="s">
        <v>20</v>
      </c>
      <c r="F488" s="10" t="s">
        <v>21</v>
      </c>
      <c r="G488" s="10" t="s">
        <v>22</v>
      </c>
      <c r="H488" s="10" t="s">
        <v>23</v>
      </c>
      <c r="I488" s="11">
        <v>139.0</v>
      </c>
      <c r="J488" s="11">
        <v>249.0</v>
      </c>
      <c r="K488" s="12">
        <f t="shared" si="1"/>
        <v>0.4417670683</v>
      </c>
      <c r="L488" s="13">
        <f>IFERROR(__xludf.DUMMYFUNCTION("GOOGLEFINANCE(""CURRENCY:INRBRL"") * I488
"),8.184552738819999)</f>
        <v>8.184552739</v>
      </c>
      <c r="M488" s="9">
        <v>4.0</v>
      </c>
      <c r="N488" s="9">
        <v>9377.0</v>
      </c>
      <c r="O488" s="9" t="s">
        <v>366</v>
      </c>
      <c r="P488" s="14" t="s">
        <v>1960</v>
      </c>
      <c r="U488" s="17"/>
      <c r="V488" s="18"/>
      <c r="W488" s="16"/>
      <c r="X488" s="16"/>
      <c r="Y488" s="16"/>
    </row>
    <row r="489">
      <c r="A489" s="9" t="s">
        <v>1961</v>
      </c>
      <c r="B489" s="10" t="s">
        <v>1962</v>
      </c>
      <c r="C489" s="10" t="s">
        <v>1388</v>
      </c>
      <c r="D489" s="10" t="s">
        <v>77</v>
      </c>
      <c r="E489" s="10" t="s">
        <v>1389</v>
      </c>
      <c r="F489" s="10" t="s">
        <v>1390</v>
      </c>
      <c r="G489" s="10"/>
      <c r="H489" s="10"/>
      <c r="I489" s="11">
        <v>4499.0</v>
      </c>
      <c r="J489" s="11">
        <v>7999.0</v>
      </c>
      <c r="K489" s="12">
        <f t="shared" si="1"/>
        <v>0.4375546943</v>
      </c>
      <c r="L489" s="13">
        <f>IFERROR(__xludf.DUMMYFUNCTION("GOOGLEFINANCE(""CURRENCY:INRBRL"") * I489
"),264.90865303562)</f>
        <v>264.908653</v>
      </c>
      <c r="M489" s="9">
        <v>4.5</v>
      </c>
      <c r="N489" s="9">
        <v>37.0</v>
      </c>
      <c r="O489" s="9" t="s">
        <v>1963</v>
      </c>
      <c r="P489" s="14" t="s">
        <v>1964</v>
      </c>
      <c r="U489" s="17"/>
      <c r="V489" s="18"/>
      <c r="W489" s="16"/>
      <c r="X489" s="16"/>
      <c r="Y489" s="16"/>
    </row>
    <row r="490">
      <c r="A490" s="9" t="s">
        <v>1965</v>
      </c>
      <c r="B490" s="10" t="s">
        <v>1966</v>
      </c>
      <c r="C490" s="10" t="s">
        <v>1672</v>
      </c>
      <c r="D490" s="10" t="s">
        <v>77</v>
      </c>
      <c r="E490" s="10" t="s">
        <v>1404</v>
      </c>
      <c r="F490" s="10" t="s">
        <v>1405</v>
      </c>
      <c r="G490" s="10" t="s">
        <v>1673</v>
      </c>
      <c r="H490" s="10"/>
      <c r="I490" s="11">
        <v>89.0</v>
      </c>
      <c r="J490" s="11">
        <v>599.0</v>
      </c>
      <c r="K490" s="12">
        <f t="shared" si="1"/>
        <v>0.8514190317</v>
      </c>
      <c r="L490" s="13">
        <f>IFERROR(__xludf.DUMMYFUNCTION("GOOGLEFINANCE(""CURRENCY:INRBRL"") * I490
"),5.24046901982)</f>
        <v>5.24046902</v>
      </c>
      <c r="M490" s="9">
        <v>4.5</v>
      </c>
      <c r="N490" s="9">
        <v>2351.0</v>
      </c>
      <c r="O490" s="9" t="s">
        <v>1967</v>
      </c>
      <c r="P490" s="14" t="s">
        <v>1968</v>
      </c>
      <c r="U490" s="17"/>
      <c r="V490" s="18"/>
      <c r="W490" s="16"/>
      <c r="X490" s="16"/>
      <c r="Y490" s="16"/>
    </row>
    <row r="491">
      <c r="A491" s="9" t="s">
        <v>1969</v>
      </c>
      <c r="B491" s="10" t="s">
        <v>1970</v>
      </c>
      <c r="C491" s="10" t="s">
        <v>1412</v>
      </c>
      <c r="D491" s="10" t="s">
        <v>77</v>
      </c>
      <c r="E491" s="10" t="s">
        <v>1404</v>
      </c>
      <c r="F491" s="10" t="s">
        <v>1413</v>
      </c>
      <c r="G491" s="10" t="s">
        <v>1414</v>
      </c>
      <c r="H491" s="10"/>
      <c r="I491" s="11">
        <v>15499.0</v>
      </c>
      <c r="J491" s="11">
        <v>20999.0</v>
      </c>
      <c r="K491" s="12">
        <f t="shared" si="1"/>
        <v>0.2619172342</v>
      </c>
      <c r="L491" s="13">
        <f>IFERROR(__xludf.DUMMYFUNCTION("GOOGLEFINANCE(""CURRENCY:INRBRL"") * I491
"),912.60707121562)</f>
        <v>912.6070712</v>
      </c>
      <c r="M491" s="9">
        <v>4.49</v>
      </c>
      <c r="N491" s="9">
        <v>19253.0</v>
      </c>
      <c r="O491" s="9" t="s">
        <v>1777</v>
      </c>
      <c r="P491" s="14" t="s">
        <v>1971</v>
      </c>
      <c r="U491" s="17"/>
      <c r="V491" s="18"/>
      <c r="W491" s="16"/>
      <c r="X491" s="16"/>
      <c r="Y491" s="16"/>
    </row>
    <row r="492">
      <c r="A492" s="9" t="s">
        <v>1972</v>
      </c>
      <c r="B492" s="10" t="s">
        <v>1973</v>
      </c>
      <c r="C492" s="10" t="s">
        <v>1412</v>
      </c>
      <c r="D492" s="10" t="s">
        <v>77</v>
      </c>
      <c r="E492" s="10" t="s">
        <v>1404</v>
      </c>
      <c r="F492" s="10" t="s">
        <v>1413</v>
      </c>
      <c r="G492" s="10" t="s">
        <v>1414</v>
      </c>
      <c r="H492" s="10"/>
      <c r="I492" s="11">
        <v>13999.0</v>
      </c>
      <c r="J492" s="11">
        <v>15999.0</v>
      </c>
      <c r="K492" s="12">
        <f t="shared" si="1"/>
        <v>0.125007813</v>
      </c>
      <c r="L492" s="13">
        <f>IFERROR(__xludf.DUMMYFUNCTION("GOOGLEFINANCE(""CURRENCY:INRBRL"") * I492
"),824.28455964562)</f>
        <v>824.2845596</v>
      </c>
      <c r="M492" s="9">
        <v>4.52</v>
      </c>
      <c r="N492" s="9">
        <v>218.0</v>
      </c>
      <c r="O492" s="9" t="s">
        <v>1974</v>
      </c>
      <c r="P492" s="14" t="s">
        <v>1975</v>
      </c>
      <c r="U492" s="17"/>
      <c r="V492" s="18"/>
      <c r="W492" s="16"/>
      <c r="X492" s="16"/>
      <c r="Y492" s="16"/>
    </row>
    <row r="493">
      <c r="A493" s="9" t="s">
        <v>1976</v>
      </c>
      <c r="B493" s="10" t="s">
        <v>1977</v>
      </c>
      <c r="C493" s="10" t="s">
        <v>1388</v>
      </c>
      <c r="D493" s="10" t="s">
        <v>77</v>
      </c>
      <c r="E493" s="10" t="s">
        <v>1389</v>
      </c>
      <c r="F493" s="10" t="s">
        <v>1390</v>
      </c>
      <c r="G493" s="10"/>
      <c r="H493" s="10"/>
      <c r="I493" s="11">
        <v>1999.0</v>
      </c>
      <c r="J493" s="11">
        <v>4999.0</v>
      </c>
      <c r="K493" s="12">
        <f t="shared" si="1"/>
        <v>0.600120024</v>
      </c>
      <c r="L493" s="13">
        <f>IFERROR(__xludf.DUMMYFUNCTION("GOOGLEFINANCE(""CURRENCY:INRBRL"") * I493
"),117.70446708562)</f>
        <v>117.7044671</v>
      </c>
      <c r="M493" s="9">
        <v>4.52</v>
      </c>
      <c r="N493" s="9">
        <v>7571.0</v>
      </c>
      <c r="O493" s="9" t="s">
        <v>1978</v>
      </c>
      <c r="P493" s="14" t="s">
        <v>1979</v>
      </c>
      <c r="U493" s="17"/>
      <c r="V493" s="18"/>
      <c r="W493" s="16"/>
      <c r="X493" s="16"/>
      <c r="Y493" s="16"/>
    </row>
    <row r="494">
      <c r="A494" s="9" t="s">
        <v>1980</v>
      </c>
      <c r="B494" s="10" t="s">
        <v>1981</v>
      </c>
      <c r="C494" s="10" t="s">
        <v>1388</v>
      </c>
      <c r="D494" s="10" t="s">
        <v>77</v>
      </c>
      <c r="E494" s="10" t="s">
        <v>1389</v>
      </c>
      <c r="F494" s="10" t="s">
        <v>1390</v>
      </c>
      <c r="G494" s="10"/>
      <c r="H494" s="10"/>
      <c r="I494" s="11">
        <v>1399.0</v>
      </c>
      <c r="J494" s="11">
        <v>5999.0</v>
      </c>
      <c r="K494" s="12">
        <f t="shared" si="1"/>
        <v>0.7667944657</v>
      </c>
      <c r="L494" s="13">
        <f>IFERROR(__xludf.DUMMYFUNCTION("GOOGLEFINANCE(""CURRENCY:INRBRL"") * I494
"),82.37546245762)</f>
        <v>82.37546246</v>
      </c>
      <c r="M494" s="9">
        <v>4.5</v>
      </c>
      <c r="N494" s="9">
        <v>4415.0</v>
      </c>
      <c r="O494" s="9" t="s">
        <v>1982</v>
      </c>
      <c r="P494" s="14" t="s">
        <v>1983</v>
      </c>
      <c r="U494" s="17"/>
      <c r="V494" s="18"/>
      <c r="W494" s="16"/>
      <c r="X494" s="16"/>
      <c r="Y494" s="16"/>
    </row>
    <row r="495">
      <c r="A495" s="9" t="s">
        <v>1984</v>
      </c>
      <c r="B495" s="10" t="s">
        <v>1985</v>
      </c>
      <c r="C495" s="10" t="s">
        <v>1498</v>
      </c>
      <c r="D495" s="10" t="s">
        <v>77</v>
      </c>
      <c r="E495" s="10" t="s">
        <v>1404</v>
      </c>
      <c r="F495" s="10" t="s">
        <v>1405</v>
      </c>
      <c r="G495" s="10" t="s">
        <v>1499</v>
      </c>
      <c r="H495" s="10" t="s">
        <v>1500</v>
      </c>
      <c r="I495" s="11">
        <v>599.0</v>
      </c>
      <c r="J495" s="11">
        <v>999.0</v>
      </c>
      <c r="K495" s="12">
        <f t="shared" si="1"/>
        <v>0.4004004004</v>
      </c>
      <c r="L495" s="13">
        <f>IFERROR(__xludf.DUMMYFUNCTION("GOOGLEFINANCE(""CURRENCY:INRBRL"") * I495
"),35.270122953619996)</f>
        <v>35.27012295</v>
      </c>
      <c r="M495" s="9">
        <v>4.0</v>
      </c>
      <c r="N495" s="9">
        <v>18654.0</v>
      </c>
      <c r="O495" s="9" t="s">
        <v>1986</v>
      </c>
      <c r="P495" s="14" t="s">
        <v>1987</v>
      </c>
      <c r="U495" s="17"/>
      <c r="V495" s="18"/>
      <c r="W495" s="16"/>
      <c r="X495" s="16"/>
      <c r="Y495" s="16"/>
    </row>
    <row r="496">
      <c r="A496" s="9" t="s">
        <v>1988</v>
      </c>
      <c r="B496" s="10" t="s">
        <v>1989</v>
      </c>
      <c r="C496" s="10" t="s">
        <v>1505</v>
      </c>
      <c r="D496" s="10" t="s">
        <v>77</v>
      </c>
      <c r="E496" s="10" t="s">
        <v>1404</v>
      </c>
      <c r="F496" s="10" t="s">
        <v>1405</v>
      </c>
      <c r="G496" s="10" t="s">
        <v>1406</v>
      </c>
      <c r="H496" s="10" t="s">
        <v>1506</v>
      </c>
      <c r="I496" s="11">
        <v>199.0</v>
      </c>
      <c r="J496" s="11">
        <v>1099.0</v>
      </c>
      <c r="K496" s="12">
        <f t="shared" si="1"/>
        <v>0.8189262966</v>
      </c>
      <c r="L496" s="13">
        <f>IFERROR(__xludf.DUMMYFUNCTION("GOOGLEFINANCE(""CURRENCY:INRBRL"") * I496
"),11.71745320162)</f>
        <v>11.7174532</v>
      </c>
      <c r="M496" s="9">
        <v>4.0</v>
      </c>
      <c r="N496" s="9">
        <v>3197.0</v>
      </c>
      <c r="O496" s="9" t="s">
        <v>1990</v>
      </c>
      <c r="P496" s="14" t="s">
        <v>1991</v>
      </c>
      <c r="U496" s="17"/>
      <c r="V496" s="18"/>
      <c r="W496" s="16"/>
      <c r="X496" s="16"/>
      <c r="Y496" s="16"/>
    </row>
    <row r="497">
      <c r="A497" s="9" t="s">
        <v>1992</v>
      </c>
      <c r="B497" s="10" t="s">
        <v>1993</v>
      </c>
      <c r="C497" s="10" t="s">
        <v>1388</v>
      </c>
      <c r="D497" s="10" t="s">
        <v>77</v>
      </c>
      <c r="E497" s="10" t="s">
        <v>1389</v>
      </c>
      <c r="F497" s="10" t="s">
        <v>1390</v>
      </c>
      <c r="G497" s="10"/>
      <c r="H497" s="10"/>
      <c r="I497" s="11">
        <v>1799.0</v>
      </c>
      <c r="J497" s="11">
        <v>6990.0</v>
      </c>
      <c r="K497" s="12">
        <f t="shared" si="1"/>
        <v>0.7426323319</v>
      </c>
      <c r="L497" s="13">
        <f>IFERROR(__xludf.DUMMYFUNCTION("GOOGLEFINANCE(""CURRENCY:INRBRL"") * I497
"),105.92813220962)</f>
        <v>105.9281322</v>
      </c>
      <c r="M497" s="9">
        <v>4.0</v>
      </c>
      <c r="N497" s="9">
        <v>2688.0</v>
      </c>
      <c r="O497" s="9" t="s">
        <v>1994</v>
      </c>
      <c r="P497" s="14" t="s">
        <v>1995</v>
      </c>
      <c r="U497" s="17"/>
      <c r="V497" s="18"/>
      <c r="W497" s="16"/>
      <c r="X497" s="16"/>
      <c r="Y497" s="16"/>
    </row>
    <row r="498">
      <c r="A498" s="9" t="s">
        <v>1996</v>
      </c>
      <c r="B498" s="10" t="s">
        <v>1997</v>
      </c>
      <c r="C498" s="10" t="s">
        <v>1388</v>
      </c>
      <c r="D498" s="10" t="s">
        <v>77</v>
      </c>
      <c r="E498" s="10" t="s">
        <v>1389</v>
      </c>
      <c r="F498" s="10" t="s">
        <v>1390</v>
      </c>
      <c r="G498" s="10"/>
      <c r="H498" s="10"/>
      <c r="I498" s="11">
        <v>1499.0</v>
      </c>
      <c r="J498" s="11">
        <v>6990.0</v>
      </c>
      <c r="K498" s="12">
        <f t="shared" si="1"/>
        <v>0.7855507868</v>
      </c>
      <c r="L498" s="13">
        <f>IFERROR(__xludf.DUMMYFUNCTION("GOOGLEFINANCE(""CURRENCY:INRBRL"") * I498
"),88.26362989562)</f>
        <v>88.2636299</v>
      </c>
      <c r="M498" s="9">
        <v>4.52</v>
      </c>
      <c r="N498" s="9">
        <v>21796.0</v>
      </c>
      <c r="O498" s="9" t="s">
        <v>1450</v>
      </c>
      <c r="P498" s="14" t="s">
        <v>1998</v>
      </c>
      <c r="U498" s="17"/>
      <c r="V498" s="18"/>
      <c r="W498" s="16"/>
      <c r="X498" s="16"/>
      <c r="Y498" s="16"/>
    </row>
    <row r="499">
      <c r="A499" s="9" t="s">
        <v>1999</v>
      </c>
      <c r="B499" s="10" t="s">
        <v>2000</v>
      </c>
      <c r="C499" s="10" t="s">
        <v>1412</v>
      </c>
      <c r="D499" s="10" t="s">
        <v>77</v>
      </c>
      <c r="E499" s="10" t="s">
        <v>1404</v>
      </c>
      <c r="F499" s="10" t="s">
        <v>1413</v>
      </c>
      <c r="G499" s="10" t="s">
        <v>1414</v>
      </c>
      <c r="H499" s="10"/>
      <c r="I499" s="11">
        <v>20999.0</v>
      </c>
      <c r="J499" s="11">
        <v>29990.0</v>
      </c>
      <c r="K499" s="12">
        <f t="shared" si="1"/>
        <v>0.2997999333</v>
      </c>
      <c r="L499" s="13">
        <f>IFERROR(__xludf.DUMMYFUNCTION("GOOGLEFINANCE(""CURRENCY:INRBRL"") * I499
"),1236.4562803056199)</f>
        <v>1236.45628</v>
      </c>
      <c r="M499" s="9">
        <v>4.5</v>
      </c>
      <c r="N499" s="9">
        <v>9499.0</v>
      </c>
      <c r="O499" s="9" t="s">
        <v>1837</v>
      </c>
      <c r="P499" s="14" t="s">
        <v>2001</v>
      </c>
      <c r="U499" s="17"/>
      <c r="V499" s="18"/>
      <c r="W499" s="16"/>
      <c r="X499" s="16"/>
      <c r="Y499" s="16"/>
    </row>
    <row r="500">
      <c r="A500" s="9" t="s">
        <v>2002</v>
      </c>
      <c r="B500" s="10" t="s">
        <v>2003</v>
      </c>
      <c r="C500" s="10" t="s">
        <v>1412</v>
      </c>
      <c r="D500" s="10" t="s">
        <v>77</v>
      </c>
      <c r="E500" s="10" t="s">
        <v>1404</v>
      </c>
      <c r="F500" s="10" t="s">
        <v>1413</v>
      </c>
      <c r="G500" s="10" t="s">
        <v>1414</v>
      </c>
      <c r="H500" s="10"/>
      <c r="I500" s="11">
        <v>12999.0</v>
      </c>
      <c r="J500" s="11">
        <v>13499.0</v>
      </c>
      <c r="K500" s="12">
        <f t="shared" si="1"/>
        <v>0.03703978072</v>
      </c>
      <c r="L500" s="13">
        <f>IFERROR(__xludf.DUMMYFUNCTION("GOOGLEFINANCE(""CURRENCY:INRBRL"") * I500
"),765.40288526562)</f>
        <v>765.4028853</v>
      </c>
      <c r="M500" s="9">
        <v>4.49</v>
      </c>
      <c r="N500" s="9">
        <v>56098.0</v>
      </c>
      <c r="O500" s="9" t="s">
        <v>2004</v>
      </c>
      <c r="P500" s="14" t="s">
        <v>2005</v>
      </c>
      <c r="U500" s="17"/>
      <c r="V500" s="18"/>
      <c r="W500" s="16"/>
      <c r="X500" s="16"/>
      <c r="Y500" s="16"/>
    </row>
    <row r="501">
      <c r="A501" s="9" t="s">
        <v>2006</v>
      </c>
      <c r="B501" s="10" t="s">
        <v>2007</v>
      </c>
      <c r="C501" s="10" t="s">
        <v>1412</v>
      </c>
      <c r="D501" s="10" t="s">
        <v>77</v>
      </c>
      <c r="E501" s="10" t="s">
        <v>1404</v>
      </c>
      <c r="F501" s="10" t="s">
        <v>1413</v>
      </c>
      <c r="G501" s="10" t="s">
        <v>1414</v>
      </c>
      <c r="H501" s="10"/>
      <c r="I501" s="11">
        <v>16999.0</v>
      </c>
      <c r="J501" s="11">
        <v>20999.0</v>
      </c>
      <c r="K501" s="12">
        <f t="shared" si="1"/>
        <v>0.1904852612</v>
      </c>
      <c r="L501" s="13">
        <f>IFERROR(__xludf.DUMMYFUNCTION("GOOGLEFINANCE(""CURRENCY:INRBRL"") * I501
"),1000.92958278562)</f>
        <v>1000.929583</v>
      </c>
      <c r="M501" s="9">
        <v>4.49</v>
      </c>
      <c r="N501" s="9">
        <v>31822.0</v>
      </c>
      <c r="O501" s="9" t="s">
        <v>2008</v>
      </c>
      <c r="P501" s="14" t="s">
        <v>2009</v>
      </c>
      <c r="U501" s="17"/>
      <c r="V501" s="18"/>
      <c r="W501" s="16"/>
      <c r="X501" s="16"/>
      <c r="Y501" s="16"/>
    </row>
    <row r="502">
      <c r="A502" s="9" t="s">
        <v>2010</v>
      </c>
      <c r="B502" s="10" t="s">
        <v>2011</v>
      </c>
      <c r="C502" s="10" t="s">
        <v>1412</v>
      </c>
      <c r="D502" s="10" t="s">
        <v>77</v>
      </c>
      <c r="E502" s="10" t="s">
        <v>1404</v>
      </c>
      <c r="F502" s="10" t="s">
        <v>1413</v>
      </c>
      <c r="G502" s="10" t="s">
        <v>1414</v>
      </c>
      <c r="H502" s="10"/>
      <c r="I502" s="11">
        <v>19999.0</v>
      </c>
      <c r="J502" s="11">
        <v>27990.0</v>
      </c>
      <c r="K502" s="12">
        <f t="shared" si="1"/>
        <v>0.2854948196</v>
      </c>
      <c r="L502" s="13">
        <f>IFERROR(__xludf.DUMMYFUNCTION("GOOGLEFINANCE(""CURRENCY:INRBRL"") * I502
"),1177.57460592562)</f>
        <v>1177.574606</v>
      </c>
      <c r="M502" s="9">
        <v>4.5</v>
      </c>
      <c r="N502" s="9">
        <v>9499.0</v>
      </c>
      <c r="O502" s="9" t="s">
        <v>2012</v>
      </c>
      <c r="P502" s="14" t="s">
        <v>2013</v>
      </c>
      <c r="U502" s="17"/>
      <c r="V502" s="18"/>
      <c r="W502" s="16"/>
      <c r="X502" s="16"/>
      <c r="Y502" s="16"/>
    </row>
    <row r="503">
      <c r="A503" s="9" t="s">
        <v>2014</v>
      </c>
      <c r="B503" s="10" t="s">
        <v>2015</v>
      </c>
      <c r="C503" s="10" t="s">
        <v>1412</v>
      </c>
      <c r="D503" s="10" t="s">
        <v>77</v>
      </c>
      <c r="E503" s="10" t="s">
        <v>1404</v>
      </c>
      <c r="F503" s="10" t="s">
        <v>1413</v>
      </c>
      <c r="G503" s="10" t="s">
        <v>1414</v>
      </c>
      <c r="H503" s="10"/>
      <c r="I503" s="11">
        <v>12999.0</v>
      </c>
      <c r="J503" s="11">
        <v>18999.0</v>
      </c>
      <c r="K503" s="12">
        <f t="shared" si="1"/>
        <v>0.3158060951</v>
      </c>
      <c r="L503" s="13">
        <f>IFERROR(__xludf.DUMMYFUNCTION("GOOGLEFINANCE(""CURRENCY:INRBRL"") * I503
"),765.40288526562)</f>
        <v>765.4028853</v>
      </c>
      <c r="M503" s="9">
        <v>4.49</v>
      </c>
      <c r="N503" s="9">
        <v>50772.0</v>
      </c>
      <c r="O503" s="9" t="s">
        <v>2016</v>
      </c>
      <c r="P503" s="14" t="s">
        <v>2017</v>
      </c>
      <c r="U503" s="17"/>
      <c r="V503" s="18"/>
      <c r="W503" s="16"/>
      <c r="X503" s="16"/>
      <c r="Y503" s="16"/>
    </row>
    <row r="504">
      <c r="A504" s="9" t="s">
        <v>2018</v>
      </c>
      <c r="B504" s="10" t="s">
        <v>2019</v>
      </c>
      <c r="C504" s="10" t="s">
        <v>1388</v>
      </c>
      <c r="D504" s="10" t="s">
        <v>77</v>
      </c>
      <c r="E504" s="10" t="s">
        <v>1389</v>
      </c>
      <c r="F504" s="10" t="s">
        <v>1390</v>
      </c>
      <c r="G504" s="10"/>
      <c r="H504" s="10"/>
      <c r="I504" s="11">
        <v>2999.0</v>
      </c>
      <c r="J504" s="11">
        <v>5999.0</v>
      </c>
      <c r="K504" s="12">
        <f t="shared" si="1"/>
        <v>0.5000833472</v>
      </c>
      <c r="L504" s="13">
        <f>IFERROR(__xludf.DUMMYFUNCTION("GOOGLEFINANCE(""CURRENCY:INRBRL"") * I504
"),176.58614146562)</f>
        <v>176.5861415</v>
      </c>
      <c r="M504" s="9">
        <v>4.49</v>
      </c>
      <c r="N504" s="9">
        <v>7148.0</v>
      </c>
      <c r="O504" s="9" t="s">
        <v>2020</v>
      </c>
      <c r="P504" s="14" t="s">
        <v>2021</v>
      </c>
      <c r="U504" s="17"/>
      <c r="V504" s="18"/>
      <c r="W504" s="16"/>
      <c r="X504" s="16"/>
      <c r="Y504" s="16"/>
    </row>
    <row r="505">
      <c r="A505" s="9" t="s">
        <v>149</v>
      </c>
      <c r="B505" s="10" t="s">
        <v>150</v>
      </c>
      <c r="C505" s="10" t="s">
        <v>18</v>
      </c>
      <c r="D505" s="10" t="s">
        <v>19</v>
      </c>
      <c r="E505" s="10" t="s">
        <v>20</v>
      </c>
      <c r="F505" s="10" t="s">
        <v>21</v>
      </c>
      <c r="G505" s="10" t="s">
        <v>22</v>
      </c>
      <c r="H505" s="10" t="s">
        <v>23</v>
      </c>
      <c r="I505" s="11">
        <v>299.0</v>
      </c>
      <c r="J505" s="11">
        <v>999.0</v>
      </c>
      <c r="K505" s="12">
        <f t="shared" si="1"/>
        <v>0.7007007007</v>
      </c>
      <c r="L505" s="13">
        <f>IFERROR(__xludf.DUMMYFUNCTION("GOOGLEFINANCE(""CURRENCY:INRBRL"") * I505
"),17.60562063962)</f>
        <v>17.60562064</v>
      </c>
      <c r="M505" s="9">
        <v>4.5</v>
      </c>
      <c r="N505" s="9">
        <v>2085.0</v>
      </c>
      <c r="O505" s="9" t="s">
        <v>151</v>
      </c>
      <c r="P505" s="14" t="s">
        <v>2022</v>
      </c>
      <c r="U505" s="17"/>
      <c r="V505" s="18"/>
      <c r="W505" s="16"/>
      <c r="X505" s="16"/>
      <c r="Y505" s="16"/>
    </row>
    <row r="506">
      <c r="A506" s="9" t="s">
        <v>145</v>
      </c>
      <c r="B506" s="10" t="s">
        <v>146</v>
      </c>
      <c r="C506" s="10" t="s">
        <v>18</v>
      </c>
      <c r="D506" s="10" t="s">
        <v>19</v>
      </c>
      <c r="E506" s="10" t="s">
        <v>20</v>
      </c>
      <c r="F506" s="10" t="s">
        <v>21</v>
      </c>
      <c r="G506" s="10" t="s">
        <v>22</v>
      </c>
      <c r="H506" s="10" t="s">
        <v>23</v>
      </c>
      <c r="I506" s="11">
        <v>970.0</v>
      </c>
      <c r="J506" s="11">
        <v>1999.0</v>
      </c>
      <c r="K506" s="12">
        <f t="shared" si="1"/>
        <v>0.5147573787</v>
      </c>
      <c r="L506" s="13">
        <f>IFERROR(__xludf.DUMMYFUNCTION("GOOGLEFINANCE(""CURRENCY:INRBRL"") * I506
"),57.1152241486)</f>
        <v>57.11522415</v>
      </c>
      <c r="M506" s="9">
        <v>4.5</v>
      </c>
      <c r="N506" s="9">
        <v>184.0</v>
      </c>
      <c r="O506" s="9" t="s">
        <v>147</v>
      </c>
      <c r="P506" s="14" t="s">
        <v>2023</v>
      </c>
      <c r="U506" s="17"/>
      <c r="V506" s="18"/>
      <c r="W506" s="16"/>
      <c r="X506" s="16"/>
      <c r="Y506" s="16"/>
    </row>
    <row r="507">
      <c r="A507" s="9" t="s">
        <v>2024</v>
      </c>
      <c r="B507" s="10" t="s">
        <v>2025</v>
      </c>
      <c r="C507" s="10" t="s">
        <v>1505</v>
      </c>
      <c r="D507" s="10" t="s">
        <v>77</v>
      </c>
      <c r="E507" s="10" t="s">
        <v>1404</v>
      </c>
      <c r="F507" s="10" t="s">
        <v>1405</v>
      </c>
      <c r="G507" s="10" t="s">
        <v>1406</v>
      </c>
      <c r="H507" s="10" t="s">
        <v>1506</v>
      </c>
      <c r="I507" s="11">
        <v>329.0</v>
      </c>
      <c r="J507" s="11">
        <v>999.0</v>
      </c>
      <c r="K507" s="12">
        <f t="shared" si="1"/>
        <v>0.6706706707</v>
      </c>
      <c r="L507" s="13">
        <f>IFERROR(__xludf.DUMMYFUNCTION("GOOGLEFINANCE(""CURRENCY:INRBRL"") * I507
"),19.37207087102)</f>
        <v>19.37207087</v>
      </c>
      <c r="M507" s="9">
        <v>4.5</v>
      </c>
      <c r="N507" s="9">
        <v>3492.0</v>
      </c>
      <c r="O507" s="9" t="s">
        <v>2026</v>
      </c>
      <c r="P507" s="14" t="s">
        <v>2027</v>
      </c>
      <c r="U507" s="17"/>
      <c r="V507" s="18"/>
      <c r="W507" s="16"/>
      <c r="X507" s="16"/>
      <c r="Y507" s="16"/>
    </row>
    <row r="508">
      <c r="A508" s="9" t="s">
        <v>2028</v>
      </c>
      <c r="B508" s="10" t="s">
        <v>2029</v>
      </c>
      <c r="C508" s="10" t="s">
        <v>1388</v>
      </c>
      <c r="D508" s="10" t="s">
        <v>77</v>
      </c>
      <c r="E508" s="10" t="s">
        <v>1389</v>
      </c>
      <c r="F508" s="10" t="s">
        <v>1390</v>
      </c>
      <c r="G508" s="10"/>
      <c r="H508" s="10"/>
      <c r="I508" s="11">
        <v>1299.0</v>
      </c>
      <c r="J508" s="11">
        <v>5999.0</v>
      </c>
      <c r="K508" s="12">
        <f t="shared" si="1"/>
        <v>0.7834639107</v>
      </c>
      <c r="L508" s="13">
        <f>IFERROR(__xludf.DUMMYFUNCTION("GOOGLEFINANCE(""CURRENCY:INRBRL"") * I508
"),76.48729501961999)</f>
        <v>76.48729502</v>
      </c>
      <c r="M508" s="9">
        <v>4.5</v>
      </c>
      <c r="N508" s="9">
        <v>4415.0</v>
      </c>
      <c r="O508" s="9" t="s">
        <v>2030</v>
      </c>
      <c r="P508" s="14" t="s">
        <v>2031</v>
      </c>
      <c r="U508" s="17"/>
      <c r="V508" s="18"/>
      <c r="W508" s="16"/>
      <c r="X508" s="16"/>
      <c r="Y508" s="16"/>
    </row>
    <row r="509">
      <c r="A509" s="9" t="s">
        <v>2032</v>
      </c>
      <c r="B509" s="10" t="s">
        <v>2033</v>
      </c>
      <c r="C509" s="10" t="s">
        <v>1433</v>
      </c>
      <c r="D509" s="10" t="s">
        <v>77</v>
      </c>
      <c r="E509" s="10" t="s">
        <v>79</v>
      </c>
      <c r="F509" s="10" t="s">
        <v>1434</v>
      </c>
      <c r="G509" s="10" t="s">
        <v>1435</v>
      </c>
      <c r="H509" s="10"/>
      <c r="I509" s="11">
        <v>1989.0</v>
      </c>
      <c r="J509" s="11">
        <v>3499.0</v>
      </c>
      <c r="K509" s="12">
        <f t="shared" si="1"/>
        <v>0.431551872</v>
      </c>
      <c r="L509" s="13">
        <f>IFERROR(__xludf.DUMMYFUNCTION("GOOGLEFINANCE(""CURRENCY:INRBRL"") * I509
"),117.11565034182)</f>
        <v>117.1156503</v>
      </c>
      <c r="M509" s="9">
        <v>4.5</v>
      </c>
      <c r="N509" s="9">
        <v>6726.0</v>
      </c>
      <c r="O509" s="9" t="s">
        <v>2034</v>
      </c>
      <c r="P509" s="14" t="s">
        <v>2035</v>
      </c>
      <c r="U509" s="17"/>
      <c r="V509" s="18"/>
      <c r="W509" s="16"/>
      <c r="X509" s="16"/>
      <c r="Y509" s="16"/>
    </row>
    <row r="510">
      <c r="A510" s="9" t="s">
        <v>2036</v>
      </c>
      <c r="B510" s="10" t="s">
        <v>1394</v>
      </c>
      <c r="C510" s="10" t="s">
        <v>1388</v>
      </c>
      <c r="D510" s="10" t="s">
        <v>77</v>
      </c>
      <c r="E510" s="10" t="s">
        <v>1389</v>
      </c>
      <c r="F510" s="10" t="s">
        <v>1390</v>
      </c>
      <c r="G510" s="10"/>
      <c r="H510" s="10"/>
      <c r="I510" s="11">
        <v>1999.0</v>
      </c>
      <c r="J510" s="11">
        <v>9999.0</v>
      </c>
      <c r="K510" s="12">
        <f t="shared" si="1"/>
        <v>0.800080008</v>
      </c>
      <c r="L510" s="13">
        <f>IFERROR(__xludf.DUMMYFUNCTION("GOOGLEFINANCE(""CURRENCY:INRBRL"") * I510
"),117.70446708562)</f>
        <v>117.7044671</v>
      </c>
      <c r="M510" s="9">
        <v>4.5</v>
      </c>
      <c r="N510" s="9">
        <v>27704.0</v>
      </c>
      <c r="O510" s="9" t="s">
        <v>1604</v>
      </c>
      <c r="P510" s="14" t="s">
        <v>2037</v>
      </c>
      <c r="U510" s="17"/>
      <c r="V510" s="18"/>
      <c r="W510" s="16"/>
      <c r="X510" s="16"/>
      <c r="Y510" s="16"/>
    </row>
    <row r="511">
      <c r="A511" s="9" t="s">
        <v>2038</v>
      </c>
      <c r="B511" s="10" t="s">
        <v>2039</v>
      </c>
      <c r="C511" s="10" t="s">
        <v>1412</v>
      </c>
      <c r="D511" s="10" t="s">
        <v>77</v>
      </c>
      <c r="E511" s="10" t="s">
        <v>1404</v>
      </c>
      <c r="F511" s="10" t="s">
        <v>1413</v>
      </c>
      <c r="G511" s="10" t="s">
        <v>1414</v>
      </c>
      <c r="H511" s="10"/>
      <c r="I511" s="11">
        <v>12999.0</v>
      </c>
      <c r="J511" s="11">
        <v>18999.0</v>
      </c>
      <c r="K511" s="12">
        <f t="shared" si="1"/>
        <v>0.3158060951</v>
      </c>
      <c r="L511" s="13">
        <f>IFERROR(__xludf.DUMMYFUNCTION("GOOGLEFINANCE(""CURRENCY:INRBRL"") * I511
"),765.40288526562)</f>
        <v>765.4028853</v>
      </c>
      <c r="M511" s="9">
        <v>4.49</v>
      </c>
      <c r="N511" s="9">
        <v>50772.0</v>
      </c>
      <c r="O511" s="9" t="s">
        <v>2016</v>
      </c>
      <c r="P511" s="14" t="s">
        <v>2040</v>
      </c>
      <c r="U511" s="17"/>
      <c r="V511" s="18"/>
      <c r="W511" s="16"/>
      <c r="X511" s="16"/>
      <c r="Y511" s="16"/>
    </row>
    <row r="512">
      <c r="A512" s="9" t="s">
        <v>2041</v>
      </c>
      <c r="B512" s="10" t="s">
        <v>2042</v>
      </c>
      <c r="C512" s="10" t="s">
        <v>1388</v>
      </c>
      <c r="D512" s="10" t="s">
        <v>77</v>
      </c>
      <c r="E512" s="10" t="s">
        <v>1389</v>
      </c>
      <c r="F512" s="10" t="s">
        <v>1390</v>
      </c>
      <c r="G512" s="10"/>
      <c r="H512" s="10"/>
      <c r="I512" s="11">
        <v>1499.0</v>
      </c>
      <c r="J512" s="11">
        <v>4999.0</v>
      </c>
      <c r="K512" s="12">
        <f t="shared" si="1"/>
        <v>0.700140028</v>
      </c>
      <c r="L512" s="13">
        <f>IFERROR(__xludf.DUMMYFUNCTION("GOOGLEFINANCE(""CURRENCY:INRBRL"") * I512
"),88.26362989562)</f>
        <v>88.2636299</v>
      </c>
      <c r="M512" s="9">
        <v>4.0</v>
      </c>
      <c r="N512" s="9">
        <v>92588.0</v>
      </c>
      <c r="O512" s="9" t="s">
        <v>2043</v>
      </c>
      <c r="P512" s="14" t="s">
        <v>2044</v>
      </c>
      <c r="U512" s="17"/>
      <c r="V512" s="18"/>
      <c r="W512" s="16"/>
      <c r="X512" s="16"/>
      <c r="Y512" s="16"/>
    </row>
    <row r="513">
      <c r="A513" s="9" t="s">
        <v>2045</v>
      </c>
      <c r="B513" s="10" t="s">
        <v>2046</v>
      </c>
      <c r="C513" s="10" t="s">
        <v>1412</v>
      </c>
      <c r="D513" s="10" t="s">
        <v>77</v>
      </c>
      <c r="E513" s="10" t="s">
        <v>1404</v>
      </c>
      <c r="F513" s="10" t="s">
        <v>1413</v>
      </c>
      <c r="G513" s="10" t="s">
        <v>1414</v>
      </c>
      <c r="H513" s="10"/>
      <c r="I513" s="11">
        <v>16999.0</v>
      </c>
      <c r="J513" s="11">
        <v>20999.0</v>
      </c>
      <c r="K513" s="12">
        <f t="shared" si="1"/>
        <v>0.1904852612</v>
      </c>
      <c r="L513" s="13">
        <f>IFERROR(__xludf.DUMMYFUNCTION("GOOGLEFINANCE(""CURRENCY:INRBRL"") * I513
"),1000.92958278562)</f>
        <v>1000.929583</v>
      </c>
      <c r="M513" s="9">
        <v>4.49</v>
      </c>
      <c r="N513" s="9">
        <v>31822.0</v>
      </c>
      <c r="O513" s="9" t="s">
        <v>2047</v>
      </c>
      <c r="P513" s="14" t="s">
        <v>2048</v>
      </c>
      <c r="U513" s="17"/>
      <c r="V513" s="18"/>
      <c r="W513" s="16"/>
      <c r="X513" s="16"/>
      <c r="Y513" s="16"/>
    </row>
    <row r="514">
      <c r="A514" s="9" t="s">
        <v>2049</v>
      </c>
      <c r="B514" s="10" t="s">
        <v>2050</v>
      </c>
      <c r="C514" s="10" t="s">
        <v>1388</v>
      </c>
      <c r="D514" s="10" t="s">
        <v>77</v>
      </c>
      <c r="E514" s="10" t="s">
        <v>1389</v>
      </c>
      <c r="F514" s="10" t="s">
        <v>1390</v>
      </c>
      <c r="G514" s="10"/>
      <c r="H514" s="10"/>
      <c r="I514" s="11">
        <v>1999.0</v>
      </c>
      <c r="J514" s="11">
        <v>8499.0</v>
      </c>
      <c r="K514" s="12">
        <f t="shared" si="1"/>
        <v>0.7647958583</v>
      </c>
      <c r="L514" s="13">
        <f>IFERROR(__xludf.DUMMYFUNCTION("GOOGLEFINANCE(""CURRENCY:INRBRL"") * I514
"),117.70446708562)</f>
        <v>117.7044671</v>
      </c>
      <c r="M514" s="9">
        <v>4.5</v>
      </c>
      <c r="N514" s="9">
        <v>240.0</v>
      </c>
      <c r="O514" s="9" t="s">
        <v>2051</v>
      </c>
      <c r="P514" s="14" t="s">
        <v>2052</v>
      </c>
      <c r="U514" s="17"/>
      <c r="V514" s="18"/>
      <c r="W514" s="16"/>
      <c r="X514" s="16"/>
      <c r="Y514" s="16"/>
    </row>
    <row r="515">
      <c r="A515" s="9" t="s">
        <v>2053</v>
      </c>
      <c r="B515" s="10" t="s">
        <v>2054</v>
      </c>
      <c r="C515" s="10" t="s">
        <v>1388</v>
      </c>
      <c r="D515" s="10" t="s">
        <v>77</v>
      </c>
      <c r="E515" s="10" t="s">
        <v>1389</v>
      </c>
      <c r="F515" s="10" t="s">
        <v>1390</v>
      </c>
      <c r="G515" s="10"/>
      <c r="H515" s="10"/>
      <c r="I515" s="11">
        <v>4999.0</v>
      </c>
      <c r="J515" s="11">
        <v>6999.0</v>
      </c>
      <c r="K515" s="12">
        <f t="shared" si="1"/>
        <v>0.2857551079</v>
      </c>
      <c r="L515" s="13">
        <f>IFERROR(__xludf.DUMMYFUNCTION("GOOGLEFINANCE(""CURRENCY:INRBRL"") * I515
"),294.34949022562)</f>
        <v>294.3494902</v>
      </c>
      <c r="M515" s="9">
        <v>4.51</v>
      </c>
      <c r="N515" s="9">
        <v>758.0</v>
      </c>
      <c r="O515" s="9" t="s">
        <v>2055</v>
      </c>
      <c r="P515" s="14" t="s">
        <v>2056</v>
      </c>
      <c r="U515" s="17"/>
      <c r="V515" s="18"/>
      <c r="W515" s="16"/>
      <c r="X515" s="16"/>
      <c r="Y515" s="16"/>
    </row>
    <row r="516">
      <c r="A516" s="9" t="s">
        <v>173</v>
      </c>
      <c r="B516" s="10" t="s">
        <v>174</v>
      </c>
      <c r="C516" s="10" t="s">
        <v>18</v>
      </c>
      <c r="D516" s="10" t="s">
        <v>19</v>
      </c>
      <c r="E516" s="10" t="s">
        <v>20</v>
      </c>
      <c r="F516" s="10" t="s">
        <v>21</v>
      </c>
      <c r="G516" s="10" t="s">
        <v>22</v>
      </c>
      <c r="H516" s="10" t="s">
        <v>23</v>
      </c>
      <c r="I516" s="11">
        <v>99.0</v>
      </c>
      <c r="J516" s="11">
        <v>666.66</v>
      </c>
      <c r="K516" s="12">
        <f t="shared" si="1"/>
        <v>0.851498515</v>
      </c>
      <c r="L516" s="13">
        <f>IFERROR(__xludf.DUMMYFUNCTION("GOOGLEFINANCE(""CURRENCY:INRBRL"") * I516
"),5.82928576362)</f>
        <v>5.829285764</v>
      </c>
      <c r="M516" s="9">
        <v>4.52</v>
      </c>
      <c r="N516" s="9">
        <v>2487.0</v>
      </c>
      <c r="O516" s="9" t="s">
        <v>175</v>
      </c>
      <c r="P516" s="14" t="s">
        <v>2057</v>
      </c>
      <c r="U516" s="17"/>
      <c r="V516" s="18"/>
      <c r="W516" s="16"/>
      <c r="X516" s="16"/>
      <c r="Y516" s="16"/>
    </row>
    <row r="517">
      <c r="A517" s="9" t="s">
        <v>2058</v>
      </c>
      <c r="B517" s="10" t="s">
        <v>2059</v>
      </c>
      <c r="C517" s="10" t="s">
        <v>1388</v>
      </c>
      <c r="D517" s="10" t="s">
        <v>77</v>
      </c>
      <c r="E517" s="10" t="s">
        <v>1389</v>
      </c>
      <c r="F517" s="10" t="s">
        <v>1390</v>
      </c>
      <c r="G517" s="10"/>
      <c r="H517" s="10"/>
      <c r="I517" s="11">
        <v>2499.0</v>
      </c>
      <c r="J517" s="11">
        <v>5999.0</v>
      </c>
      <c r="K517" s="12">
        <f t="shared" si="1"/>
        <v>0.5834305718</v>
      </c>
      <c r="L517" s="13">
        <f>IFERROR(__xludf.DUMMYFUNCTION("GOOGLEFINANCE(""CURRENCY:INRBRL"") * I517
"),147.14530427562)</f>
        <v>147.1453043</v>
      </c>
      <c r="M517" s="9">
        <v>4.51</v>
      </c>
      <c r="N517" s="9">
        <v>828.0</v>
      </c>
      <c r="O517" s="9" t="s">
        <v>2060</v>
      </c>
      <c r="P517" s="14" t="s">
        <v>2061</v>
      </c>
      <c r="U517" s="17"/>
      <c r="V517" s="18"/>
      <c r="W517" s="16"/>
      <c r="X517" s="16"/>
      <c r="Y517" s="16"/>
    </row>
    <row r="518">
      <c r="A518" s="9" t="s">
        <v>2062</v>
      </c>
      <c r="B518" s="10" t="s">
        <v>2063</v>
      </c>
      <c r="C518" s="10" t="s">
        <v>1444</v>
      </c>
      <c r="D518" s="10" t="s">
        <v>77</v>
      </c>
      <c r="E518" s="10" t="s">
        <v>1404</v>
      </c>
      <c r="F518" s="10" t="s">
        <v>1413</v>
      </c>
      <c r="G518" s="10" t="s">
        <v>1445</v>
      </c>
      <c r="H518" s="10"/>
      <c r="I518" s="11">
        <v>1399.0</v>
      </c>
      <c r="J518" s="11">
        <v>1630.0</v>
      </c>
      <c r="K518" s="12">
        <f t="shared" si="1"/>
        <v>0.1417177914</v>
      </c>
      <c r="L518" s="13">
        <f>IFERROR(__xludf.DUMMYFUNCTION("GOOGLEFINANCE(""CURRENCY:INRBRL"") * I518
"),82.37546245762)</f>
        <v>82.37546246</v>
      </c>
      <c r="M518" s="9">
        <v>4.0</v>
      </c>
      <c r="N518" s="9">
        <v>9378.0</v>
      </c>
      <c r="O518" s="9" t="s">
        <v>2064</v>
      </c>
      <c r="P518" s="14" t="s">
        <v>2065</v>
      </c>
      <c r="U518" s="17"/>
      <c r="V518" s="18"/>
      <c r="W518" s="16"/>
      <c r="X518" s="16"/>
      <c r="Y518" s="16"/>
    </row>
    <row r="519">
      <c r="A519" s="9" t="s">
        <v>2066</v>
      </c>
      <c r="B519" s="10" t="s">
        <v>2067</v>
      </c>
      <c r="C519" s="10" t="s">
        <v>1388</v>
      </c>
      <c r="D519" s="10" t="s">
        <v>77</v>
      </c>
      <c r="E519" s="10" t="s">
        <v>1389</v>
      </c>
      <c r="F519" s="10" t="s">
        <v>1390</v>
      </c>
      <c r="G519" s="10"/>
      <c r="H519" s="10"/>
      <c r="I519" s="11">
        <v>1499.0</v>
      </c>
      <c r="J519" s="11">
        <v>9999.0</v>
      </c>
      <c r="K519" s="12">
        <f t="shared" si="1"/>
        <v>0.8500850085</v>
      </c>
      <c r="L519" s="13">
        <f>IFERROR(__xludf.DUMMYFUNCTION("GOOGLEFINANCE(""CURRENCY:INRBRL"") * I519
"),88.26362989562)</f>
        <v>88.2636299</v>
      </c>
      <c r="M519" s="9">
        <v>4.5</v>
      </c>
      <c r="N519" s="9">
        <v>22638.0</v>
      </c>
      <c r="O519" s="9" t="s">
        <v>2068</v>
      </c>
      <c r="P519" s="14" t="s">
        <v>2069</v>
      </c>
      <c r="U519" s="17"/>
      <c r="V519" s="18"/>
      <c r="W519" s="16"/>
      <c r="X519" s="16"/>
      <c r="Y519" s="16"/>
    </row>
    <row r="520">
      <c r="A520" s="9" t="s">
        <v>177</v>
      </c>
      <c r="B520" s="10" t="s">
        <v>178</v>
      </c>
      <c r="C520" s="10" t="s">
        <v>18</v>
      </c>
      <c r="D520" s="10" t="s">
        <v>19</v>
      </c>
      <c r="E520" s="10" t="s">
        <v>20</v>
      </c>
      <c r="F520" s="10" t="s">
        <v>21</v>
      </c>
      <c r="G520" s="10" t="s">
        <v>22</v>
      </c>
      <c r="H520" s="10" t="s">
        <v>23</v>
      </c>
      <c r="I520" s="11">
        <v>899.0</v>
      </c>
      <c r="J520" s="11">
        <v>1899.0</v>
      </c>
      <c r="K520" s="12">
        <f t="shared" si="1"/>
        <v>0.5265929437</v>
      </c>
      <c r="L520" s="13">
        <f>IFERROR(__xludf.DUMMYFUNCTION("GOOGLEFINANCE(""CURRENCY:INRBRL"") * I520
"),52.93462526762)</f>
        <v>52.93462527</v>
      </c>
      <c r="M520" s="9">
        <v>4.5</v>
      </c>
      <c r="N520" s="9">
        <v>13552.0</v>
      </c>
      <c r="O520" s="9" t="s">
        <v>179</v>
      </c>
      <c r="P520" s="14" t="s">
        <v>2070</v>
      </c>
      <c r="U520" s="17"/>
      <c r="V520" s="18"/>
      <c r="W520" s="16"/>
      <c r="X520" s="16"/>
      <c r="Y520" s="16"/>
    </row>
    <row r="521">
      <c r="A521" s="9" t="s">
        <v>2071</v>
      </c>
      <c r="B521" s="10" t="s">
        <v>2072</v>
      </c>
      <c r="C521" s="10" t="s">
        <v>1505</v>
      </c>
      <c r="D521" s="10" t="s">
        <v>77</v>
      </c>
      <c r="E521" s="10" t="s">
        <v>1404</v>
      </c>
      <c r="F521" s="10" t="s">
        <v>1405</v>
      </c>
      <c r="G521" s="10" t="s">
        <v>1406</v>
      </c>
      <c r="H521" s="10" t="s">
        <v>1506</v>
      </c>
      <c r="I521" s="11">
        <v>249.0</v>
      </c>
      <c r="J521" s="11">
        <v>599.0</v>
      </c>
      <c r="K521" s="12">
        <f t="shared" si="1"/>
        <v>0.5843071786</v>
      </c>
      <c r="L521" s="13">
        <f>IFERROR(__xludf.DUMMYFUNCTION("GOOGLEFINANCE(""CURRENCY:INRBRL"") * I521
"),14.66153692062)</f>
        <v>14.66153692</v>
      </c>
      <c r="M521" s="9">
        <v>4.52</v>
      </c>
      <c r="N521" s="9">
        <v>2147.0</v>
      </c>
      <c r="O521" s="9" t="s">
        <v>2073</v>
      </c>
      <c r="P521" s="14" t="s">
        <v>2074</v>
      </c>
      <c r="U521" s="17"/>
      <c r="V521" s="18"/>
      <c r="W521" s="16"/>
      <c r="X521" s="16"/>
      <c r="Y521" s="16"/>
    </row>
    <row r="522">
      <c r="A522" s="9" t="s">
        <v>2075</v>
      </c>
      <c r="B522" s="10" t="s">
        <v>2076</v>
      </c>
      <c r="C522" s="10" t="s">
        <v>1823</v>
      </c>
      <c r="D522" s="10" t="s">
        <v>77</v>
      </c>
      <c r="E522" s="10" t="s">
        <v>1404</v>
      </c>
      <c r="F522" s="10" t="s">
        <v>1405</v>
      </c>
      <c r="G522" s="10" t="s">
        <v>1824</v>
      </c>
      <c r="H522" s="10" t="s">
        <v>1825</v>
      </c>
      <c r="I522" s="11">
        <v>299.0</v>
      </c>
      <c r="J522" s="11">
        <v>1199.0</v>
      </c>
      <c r="K522" s="12">
        <f t="shared" si="1"/>
        <v>0.7506255213</v>
      </c>
      <c r="L522" s="13">
        <f>IFERROR(__xludf.DUMMYFUNCTION("GOOGLEFINANCE(""CURRENCY:INRBRL"") * I522
"),17.60562063962)</f>
        <v>17.60562064</v>
      </c>
      <c r="M522" s="9">
        <v>4.51</v>
      </c>
      <c r="N522" s="9">
        <v>596.0</v>
      </c>
      <c r="O522" s="9" t="s">
        <v>2077</v>
      </c>
      <c r="P522" s="14" t="s">
        <v>2078</v>
      </c>
      <c r="U522" s="17"/>
      <c r="V522" s="18"/>
      <c r="W522" s="16"/>
      <c r="X522" s="16"/>
      <c r="Y522" s="16"/>
    </row>
    <row r="523">
      <c r="A523" s="9" t="s">
        <v>2079</v>
      </c>
      <c r="B523" s="10" t="s">
        <v>2080</v>
      </c>
      <c r="C523" s="10" t="s">
        <v>1746</v>
      </c>
      <c r="D523" s="10" t="s">
        <v>77</v>
      </c>
      <c r="E523" s="10" t="s">
        <v>1404</v>
      </c>
      <c r="F523" s="10" t="s">
        <v>1405</v>
      </c>
      <c r="G523" s="10" t="s">
        <v>1747</v>
      </c>
      <c r="H523" s="10"/>
      <c r="I523" s="11">
        <v>79.0</v>
      </c>
      <c r="J523" s="11">
        <v>499.0</v>
      </c>
      <c r="K523" s="12">
        <f t="shared" si="1"/>
        <v>0.8416833667</v>
      </c>
      <c r="L523" s="13">
        <f>IFERROR(__xludf.DUMMYFUNCTION("GOOGLEFINANCE(""CURRENCY:INRBRL"") * I523
"),4.65165227602)</f>
        <v>4.651652276</v>
      </c>
      <c r="M523" s="9">
        <v>4.5</v>
      </c>
      <c r="N523" s="9">
        <v>1949.0</v>
      </c>
      <c r="O523" s="9" t="s">
        <v>2081</v>
      </c>
      <c r="P523" s="14" t="s">
        <v>2082</v>
      </c>
      <c r="U523" s="17"/>
      <c r="V523" s="18"/>
      <c r="W523" s="16"/>
      <c r="X523" s="16"/>
      <c r="Y523" s="16"/>
    </row>
    <row r="524">
      <c r="A524" s="9" t="s">
        <v>2083</v>
      </c>
      <c r="B524" s="10" t="s">
        <v>2084</v>
      </c>
      <c r="C524" s="10" t="s">
        <v>1412</v>
      </c>
      <c r="D524" s="10" t="s">
        <v>77</v>
      </c>
      <c r="E524" s="10" t="s">
        <v>1404</v>
      </c>
      <c r="F524" s="10" t="s">
        <v>1413</v>
      </c>
      <c r="G524" s="10" t="s">
        <v>1414</v>
      </c>
      <c r="H524" s="10"/>
      <c r="I524" s="11">
        <v>13999.0</v>
      </c>
      <c r="J524" s="11">
        <v>15999.0</v>
      </c>
      <c r="K524" s="12">
        <f t="shared" si="1"/>
        <v>0.125007813</v>
      </c>
      <c r="L524" s="13">
        <f>IFERROR(__xludf.DUMMYFUNCTION("GOOGLEFINANCE(""CURRENCY:INRBRL"") * I524
"),824.28455964562)</f>
        <v>824.2845596</v>
      </c>
      <c r="M524" s="9">
        <v>4.52</v>
      </c>
      <c r="N524" s="9">
        <v>218.0</v>
      </c>
      <c r="O524" s="9" t="s">
        <v>1974</v>
      </c>
      <c r="P524" s="14" t="s">
        <v>2085</v>
      </c>
      <c r="U524" s="17"/>
      <c r="V524" s="18"/>
      <c r="W524" s="16"/>
      <c r="X524" s="16"/>
      <c r="Y524" s="16"/>
    </row>
    <row r="525">
      <c r="A525" s="9" t="s">
        <v>2086</v>
      </c>
      <c r="B525" s="10" t="s">
        <v>2087</v>
      </c>
      <c r="C525" s="10" t="s">
        <v>1454</v>
      </c>
      <c r="D525" s="10" t="s">
        <v>77</v>
      </c>
      <c r="E525" s="10" t="s">
        <v>1455</v>
      </c>
      <c r="F525" s="10" t="s">
        <v>1456</v>
      </c>
      <c r="G525" s="10" t="s">
        <v>1457</v>
      </c>
      <c r="H525" s="10"/>
      <c r="I525" s="11">
        <v>949.0</v>
      </c>
      <c r="J525" s="11">
        <v>999.0</v>
      </c>
      <c r="K525" s="12">
        <f t="shared" si="1"/>
        <v>0.05005005005</v>
      </c>
      <c r="L525" s="13">
        <f>IFERROR(__xludf.DUMMYFUNCTION("GOOGLEFINANCE(""CURRENCY:INRBRL"") * I525
"),55.87870898662)</f>
        <v>55.87870899</v>
      </c>
      <c r="M525" s="9">
        <v>4.5</v>
      </c>
      <c r="N525" s="9">
        <v>31539.0</v>
      </c>
      <c r="O525" s="9" t="s">
        <v>2088</v>
      </c>
      <c r="P525" s="14" t="s">
        <v>2089</v>
      </c>
      <c r="U525" s="17"/>
      <c r="V525" s="18"/>
      <c r="W525" s="16"/>
      <c r="X525" s="16"/>
      <c r="Y525" s="16"/>
    </row>
    <row r="526">
      <c r="A526" s="9" t="s">
        <v>2090</v>
      </c>
      <c r="B526" s="10" t="s">
        <v>2091</v>
      </c>
      <c r="C526" s="10" t="s">
        <v>1672</v>
      </c>
      <c r="D526" s="10" t="s">
        <v>77</v>
      </c>
      <c r="E526" s="10" t="s">
        <v>1404</v>
      </c>
      <c r="F526" s="10" t="s">
        <v>1405</v>
      </c>
      <c r="G526" s="10" t="s">
        <v>1673</v>
      </c>
      <c r="H526" s="10"/>
      <c r="I526" s="11">
        <v>99.0</v>
      </c>
      <c r="J526" s="11">
        <v>499.0</v>
      </c>
      <c r="K526" s="12">
        <f t="shared" si="1"/>
        <v>0.8016032064</v>
      </c>
      <c r="L526" s="13">
        <f>IFERROR(__xludf.DUMMYFUNCTION("GOOGLEFINANCE(""CURRENCY:INRBRL"") * I526
"),5.82928576362)</f>
        <v>5.829285764</v>
      </c>
      <c r="M526" s="9">
        <v>4.49</v>
      </c>
      <c r="N526" s="9">
        <v>2451.0</v>
      </c>
      <c r="O526" s="9" t="s">
        <v>2092</v>
      </c>
      <c r="P526" s="14" t="s">
        <v>2093</v>
      </c>
      <c r="U526" s="17"/>
      <c r="V526" s="18"/>
      <c r="W526" s="16"/>
      <c r="X526" s="16"/>
      <c r="Y526" s="16"/>
    </row>
    <row r="527">
      <c r="A527" s="9" t="s">
        <v>2094</v>
      </c>
      <c r="B527" s="10" t="s">
        <v>2095</v>
      </c>
      <c r="C527" s="10" t="s">
        <v>1388</v>
      </c>
      <c r="D527" s="10" t="s">
        <v>77</v>
      </c>
      <c r="E527" s="10" t="s">
        <v>1389</v>
      </c>
      <c r="F527" s="10" t="s">
        <v>1390</v>
      </c>
      <c r="G527" s="10"/>
      <c r="H527" s="10"/>
      <c r="I527" s="11">
        <v>2499.0</v>
      </c>
      <c r="J527" s="11">
        <v>7990.0</v>
      </c>
      <c r="K527" s="12">
        <f t="shared" si="1"/>
        <v>0.6872340426</v>
      </c>
      <c r="L527" s="13">
        <f>IFERROR(__xludf.DUMMYFUNCTION("GOOGLEFINANCE(""CURRENCY:INRBRL"") * I527
"),147.14530427562)</f>
        <v>147.1453043</v>
      </c>
      <c r="M527" s="9">
        <v>4.49</v>
      </c>
      <c r="N527" s="9">
        <v>154.0</v>
      </c>
      <c r="O527" s="9" t="s">
        <v>2096</v>
      </c>
      <c r="P527" s="14" t="s">
        <v>2097</v>
      </c>
      <c r="U527" s="17"/>
      <c r="V527" s="18"/>
      <c r="W527" s="16"/>
      <c r="X527" s="16"/>
      <c r="Y527" s="16"/>
    </row>
    <row r="528">
      <c r="A528" s="9" t="s">
        <v>2098</v>
      </c>
      <c r="B528" s="10" t="s">
        <v>2099</v>
      </c>
      <c r="C528" s="10" t="s">
        <v>2100</v>
      </c>
      <c r="D528" s="10" t="s">
        <v>77</v>
      </c>
      <c r="E528" s="10" t="s">
        <v>1404</v>
      </c>
      <c r="F528" s="10" t="s">
        <v>1405</v>
      </c>
      <c r="G528" s="10" t="s">
        <v>571</v>
      </c>
      <c r="H528" s="10" t="s">
        <v>2101</v>
      </c>
      <c r="I528" s="11">
        <v>689.0</v>
      </c>
      <c r="J528" s="11">
        <v>1999.0</v>
      </c>
      <c r="K528" s="12">
        <f t="shared" si="1"/>
        <v>0.6553276638</v>
      </c>
      <c r="L528" s="13">
        <f>IFERROR(__xludf.DUMMYFUNCTION("GOOGLEFINANCE(""CURRENCY:INRBRL"") * I528
"),40.56947364782)</f>
        <v>40.56947365</v>
      </c>
      <c r="M528" s="9">
        <v>4.5</v>
      </c>
      <c r="N528" s="9">
        <v>1193.0</v>
      </c>
      <c r="O528" s="9" t="s">
        <v>2102</v>
      </c>
      <c r="P528" s="14" t="s">
        <v>2103</v>
      </c>
      <c r="U528" s="17"/>
      <c r="V528" s="18"/>
      <c r="W528" s="16"/>
      <c r="X528" s="16"/>
      <c r="Y528" s="16"/>
    </row>
    <row r="529">
      <c r="A529" s="9" t="s">
        <v>2104</v>
      </c>
      <c r="B529" s="10" t="s">
        <v>2105</v>
      </c>
      <c r="C529" s="10" t="s">
        <v>1904</v>
      </c>
      <c r="D529" s="10" t="s">
        <v>77</v>
      </c>
      <c r="E529" s="10" t="s">
        <v>1404</v>
      </c>
      <c r="F529" s="10" t="s">
        <v>1405</v>
      </c>
      <c r="G529" s="10" t="s">
        <v>571</v>
      </c>
      <c r="H529" s="10" t="s">
        <v>1905</v>
      </c>
      <c r="I529" s="11">
        <v>499.0</v>
      </c>
      <c r="J529" s="11">
        <v>1899.0</v>
      </c>
      <c r="K529" s="12">
        <f t="shared" si="1"/>
        <v>0.7372301211</v>
      </c>
      <c r="L529" s="13">
        <f>IFERROR(__xludf.DUMMYFUNCTION("GOOGLEFINANCE(""CURRENCY:INRBRL"") * I529
"),29.38195551562)</f>
        <v>29.38195552</v>
      </c>
      <c r="M529" s="9">
        <v>4.49</v>
      </c>
      <c r="N529" s="9">
        <v>1475.0</v>
      </c>
      <c r="O529" s="9" t="s">
        <v>2106</v>
      </c>
      <c r="P529" s="14" t="s">
        <v>2107</v>
      </c>
      <c r="U529" s="17"/>
      <c r="V529" s="18"/>
      <c r="W529" s="16"/>
      <c r="X529" s="16"/>
      <c r="Y529" s="16"/>
    </row>
    <row r="530">
      <c r="A530" s="9" t="s">
        <v>2108</v>
      </c>
      <c r="B530" s="10" t="s">
        <v>2109</v>
      </c>
      <c r="C530" s="10" t="s">
        <v>1823</v>
      </c>
      <c r="D530" s="10" t="s">
        <v>77</v>
      </c>
      <c r="E530" s="10" t="s">
        <v>1404</v>
      </c>
      <c r="F530" s="10" t="s">
        <v>1405</v>
      </c>
      <c r="G530" s="10" t="s">
        <v>1824</v>
      </c>
      <c r="H530" s="10" t="s">
        <v>1825</v>
      </c>
      <c r="I530" s="11">
        <v>299.0</v>
      </c>
      <c r="J530" s="11">
        <v>999.0</v>
      </c>
      <c r="K530" s="12">
        <f t="shared" si="1"/>
        <v>0.7007007007</v>
      </c>
      <c r="L530" s="13">
        <f>IFERROR(__xludf.DUMMYFUNCTION("GOOGLEFINANCE(""CURRENCY:INRBRL"") * I530
"),17.60562063962)</f>
        <v>17.60562064</v>
      </c>
      <c r="M530" s="9">
        <v>4.5</v>
      </c>
      <c r="N530" s="9">
        <v>8891.0</v>
      </c>
      <c r="O530" s="9" t="s">
        <v>2110</v>
      </c>
      <c r="P530" s="14" t="s">
        <v>2111</v>
      </c>
      <c r="U530" s="17"/>
      <c r="V530" s="18"/>
      <c r="W530" s="16"/>
      <c r="X530" s="16"/>
      <c r="Y530" s="16"/>
    </row>
    <row r="531">
      <c r="A531" s="9" t="s">
        <v>2112</v>
      </c>
      <c r="B531" s="10" t="s">
        <v>2113</v>
      </c>
      <c r="C531" s="10" t="s">
        <v>1672</v>
      </c>
      <c r="D531" s="10" t="s">
        <v>77</v>
      </c>
      <c r="E531" s="10" t="s">
        <v>1404</v>
      </c>
      <c r="F531" s="10" t="s">
        <v>1405</v>
      </c>
      <c r="G531" s="10" t="s">
        <v>1673</v>
      </c>
      <c r="H531" s="10"/>
      <c r="I531" s="11">
        <v>209.0</v>
      </c>
      <c r="J531" s="11">
        <v>499.0</v>
      </c>
      <c r="K531" s="12">
        <f t="shared" si="1"/>
        <v>0.5811623246</v>
      </c>
      <c r="L531" s="13">
        <f>IFERROR(__xludf.DUMMYFUNCTION("GOOGLEFINANCE(""CURRENCY:INRBRL"") * I531
"),12.30626994542)</f>
        <v>12.30626995</v>
      </c>
      <c r="M531" s="9">
        <v>4.51</v>
      </c>
      <c r="N531" s="9">
        <v>104.0</v>
      </c>
      <c r="O531" s="9" t="s">
        <v>2114</v>
      </c>
      <c r="P531" s="14" t="s">
        <v>2115</v>
      </c>
      <c r="U531" s="17"/>
      <c r="V531" s="18"/>
      <c r="W531" s="16"/>
      <c r="X531" s="16"/>
      <c r="Y531" s="16"/>
    </row>
    <row r="532">
      <c r="A532" s="9" t="s">
        <v>2116</v>
      </c>
      <c r="B532" s="10" t="s">
        <v>2117</v>
      </c>
      <c r="C532" s="10" t="s">
        <v>1412</v>
      </c>
      <c r="D532" s="10" t="s">
        <v>77</v>
      </c>
      <c r="E532" s="10" t="s">
        <v>1404</v>
      </c>
      <c r="F532" s="10" t="s">
        <v>1413</v>
      </c>
      <c r="G532" s="10" t="s">
        <v>1414</v>
      </c>
      <c r="H532" s="10"/>
      <c r="I532" s="11">
        <v>8499.0</v>
      </c>
      <c r="J532" s="11">
        <v>12999.0</v>
      </c>
      <c r="K532" s="12">
        <f t="shared" si="1"/>
        <v>0.3461804754</v>
      </c>
      <c r="L532" s="13">
        <f>IFERROR(__xludf.DUMMYFUNCTION("GOOGLEFINANCE(""CURRENCY:INRBRL"") * I532
"),500.43535055562)</f>
        <v>500.4353506</v>
      </c>
      <c r="M532" s="9">
        <v>4.49</v>
      </c>
      <c r="N532" s="9">
        <v>6662.0</v>
      </c>
      <c r="O532" s="9" t="s">
        <v>2118</v>
      </c>
      <c r="P532" s="14" t="s">
        <v>2119</v>
      </c>
      <c r="U532" s="17"/>
      <c r="V532" s="18"/>
      <c r="W532" s="16"/>
      <c r="X532" s="16"/>
      <c r="Y532" s="16"/>
    </row>
    <row r="533">
      <c r="A533" s="9" t="s">
        <v>2120</v>
      </c>
      <c r="B533" s="10" t="s">
        <v>2121</v>
      </c>
      <c r="C533" s="10" t="s">
        <v>1403</v>
      </c>
      <c r="D533" s="10" t="s">
        <v>77</v>
      </c>
      <c r="E533" s="10" t="s">
        <v>1404</v>
      </c>
      <c r="F533" s="10" t="s">
        <v>1405</v>
      </c>
      <c r="G533" s="10" t="s">
        <v>1406</v>
      </c>
      <c r="H533" s="10" t="s">
        <v>1407</v>
      </c>
      <c r="I533" s="11">
        <v>2179.0</v>
      </c>
      <c r="J533" s="11">
        <v>3999.0</v>
      </c>
      <c r="K533" s="12">
        <f t="shared" si="1"/>
        <v>0.4551137784</v>
      </c>
      <c r="L533" s="13">
        <f>IFERROR(__xludf.DUMMYFUNCTION("GOOGLEFINANCE(""CURRENCY:INRBRL"") * I533
"),128.30316847402)</f>
        <v>128.3031685</v>
      </c>
      <c r="M533" s="9">
        <v>4.0</v>
      </c>
      <c r="N533" s="9">
        <v>838.0</v>
      </c>
      <c r="O533" s="9" t="s">
        <v>2122</v>
      </c>
      <c r="P533" s="14" t="s">
        <v>2123</v>
      </c>
      <c r="U533" s="17"/>
      <c r="V533" s="18"/>
      <c r="W533" s="16"/>
      <c r="X533" s="16"/>
      <c r="Y533" s="16"/>
    </row>
    <row r="534">
      <c r="A534" s="9" t="s">
        <v>2124</v>
      </c>
      <c r="B534" s="10" t="s">
        <v>2125</v>
      </c>
      <c r="C534" s="10" t="s">
        <v>1412</v>
      </c>
      <c r="D534" s="10" t="s">
        <v>77</v>
      </c>
      <c r="E534" s="10" t="s">
        <v>1404</v>
      </c>
      <c r="F534" s="10" t="s">
        <v>1413</v>
      </c>
      <c r="G534" s="10" t="s">
        <v>1414</v>
      </c>
      <c r="H534" s="10"/>
      <c r="I534" s="11">
        <v>16999.0</v>
      </c>
      <c r="J534" s="11">
        <v>20999.0</v>
      </c>
      <c r="K534" s="12">
        <f t="shared" si="1"/>
        <v>0.1904852612</v>
      </c>
      <c r="L534" s="13">
        <f>IFERROR(__xludf.DUMMYFUNCTION("GOOGLEFINANCE(""CURRENCY:INRBRL"") * I534
"),1000.92958278562)</f>
        <v>1000.929583</v>
      </c>
      <c r="M534" s="9">
        <v>4.49</v>
      </c>
      <c r="N534" s="9">
        <v>31822.0</v>
      </c>
      <c r="O534" s="9" t="s">
        <v>2126</v>
      </c>
      <c r="P534" s="14" t="s">
        <v>2127</v>
      </c>
      <c r="U534" s="17"/>
      <c r="V534" s="18"/>
      <c r="W534" s="16"/>
      <c r="X534" s="16"/>
      <c r="Y534" s="16"/>
    </row>
    <row r="535">
      <c r="A535" s="9" t="s">
        <v>2128</v>
      </c>
      <c r="B535" s="10" t="s">
        <v>2129</v>
      </c>
      <c r="C535" s="10" t="s">
        <v>1412</v>
      </c>
      <c r="D535" s="10" t="s">
        <v>77</v>
      </c>
      <c r="E535" s="10" t="s">
        <v>1404</v>
      </c>
      <c r="F535" s="10" t="s">
        <v>1413</v>
      </c>
      <c r="G535" s="10" t="s">
        <v>1414</v>
      </c>
      <c r="H535" s="10"/>
      <c r="I535" s="11">
        <v>44999.0</v>
      </c>
      <c r="J535" s="11">
        <v>49999.0</v>
      </c>
      <c r="K535" s="12">
        <f t="shared" si="1"/>
        <v>0.100002</v>
      </c>
      <c r="L535" s="13">
        <f>IFERROR(__xludf.DUMMYFUNCTION("GOOGLEFINANCE(""CURRENCY:INRBRL"") * I535
"),2649.61646542562)</f>
        <v>2649.616465</v>
      </c>
      <c r="M535" s="9">
        <v>4.5</v>
      </c>
      <c r="N535" s="9">
        <v>3075.0</v>
      </c>
      <c r="O535" s="9" t="s">
        <v>2130</v>
      </c>
      <c r="P535" s="14" t="s">
        <v>2131</v>
      </c>
      <c r="U535" s="17"/>
      <c r="V535" s="18"/>
      <c r="W535" s="16"/>
      <c r="X535" s="16"/>
      <c r="Y535" s="16"/>
    </row>
    <row r="536">
      <c r="A536" s="9" t="s">
        <v>2132</v>
      </c>
      <c r="B536" s="10" t="s">
        <v>2133</v>
      </c>
      <c r="C536" s="10" t="s">
        <v>1444</v>
      </c>
      <c r="D536" s="10" t="s">
        <v>77</v>
      </c>
      <c r="E536" s="10" t="s">
        <v>1404</v>
      </c>
      <c r="F536" s="10" t="s">
        <v>1413</v>
      </c>
      <c r="G536" s="10" t="s">
        <v>1445</v>
      </c>
      <c r="H536" s="10"/>
      <c r="I536" s="11">
        <v>2599.0</v>
      </c>
      <c r="J536" s="11">
        <v>2999.0</v>
      </c>
      <c r="K536" s="12">
        <f t="shared" si="1"/>
        <v>0.1333777926</v>
      </c>
      <c r="L536" s="13">
        <f>IFERROR(__xludf.DUMMYFUNCTION("GOOGLEFINANCE(""CURRENCY:INRBRL"") * I536
"),153.03347171362)</f>
        <v>153.0334717</v>
      </c>
      <c r="M536" s="9">
        <v>4.52</v>
      </c>
      <c r="N536" s="9">
        <v>14266.0</v>
      </c>
      <c r="O536" s="9" t="s">
        <v>2134</v>
      </c>
      <c r="P536" s="14" t="s">
        <v>2135</v>
      </c>
      <c r="U536" s="17"/>
      <c r="V536" s="18"/>
      <c r="W536" s="16"/>
      <c r="X536" s="16"/>
      <c r="Y536" s="16"/>
    </row>
    <row r="537">
      <c r="A537" s="9" t="s">
        <v>2136</v>
      </c>
      <c r="B537" s="10" t="s">
        <v>2137</v>
      </c>
      <c r="C537" s="10" t="s">
        <v>1388</v>
      </c>
      <c r="D537" s="10" t="s">
        <v>77</v>
      </c>
      <c r="E537" s="10" t="s">
        <v>1389</v>
      </c>
      <c r="F537" s="10" t="s">
        <v>1390</v>
      </c>
      <c r="G537" s="10"/>
      <c r="H537" s="10"/>
      <c r="I537" s="11">
        <v>2799.0</v>
      </c>
      <c r="J537" s="11">
        <v>6499.0</v>
      </c>
      <c r="K537" s="12">
        <f t="shared" si="1"/>
        <v>0.5693183567</v>
      </c>
      <c r="L537" s="13">
        <f>IFERROR(__xludf.DUMMYFUNCTION("GOOGLEFINANCE(""CURRENCY:INRBRL"") * I537
"),164.80980658962)</f>
        <v>164.8098066</v>
      </c>
      <c r="M537" s="9">
        <v>4.49</v>
      </c>
      <c r="N537" s="9">
        <v>38879.0</v>
      </c>
      <c r="O537" s="9" t="s">
        <v>2138</v>
      </c>
      <c r="P537" s="14" t="s">
        <v>2139</v>
      </c>
      <c r="U537" s="17"/>
      <c r="V537" s="18"/>
      <c r="W537" s="16"/>
      <c r="X537" s="16"/>
      <c r="Y537" s="16"/>
    </row>
    <row r="538">
      <c r="A538" s="9" t="s">
        <v>2140</v>
      </c>
      <c r="B538" s="10" t="s">
        <v>2141</v>
      </c>
      <c r="C538" s="10" t="s">
        <v>2142</v>
      </c>
      <c r="D538" s="10" t="s">
        <v>77</v>
      </c>
      <c r="E538" s="10" t="s">
        <v>1455</v>
      </c>
      <c r="F538" s="10" t="s">
        <v>1456</v>
      </c>
      <c r="G538" s="10" t="s">
        <v>2143</v>
      </c>
      <c r="H538" s="10"/>
      <c r="I538" s="11">
        <v>1399.0</v>
      </c>
      <c r="J538" s="11">
        <v>2990.0</v>
      </c>
      <c r="K538" s="12">
        <f t="shared" si="1"/>
        <v>0.5321070234</v>
      </c>
      <c r="L538" s="13">
        <f>IFERROR(__xludf.DUMMYFUNCTION("GOOGLEFINANCE(""CURRENCY:INRBRL"") * I538
"),82.37546245762)</f>
        <v>82.37546246</v>
      </c>
      <c r="M538" s="9">
        <v>4.49</v>
      </c>
      <c r="N538" s="9">
        <v>97175.0</v>
      </c>
      <c r="O538" s="9" t="s">
        <v>2144</v>
      </c>
      <c r="P538" s="14" t="s">
        <v>2145</v>
      </c>
      <c r="U538" s="17"/>
      <c r="V538" s="18"/>
      <c r="W538" s="16"/>
      <c r="X538" s="16"/>
      <c r="Y538" s="16"/>
    </row>
    <row r="539">
      <c r="A539" s="9" t="s">
        <v>2146</v>
      </c>
      <c r="B539" s="10" t="s">
        <v>2147</v>
      </c>
      <c r="C539" s="10" t="s">
        <v>1433</v>
      </c>
      <c r="D539" s="10" t="s">
        <v>77</v>
      </c>
      <c r="E539" s="10" t="s">
        <v>79</v>
      </c>
      <c r="F539" s="10" t="s">
        <v>1434</v>
      </c>
      <c r="G539" s="10" t="s">
        <v>1435</v>
      </c>
      <c r="H539" s="10"/>
      <c r="I539" s="11">
        <v>649.0</v>
      </c>
      <c r="J539" s="11">
        <v>2399.0</v>
      </c>
      <c r="K539" s="12">
        <f t="shared" si="1"/>
        <v>0.7294706128</v>
      </c>
      <c r="L539" s="13">
        <f>IFERROR(__xludf.DUMMYFUNCTION("GOOGLEFINANCE(""CURRENCY:INRBRL"") * I539
"),38.21420667262)</f>
        <v>38.21420667</v>
      </c>
      <c r="M539" s="9">
        <v>4.5</v>
      </c>
      <c r="N539" s="9">
        <v>6726.0</v>
      </c>
      <c r="O539" s="9" t="s">
        <v>2148</v>
      </c>
      <c r="P539" s="14" t="s">
        <v>2149</v>
      </c>
      <c r="U539" s="17"/>
      <c r="V539" s="18"/>
      <c r="W539" s="16"/>
      <c r="X539" s="16"/>
      <c r="Y539" s="16"/>
    </row>
    <row r="540">
      <c r="A540" s="9" t="s">
        <v>2150</v>
      </c>
      <c r="B540" s="10" t="s">
        <v>2151</v>
      </c>
      <c r="C540" s="10" t="s">
        <v>1505</v>
      </c>
      <c r="D540" s="10" t="s">
        <v>77</v>
      </c>
      <c r="E540" s="10" t="s">
        <v>1404</v>
      </c>
      <c r="F540" s="10" t="s">
        <v>1405</v>
      </c>
      <c r="G540" s="10" t="s">
        <v>1406</v>
      </c>
      <c r="H540" s="10" t="s">
        <v>1506</v>
      </c>
      <c r="I540" s="11">
        <v>799.0</v>
      </c>
      <c r="J540" s="11">
        <v>3990.0</v>
      </c>
      <c r="K540" s="12">
        <f t="shared" si="1"/>
        <v>0.7997493734</v>
      </c>
      <c r="L540" s="13">
        <f>IFERROR(__xludf.DUMMYFUNCTION("GOOGLEFINANCE(""CURRENCY:INRBRL"") * I540
"),47.046457829619996)</f>
        <v>47.04645783</v>
      </c>
      <c r="M540" s="9">
        <v>4.51</v>
      </c>
      <c r="N540" s="9">
        <v>119.0</v>
      </c>
      <c r="O540" s="9" t="s">
        <v>2152</v>
      </c>
      <c r="P540" s="14" t="s">
        <v>2153</v>
      </c>
      <c r="U540" s="17"/>
      <c r="V540" s="18"/>
      <c r="W540" s="16"/>
      <c r="X540" s="16"/>
      <c r="Y540" s="16"/>
    </row>
    <row r="541">
      <c r="A541" s="9" t="s">
        <v>2154</v>
      </c>
      <c r="B541" s="10" t="s">
        <v>2155</v>
      </c>
      <c r="C541" s="10" t="s">
        <v>2156</v>
      </c>
      <c r="D541" s="10" t="s">
        <v>19</v>
      </c>
      <c r="E541" s="10" t="s">
        <v>20</v>
      </c>
      <c r="F541" s="10" t="s">
        <v>2157</v>
      </c>
      <c r="G541" s="10" t="s">
        <v>2158</v>
      </c>
      <c r="H541" s="10"/>
      <c r="I541" s="11">
        <v>149.0</v>
      </c>
      <c r="J541" s="11">
        <v>149.0</v>
      </c>
      <c r="K541" s="12">
        <f t="shared" si="1"/>
        <v>0</v>
      </c>
      <c r="L541" s="13">
        <f>IFERROR(__xludf.DUMMYFUNCTION("GOOGLEFINANCE(""CURRENCY:INRBRL"") * I541
"),8.77336948262)</f>
        <v>8.773369483</v>
      </c>
      <c r="M541" s="9">
        <v>4.5</v>
      </c>
      <c r="N541" s="9">
        <v>10833.0</v>
      </c>
      <c r="O541" s="9" t="s">
        <v>2159</v>
      </c>
      <c r="P541" s="14" t="s">
        <v>2160</v>
      </c>
      <c r="U541" s="17"/>
      <c r="V541" s="18"/>
      <c r="W541" s="16"/>
      <c r="X541" s="16"/>
      <c r="Y541" s="16"/>
    </row>
    <row r="542">
      <c r="A542" s="9" t="s">
        <v>243</v>
      </c>
      <c r="B542" s="10" t="s">
        <v>244</v>
      </c>
      <c r="C542" s="10" t="s">
        <v>18</v>
      </c>
      <c r="D542" s="10" t="s">
        <v>19</v>
      </c>
      <c r="E542" s="10" t="s">
        <v>20</v>
      </c>
      <c r="F542" s="10" t="s">
        <v>21</v>
      </c>
      <c r="G542" s="10" t="s">
        <v>22</v>
      </c>
      <c r="H542" s="10" t="s">
        <v>23</v>
      </c>
      <c r="I542" s="11">
        <v>799.0</v>
      </c>
      <c r="J542" s="11">
        <v>2099.0</v>
      </c>
      <c r="K542" s="12">
        <f t="shared" si="1"/>
        <v>0.6193425441</v>
      </c>
      <c r="L542" s="13">
        <f>IFERROR(__xludf.DUMMYFUNCTION("GOOGLEFINANCE(""CURRENCY:INRBRL"") * I542
"),47.046457829619996)</f>
        <v>47.04645783</v>
      </c>
      <c r="M542" s="9">
        <v>4.5</v>
      </c>
      <c r="N542" s="9">
        <v>8188.0</v>
      </c>
      <c r="O542" s="9" t="s">
        <v>245</v>
      </c>
      <c r="P542" s="14" t="s">
        <v>2161</v>
      </c>
      <c r="U542" s="17"/>
      <c r="V542" s="18"/>
      <c r="W542" s="16"/>
      <c r="X542" s="16"/>
      <c r="Y542" s="16"/>
    </row>
    <row r="543">
      <c r="A543" s="9" t="s">
        <v>2162</v>
      </c>
      <c r="B543" s="10" t="s">
        <v>2163</v>
      </c>
      <c r="C543" s="10" t="s">
        <v>1444</v>
      </c>
      <c r="D543" s="10" t="s">
        <v>77</v>
      </c>
      <c r="E543" s="10" t="s">
        <v>1404</v>
      </c>
      <c r="F543" s="10" t="s">
        <v>1413</v>
      </c>
      <c r="G543" s="10" t="s">
        <v>1445</v>
      </c>
      <c r="H543" s="10"/>
      <c r="I543" s="11">
        <v>3799.0</v>
      </c>
      <c r="J543" s="11">
        <v>5299.0</v>
      </c>
      <c r="K543" s="12">
        <f t="shared" si="1"/>
        <v>0.2830722778</v>
      </c>
      <c r="L543" s="13">
        <f>IFERROR(__xludf.DUMMYFUNCTION("GOOGLEFINANCE(""CURRENCY:INRBRL"") * I543
"),223.69148096962)</f>
        <v>223.691481</v>
      </c>
      <c r="M543" s="9">
        <v>4.5</v>
      </c>
      <c r="N543" s="9">
        <v>1641.0</v>
      </c>
      <c r="O543" s="9" t="s">
        <v>2164</v>
      </c>
      <c r="P543" s="14" t="s">
        <v>2165</v>
      </c>
      <c r="U543" s="17"/>
      <c r="V543" s="18"/>
      <c r="W543" s="16"/>
      <c r="X543" s="16"/>
      <c r="Y543" s="16"/>
    </row>
    <row r="544">
      <c r="A544" s="9" t="s">
        <v>2166</v>
      </c>
      <c r="B544" s="10" t="s">
        <v>2167</v>
      </c>
      <c r="C544" s="10" t="s">
        <v>1919</v>
      </c>
      <c r="D544" s="10" t="s">
        <v>77</v>
      </c>
      <c r="E544" s="10" t="s">
        <v>1404</v>
      </c>
      <c r="F544" s="10" t="s">
        <v>1405</v>
      </c>
      <c r="G544" s="10" t="s">
        <v>1920</v>
      </c>
      <c r="H544" s="10" t="s">
        <v>1921</v>
      </c>
      <c r="I544" s="11">
        <v>199.0</v>
      </c>
      <c r="J544" s="11">
        <v>1899.0</v>
      </c>
      <c r="K544" s="12">
        <f t="shared" si="1"/>
        <v>0.8952080042</v>
      </c>
      <c r="L544" s="13">
        <f>IFERROR(__xludf.DUMMYFUNCTION("GOOGLEFINANCE(""CURRENCY:INRBRL"") * I544
"),11.71745320162)</f>
        <v>11.7174532</v>
      </c>
      <c r="M544" s="9">
        <v>4.0</v>
      </c>
      <c r="N544" s="9">
        <v>474.0</v>
      </c>
      <c r="O544" s="9" t="s">
        <v>2168</v>
      </c>
      <c r="P544" s="14" t="s">
        <v>2169</v>
      </c>
      <c r="U544" s="17"/>
      <c r="V544" s="18"/>
      <c r="W544" s="16"/>
      <c r="X544" s="16"/>
      <c r="Y544" s="16"/>
    </row>
    <row r="545">
      <c r="A545" s="9" t="s">
        <v>2170</v>
      </c>
      <c r="B545" s="10" t="s">
        <v>2171</v>
      </c>
      <c r="C545" s="10" t="s">
        <v>1412</v>
      </c>
      <c r="D545" s="10" t="s">
        <v>77</v>
      </c>
      <c r="E545" s="10" t="s">
        <v>1404</v>
      </c>
      <c r="F545" s="10" t="s">
        <v>1413</v>
      </c>
      <c r="G545" s="10" t="s">
        <v>1414</v>
      </c>
      <c r="H545" s="10"/>
      <c r="I545" s="11">
        <v>23999.0</v>
      </c>
      <c r="J545" s="11">
        <v>32999.0</v>
      </c>
      <c r="K545" s="12">
        <f t="shared" si="1"/>
        <v>0.2727355374</v>
      </c>
      <c r="L545" s="13">
        <f>IFERROR(__xludf.DUMMYFUNCTION("GOOGLEFINANCE(""CURRENCY:INRBRL"") * I545
"),1413.10130344562)</f>
        <v>1413.101303</v>
      </c>
      <c r="M545" s="9">
        <v>4.52</v>
      </c>
      <c r="N545" s="9">
        <v>8866.0</v>
      </c>
      <c r="O545" s="9" t="s">
        <v>2172</v>
      </c>
      <c r="P545" s="14" t="s">
        <v>2173</v>
      </c>
      <c r="U545" s="17"/>
      <c r="V545" s="18"/>
      <c r="W545" s="16"/>
      <c r="X545" s="16"/>
      <c r="Y545" s="16"/>
    </row>
    <row r="546">
      <c r="A546" s="9" t="s">
        <v>2174</v>
      </c>
      <c r="B546" s="10" t="s">
        <v>2175</v>
      </c>
      <c r="C546" s="10" t="s">
        <v>1412</v>
      </c>
      <c r="D546" s="10" t="s">
        <v>77</v>
      </c>
      <c r="E546" s="10" t="s">
        <v>1404</v>
      </c>
      <c r="F546" s="10" t="s">
        <v>1413</v>
      </c>
      <c r="G546" s="10" t="s">
        <v>1414</v>
      </c>
      <c r="H546" s="10"/>
      <c r="I546" s="11">
        <v>29990.0</v>
      </c>
      <c r="J546" s="11">
        <v>39990.0</v>
      </c>
      <c r="K546" s="12">
        <f t="shared" si="1"/>
        <v>0.2500625156</v>
      </c>
      <c r="L546" s="13">
        <f>IFERROR(__xludf.DUMMYFUNCTION("GOOGLEFINANCE(""CURRENCY:INRBRL"") * I546
"),1765.8614146562)</f>
        <v>1765.861415</v>
      </c>
      <c r="M546" s="9">
        <v>4.5</v>
      </c>
      <c r="N546" s="9">
        <v>8399.0</v>
      </c>
      <c r="O546" s="9" t="s">
        <v>2176</v>
      </c>
      <c r="P546" s="14" t="s">
        <v>2177</v>
      </c>
      <c r="U546" s="17"/>
      <c r="V546" s="18"/>
      <c r="W546" s="16"/>
      <c r="X546" s="16"/>
      <c r="Y546" s="16"/>
    </row>
    <row r="547">
      <c r="A547" s="9" t="s">
        <v>2178</v>
      </c>
      <c r="B547" s="10" t="s">
        <v>2179</v>
      </c>
      <c r="C547" s="10" t="s">
        <v>1388</v>
      </c>
      <c r="D547" s="10" t="s">
        <v>77</v>
      </c>
      <c r="E547" s="10" t="s">
        <v>1389</v>
      </c>
      <c r="F547" s="10" t="s">
        <v>1390</v>
      </c>
      <c r="G547" s="10"/>
      <c r="H547" s="10"/>
      <c r="I547" s="11">
        <v>281.0</v>
      </c>
      <c r="J547" s="11">
        <v>1999.0</v>
      </c>
      <c r="K547" s="12">
        <f t="shared" si="1"/>
        <v>0.8594297149</v>
      </c>
      <c r="L547" s="13">
        <f>IFERROR(__xludf.DUMMYFUNCTION("GOOGLEFINANCE(""CURRENCY:INRBRL"") * I547
"),16.54575050078)</f>
        <v>16.5457505</v>
      </c>
      <c r="M547" s="9">
        <v>4.51</v>
      </c>
      <c r="N547" s="9">
        <v>87.0</v>
      </c>
      <c r="O547" s="9" t="s">
        <v>2180</v>
      </c>
      <c r="P547" s="14" t="s">
        <v>2181</v>
      </c>
      <c r="U547" s="17"/>
      <c r="V547" s="18"/>
      <c r="W547" s="16"/>
      <c r="X547" s="16"/>
      <c r="Y547" s="16"/>
    </row>
    <row r="548">
      <c r="A548" s="9" t="s">
        <v>2182</v>
      </c>
      <c r="B548" s="10" t="s">
        <v>2183</v>
      </c>
      <c r="C548" s="10" t="s">
        <v>1412</v>
      </c>
      <c r="D548" s="10" t="s">
        <v>77</v>
      </c>
      <c r="E548" s="10" t="s">
        <v>1404</v>
      </c>
      <c r="F548" s="10" t="s">
        <v>1413</v>
      </c>
      <c r="G548" s="10" t="s">
        <v>1414</v>
      </c>
      <c r="H548" s="10"/>
      <c r="I548" s="11">
        <v>7998.0</v>
      </c>
      <c r="J548" s="11">
        <v>11999.0</v>
      </c>
      <c r="K548" s="12">
        <f t="shared" si="1"/>
        <v>0.3334444537</v>
      </c>
      <c r="L548" s="13">
        <f>IFERROR(__xludf.DUMMYFUNCTION("GOOGLEFINANCE(""CURRENCY:INRBRL"") * I548
"),470.93563169123996)</f>
        <v>470.9356317</v>
      </c>
      <c r="M548" s="9">
        <v>4.51</v>
      </c>
      <c r="N548" s="9">
        <v>125.0</v>
      </c>
      <c r="O548" s="9" t="s">
        <v>2184</v>
      </c>
      <c r="P548" s="14" t="s">
        <v>2185</v>
      </c>
      <c r="U548" s="17"/>
      <c r="V548" s="18"/>
      <c r="W548" s="16"/>
      <c r="X548" s="16"/>
      <c r="Y548" s="16"/>
    </row>
    <row r="549">
      <c r="A549" s="9" t="s">
        <v>2186</v>
      </c>
      <c r="B549" s="10" t="s">
        <v>2187</v>
      </c>
      <c r="C549" s="10" t="s">
        <v>1388</v>
      </c>
      <c r="D549" s="10" t="s">
        <v>77</v>
      </c>
      <c r="E549" s="10" t="s">
        <v>1389</v>
      </c>
      <c r="F549" s="10" t="s">
        <v>1390</v>
      </c>
      <c r="G549" s="10"/>
      <c r="H549" s="10"/>
      <c r="I549" s="11">
        <v>249.0</v>
      </c>
      <c r="J549" s="11">
        <v>999.0</v>
      </c>
      <c r="K549" s="12">
        <f t="shared" si="1"/>
        <v>0.7507507508</v>
      </c>
      <c r="L549" s="13">
        <f>IFERROR(__xludf.DUMMYFUNCTION("GOOGLEFINANCE(""CURRENCY:INRBRL"") * I549
"),14.66153692062)</f>
        <v>14.66153692</v>
      </c>
      <c r="M549" s="9">
        <v>4.51</v>
      </c>
      <c r="N549" s="9">
        <v>38.0</v>
      </c>
      <c r="O549" s="9" t="s">
        <v>2188</v>
      </c>
      <c r="P549" s="14" t="s">
        <v>2189</v>
      </c>
      <c r="U549" s="17"/>
      <c r="V549" s="18"/>
      <c r="W549" s="16"/>
      <c r="X549" s="16"/>
      <c r="Y549" s="16"/>
    </row>
    <row r="550">
      <c r="A550" s="9" t="s">
        <v>2190</v>
      </c>
      <c r="B550" s="10" t="s">
        <v>2191</v>
      </c>
      <c r="C550" s="10" t="s">
        <v>1823</v>
      </c>
      <c r="D550" s="10" t="s">
        <v>77</v>
      </c>
      <c r="E550" s="10" t="s">
        <v>1404</v>
      </c>
      <c r="F550" s="10" t="s">
        <v>1405</v>
      </c>
      <c r="G550" s="10" t="s">
        <v>1824</v>
      </c>
      <c r="H550" s="10" t="s">
        <v>1825</v>
      </c>
      <c r="I550" s="11">
        <v>299.0</v>
      </c>
      <c r="J550" s="11">
        <v>599.0</v>
      </c>
      <c r="K550" s="12">
        <f t="shared" si="1"/>
        <v>0.5008347245</v>
      </c>
      <c r="L550" s="13">
        <f>IFERROR(__xludf.DUMMYFUNCTION("GOOGLEFINANCE(""CURRENCY:INRBRL"") * I550
"),17.60562063962)</f>
        <v>17.60562064</v>
      </c>
      <c r="M550" s="9">
        <v>4.5</v>
      </c>
      <c r="N550" s="9">
        <v>4674.0</v>
      </c>
      <c r="O550" s="9" t="s">
        <v>2192</v>
      </c>
      <c r="P550" s="14" t="s">
        <v>2193</v>
      </c>
      <c r="U550" s="17"/>
      <c r="V550" s="18"/>
      <c r="W550" s="16"/>
      <c r="X550" s="16"/>
      <c r="Y550" s="16"/>
    </row>
    <row r="551">
      <c r="A551" s="9" t="s">
        <v>2194</v>
      </c>
      <c r="B551" s="10" t="s">
        <v>2195</v>
      </c>
      <c r="C551" s="10" t="s">
        <v>1388</v>
      </c>
      <c r="D551" s="10" t="s">
        <v>77</v>
      </c>
      <c r="E551" s="10" t="s">
        <v>1389</v>
      </c>
      <c r="F551" s="10" t="s">
        <v>1390</v>
      </c>
      <c r="G551" s="10"/>
      <c r="H551" s="10"/>
      <c r="I551" s="11">
        <v>499.0</v>
      </c>
      <c r="J551" s="11">
        <v>1899.0</v>
      </c>
      <c r="K551" s="12">
        <f t="shared" si="1"/>
        <v>0.7372301211</v>
      </c>
      <c r="L551" s="13">
        <f>IFERROR(__xludf.DUMMYFUNCTION("GOOGLEFINANCE(""CURRENCY:INRBRL"") * I551
"),29.38195551562)</f>
        <v>29.38195552</v>
      </c>
      <c r="M551" s="9">
        <v>4.49</v>
      </c>
      <c r="N551" s="9">
        <v>412.0</v>
      </c>
      <c r="O551" s="9" t="s">
        <v>2196</v>
      </c>
      <c r="P551" s="14" t="s">
        <v>2197</v>
      </c>
      <c r="U551" s="17"/>
      <c r="V551" s="18"/>
      <c r="W551" s="16"/>
      <c r="X551" s="16"/>
      <c r="Y551" s="16"/>
    </row>
    <row r="552">
      <c r="A552" s="9" t="s">
        <v>2198</v>
      </c>
      <c r="B552" s="10" t="s">
        <v>2199</v>
      </c>
      <c r="C552" s="10" t="s">
        <v>1388</v>
      </c>
      <c r="D552" s="10" t="s">
        <v>77</v>
      </c>
      <c r="E552" s="10" t="s">
        <v>1389</v>
      </c>
      <c r="F552" s="10" t="s">
        <v>1390</v>
      </c>
      <c r="G552" s="10"/>
      <c r="H552" s="10"/>
      <c r="I552" s="11">
        <v>899.0</v>
      </c>
      <c r="J552" s="11">
        <v>3499.0</v>
      </c>
      <c r="K552" s="12">
        <f t="shared" si="1"/>
        <v>0.7430694484</v>
      </c>
      <c r="L552" s="13">
        <f>IFERROR(__xludf.DUMMYFUNCTION("GOOGLEFINANCE(""CURRENCY:INRBRL"") * I552
"),52.93462526762)</f>
        <v>52.93462527</v>
      </c>
      <c r="M552" s="9">
        <v>3.0</v>
      </c>
      <c r="N552" s="9">
        <v>681.0</v>
      </c>
      <c r="O552" s="9" t="s">
        <v>2200</v>
      </c>
      <c r="P552" s="14" t="s">
        <v>2201</v>
      </c>
      <c r="U552" s="17"/>
      <c r="V552" s="18"/>
      <c r="W552" s="16"/>
      <c r="X552" s="16"/>
      <c r="Y552" s="16"/>
    </row>
    <row r="553">
      <c r="A553" s="9" t="s">
        <v>2202</v>
      </c>
      <c r="B553" s="10" t="s">
        <v>2203</v>
      </c>
      <c r="C553" s="10" t="s">
        <v>1403</v>
      </c>
      <c r="D553" s="10" t="s">
        <v>77</v>
      </c>
      <c r="E553" s="10" t="s">
        <v>1404</v>
      </c>
      <c r="F553" s="10" t="s">
        <v>1405</v>
      </c>
      <c r="G553" s="10" t="s">
        <v>1406</v>
      </c>
      <c r="H553" s="10" t="s">
        <v>1407</v>
      </c>
      <c r="I553" s="11">
        <v>1599.0</v>
      </c>
      <c r="J553" s="11">
        <v>3499.0</v>
      </c>
      <c r="K553" s="12">
        <f t="shared" si="1"/>
        <v>0.5430122892</v>
      </c>
      <c r="L553" s="13">
        <f>IFERROR(__xludf.DUMMYFUNCTION("GOOGLEFINANCE(""CURRENCY:INRBRL"") * I553
"),94.15179733362)</f>
        <v>94.15179733</v>
      </c>
      <c r="M553" s="9">
        <v>4.0</v>
      </c>
      <c r="N553" s="9">
        <v>36384.0</v>
      </c>
      <c r="O553" s="9" t="s">
        <v>2204</v>
      </c>
      <c r="P553" s="14" t="s">
        <v>2205</v>
      </c>
      <c r="U553" s="17"/>
      <c r="V553" s="18"/>
      <c r="W553" s="16"/>
      <c r="X553" s="16"/>
      <c r="Y553" s="16"/>
    </row>
    <row r="554">
      <c r="A554" s="9" t="s">
        <v>2206</v>
      </c>
      <c r="B554" s="10" t="s">
        <v>2207</v>
      </c>
      <c r="C554" s="10" t="s">
        <v>2208</v>
      </c>
      <c r="D554" s="10" t="s">
        <v>77</v>
      </c>
      <c r="E554" s="10" t="s">
        <v>1455</v>
      </c>
      <c r="F554" s="10" t="s">
        <v>916</v>
      </c>
      <c r="G554" s="10"/>
      <c r="H554" s="10"/>
      <c r="I554" s="11">
        <v>120.0</v>
      </c>
      <c r="J554" s="11">
        <v>999.0</v>
      </c>
      <c r="K554" s="12">
        <f t="shared" si="1"/>
        <v>0.8798798799</v>
      </c>
      <c r="L554" s="13">
        <f>IFERROR(__xludf.DUMMYFUNCTION("GOOGLEFINANCE(""CURRENCY:INRBRL"") * I554
"),7.0658009256)</f>
        <v>7.065800926</v>
      </c>
      <c r="M554" s="9">
        <v>4.52</v>
      </c>
      <c r="N554" s="9">
        <v>6491.0</v>
      </c>
      <c r="O554" s="9" t="s">
        <v>2209</v>
      </c>
      <c r="P554" s="14" t="s">
        <v>2210</v>
      </c>
      <c r="U554" s="17"/>
      <c r="V554" s="18"/>
      <c r="W554" s="16"/>
      <c r="X554" s="16"/>
      <c r="Y554" s="16"/>
    </row>
    <row r="555">
      <c r="A555" s="9" t="s">
        <v>2211</v>
      </c>
      <c r="B555" s="10" t="s">
        <v>2212</v>
      </c>
      <c r="C555" s="10" t="s">
        <v>1388</v>
      </c>
      <c r="D555" s="10" t="s">
        <v>77</v>
      </c>
      <c r="E555" s="10" t="s">
        <v>1389</v>
      </c>
      <c r="F555" s="10" t="s">
        <v>1390</v>
      </c>
      <c r="G555" s="10"/>
      <c r="H555" s="10"/>
      <c r="I555" s="11">
        <v>3999.0</v>
      </c>
      <c r="J555" s="11">
        <v>6999.0</v>
      </c>
      <c r="K555" s="12">
        <f t="shared" si="1"/>
        <v>0.4286326618</v>
      </c>
      <c r="L555" s="13">
        <f>IFERROR(__xludf.DUMMYFUNCTION("GOOGLEFINANCE(""CURRENCY:INRBRL"") * I555
"),235.46781584561998)</f>
        <v>235.4678158</v>
      </c>
      <c r="M555" s="9">
        <v>4.49</v>
      </c>
      <c r="N555" s="9">
        <v>10229.0</v>
      </c>
      <c r="O555" s="9" t="s">
        <v>2213</v>
      </c>
      <c r="P555" s="14" t="s">
        <v>2214</v>
      </c>
      <c r="U555" s="17"/>
      <c r="V555" s="18"/>
      <c r="W555" s="16"/>
      <c r="X555" s="16"/>
      <c r="Y555" s="16"/>
    </row>
    <row r="556">
      <c r="A556" s="9" t="s">
        <v>2215</v>
      </c>
      <c r="B556" s="10" t="s">
        <v>2015</v>
      </c>
      <c r="C556" s="10" t="s">
        <v>1412</v>
      </c>
      <c r="D556" s="10" t="s">
        <v>77</v>
      </c>
      <c r="E556" s="10" t="s">
        <v>1404</v>
      </c>
      <c r="F556" s="10" t="s">
        <v>1413</v>
      </c>
      <c r="G556" s="10" t="s">
        <v>1414</v>
      </c>
      <c r="H556" s="10"/>
      <c r="I556" s="11">
        <v>12999.0</v>
      </c>
      <c r="J556" s="11">
        <v>18999.0</v>
      </c>
      <c r="K556" s="12">
        <f t="shared" si="1"/>
        <v>0.3158060951</v>
      </c>
      <c r="L556" s="13">
        <f>IFERROR(__xludf.DUMMYFUNCTION("GOOGLEFINANCE(""CURRENCY:INRBRL"") * I556
"),765.40288526562)</f>
        <v>765.4028853</v>
      </c>
      <c r="M556" s="9">
        <v>4.49</v>
      </c>
      <c r="N556" s="9">
        <v>50772.0</v>
      </c>
      <c r="O556" s="9" t="s">
        <v>2016</v>
      </c>
      <c r="P556" s="14" t="s">
        <v>2216</v>
      </c>
      <c r="U556" s="17"/>
      <c r="V556" s="18"/>
      <c r="W556" s="16"/>
      <c r="X556" s="16"/>
      <c r="Y556" s="16"/>
    </row>
    <row r="557">
      <c r="A557" s="9" t="s">
        <v>2217</v>
      </c>
      <c r="B557" s="10" t="s">
        <v>2218</v>
      </c>
      <c r="C557" s="10" t="s">
        <v>1919</v>
      </c>
      <c r="D557" s="10" t="s">
        <v>77</v>
      </c>
      <c r="E557" s="10" t="s">
        <v>1404</v>
      </c>
      <c r="F557" s="10" t="s">
        <v>1405</v>
      </c>
      <c r="G557" s="10" t="s">
        <v>1920</v>
      </c>
      <c r="H557" s="10" t="s">
        <v>1921</v>
      </c>
      <c r="I557" s="11">
        <v>1599.0</v>
      </c>
      <c r="J557" s="11">
        <v>2599.0</v>
      </c>
      <c r="K557" s="12">
        <f t="shared" si="1"/>
        <v>0.3847633705</v>
      </c>
      <c r="L557" s="13">
        <f>IFERROR(__xludf.DUMMYFUNCTION("GOOGLEFINANCE(""CURRENCY:INRBRL"") * I557
"),94.15179733362)</f>
        <v>94.15179733</v>
      </c>
      <c r="M557" s="9">
        <v>4.5</v>
      </c>
      <c r="N557" s="9">
        <v>1801.0</v>
      </c>
      <c r="O557" s="9" t="s">
        <v>2219</v>
      </c>
      <c r="P557" s="14" t="s">
        <v>2220</v>
      </c>
      <c r="U557" s="17"/>
      <c r="V557" s="18"/>
      <c r="W557" s="16"/>
      <c r="X557" s="16"/>
      <c r="Y557" s="16"/>
    </row>
    <row r="558">
      <c r="A558" s="9" t="s">
        <v>2221</v>
      </c>
      <c r="B558" s="10" t="s">
        <v>2222</v>
      </c>
      <c r="C558" s="10" t="s">
        <v>1505</v>
      </c>
      <c r="D558" s="10" t="s">
        <v>77</v>
      </c>
      <c r="E558" s="10" t="s">
        <v>1404</v>
      </c>
      <c r="F558" s="10" t="s">
        <v>1405</v>
      </c>
      <c r="G558" s="10" t="s">
        <v>1406</v>
      </c>
      <c r="H558" s="10" t="s">
        <v>1506</v>
      </c>
      <c r="I558" s="11">
        <v>699.0</v>
      </c>
      <c r="J558" s="11">
        <v>1199.0</v>
      </c>
      <c r="K558" s="12">
        <f t="shared" si="1"/>
        <v>0.4170141785</v>
      </c>
      <c r="L558" s="13">
        <f>IFERROR(__xludf.DUMMYFUNCTION("GOOGLEFINANCE(""CURRENCY:INRBRL"") * I558
"),41.15829039162)</f>
        <v>41.15829039</v>
      </c>
      <c r="M558" s="9">
        <v>4.0</v>
      </c>
      <c r="N558" s="9">
        <v>14404.0</v>
      </c>
      <c r="O558" s="9" t="s">
        <v>2223</v>
      </c>
      <c r="P558" s="14" t="s">
        <v>2224</v>
      </c>
      <c r="U558" s="17"/>
      <c r="V558" s="18"/>
      <c r="W558" s="16"/>
      <c r="X558" s="16"/>
      <c r="Y558" s="16"/>
    </row>
    <row r="559">
      <c r="A559" s="9" t="s">
        <v>2225</v>
      </c>
      <c r="B559" s="10" t="s">
        <v>2226</v>
      </c>
      <c r="C559" s="10" t="s">
        <v>2227</v>
      </c>
      <c r="D559" s="10" t="s">
        <v>77</v>
      </c>
      <c r="E559" s="10" t="s">
        <v>1404</v>
      </c>
      <c r="F559" s="10" t="s">
        <v>1405</v>
      </c>
      <c r="G559" s="10" t="s">
        <v>1747</v>
      </c>
      <c r="H559" s="10" t="s">
        <v>2228</v>
      </c>
      <c r="I559" s="11">
        <v>99.0</v>
      </c>
      <c r="J559" s="11">
        <v>999.0</v>
      </c>
      <c r="K559" s="12">
        <f t="shared" si="1"/>
        <v>0.9009009009</v>
      </c>
      <c r="L559" s="13">
        <f>IFERROR(__xludf.DUMMYFUNCTION("GOOGLEFINANCE(""CURRENCY:INRBRL"") * I559
"),5.82928576362)</f>
        <v>5.829285764</v>
      </c>
      <c r="M559" s="9">
        <v>4.5</v>
      </c>
      <c r="N559" s="9">
        <v>305.0</v>
      </c>
      <c r="O559" s="9" t="s">
        <v>2229</v>
      </c>
      <c r="P559" s="14" t="s">
        <v>2230</v>
      </c>
      <c r="U559" s="17"/>
      <c r="V559" s="18"/>
      <c r="W559" s="16"/>
      <c r="X559" s="16"/>
      <c r="Y559" s="16"/>
    </row>
    <row r="560">
      <c r="A560" s="9" t="s">
        <v>2231</v>
      </c>
      <c r="B560" s="10" t="s">
        <v>2232</v>
      </c>
      <c r="C560" s="10" t="s">
        <v>1412</v>
      </c>
      <c r="D560" s="10" t="s">
        <v>77</v>
      </c>
      <c r="E560" s="10" t="s">
        <v>1404</v>
      </c>
      <c r="F560" s="10" t="s">
        <v>1413</v>
      </c>
      <c r="G560" s="10" t="s">
        <v>1414</v>
      </c>
      <c r="H560" s="10"/>
      <c r="I560" s="11">
        <v>7915.0</v>
      </c>
      <c r="J560" s="11">
        <v>9999.0</v>
      </c>
      <c r="K560" s="12">
        <f t="shared" si="1"/>
        <v>0.2084208421</v>
      </c>
      <c r="L560" s="13">
        <f>IFERROR(__xludf.DUMMYFUNCTION("GOOGLEFINANCE(""CURRENCY:INRBRL"") * I560
"),466.0484527177)</f>
        <v>466.0484527</v>
      </c>
      <c r="M560" s="9">
        <v>4.5</v>
      </c>
      <c r="N560" s="9">
        <v>1376.0</v>
      </c>
      <c r="O560" s="9" t="s">
        <v>2233</v>
      </c>
      <c r="P560" s="14" t="s">
        <v>2234</v>
      </c>
      <c r="U560" s="17"/>
      <c r="V560" s="18"/>
      <c r="W560" s="16"/>
      <c r="X560" s="16"/>
      <c r="Y560" s="16"/>
    </row>
    <row r="561">
      <c r="A561" s="9" t="s">
        <v>2235</v>
      </c>
      <c r="B561" s="10" t="s">
        <v>2236</v>
      </c>
      <c r="C561" s="10" t="s">
        <v>1388</v>
      </c>
      <c r="D561" s="10" t="s">
        <v>77</v>
      </c>
      <c r="E561" s="10" t="s">
        <v>1389</v>
      </c>
      <c r="F561" s="10" t="s">
        <v>1390</v>
      </c>
      <c r="G561" s="10"/>
      <c r="H561" s="10"/>
      <c r="I561" s="11">
        <v>1499.0</v>
      </c>
      <c r="J561" s="11">
        <v>7999.0</v>
      </c>
      <c r="K561" s="12">
        <f t="shared" si="1"/>
        <v>0.8126015752</v>
      </c>
      <c r="L561" s="13">
        <f>IFERROR(__xludf.DUMMYFUNCTION("GOOGLEFINANCE(""CURRENCY:INRBRL"") * I561
"),88.26362989562)</f>
        <v>88.2636299</v>
      </c>
      <c r="M561" s="9">
        <v>4.5</v>
      </c>
      <c r="N561" s="9">
        <v>22638.0</v>
      </c>
      <c r="O561" s="9" t="s">
        <v>2237</v>
      </c>
      <c r="P561" s="14" t="s">
        <v>2238</v>
      </c>
      <c r="U561" s="17"/>
      <c r="V561" s="18"/>
      <c r="W561" s="16"/>
      <c r="X561" s="16"/>
      <c r="Y561" s="16"/>
    </row>
    <row r="562">
      <c r="A562" s="9" t="s">
        <v>2239</v>
      </c>
      <c r="B562" s="10" t="s">
        <v>2240</v>
      </c>
      <c r="C562" s="10" t="s">
        <v>1444</v>
      </c>
      <c r="D562" s="10" t="s">
        <v>77</v>
      </c>
      <c r="E562" s="10" t="s">
        <v>1404</v>
      </c>
      <c r="F562" s="10" t="s">
        <v>1413</v>
      </c>
      <c r="G562" s="10" t="s">
        <v>1445</v>
      </c>
      <c r="H562" s="10"/>
      <c r="I562" s="11">
        <v>1055.0</v>
      </c>
      <c r="J562" s="11">
        <v>1249.0</v>
      </c>
      <c r="K562" s="12">
        <f t="shared" si="1"/>
        <v>0.1553242594</v>
      </c>
      <c r="L562" s="13">
        <f>IFERROR(__xludf.DUMMYFUNCTION("GOOGLEFINANCE(""CURRENCY:INRBRL"") * I562
"),62.120166470899996)</f>
        <v>62.12016647</v>
      </c>
      <c r="M562" s="9">
        <v>4.51</v>
      </c>
      <c r="N562" s="9">
        <v>2352.0</v>
      </c>
      <c r="O562" s="9" t="s">
        <v>2241</v>
      </c>
      <c r="P562" s="14" t="s">
        <v>2242</v>
      </c>
      <c r="U562" s="17"/>
      <c r="V562" s="18"/>
      <c r="W562" s="16"/>
      <c r="X562" s="16"/>
      <c r="Y562" s="16"/>
    </row>
    <row r="563">
      <c r="A563" s="9" t="s">
        <v>2243</v>
      </c>
      <c r="B563" s="10" t="s">
        <v>2244</v>
      </c>
      <c r="C563" s="10" t="s">
        <v>1823</v>
      </c>
      <c r="D563" s="10" t="s">
        <v>77</v>
      </c>
      <c r="E563" s="10" t="s">
        <v>1404</v>
      </c>
      <c r="F563" s="10" t="s">
        <v>1405</v>
      </c>
      <c r="G563" s="10" t="s">
        <v>1824</v>
      </c>
      <c r="H563" s="10" t="s">
        <v>1825</v>
      </c>
      <c r="I563" s="11">
        <v>150.0</v>
      </c>
      <c r="J563" s="11">
        <v>599.0</v>
      </c>
      <c r="K563" s="12">
        <f t="shared" si="1"/>
        <v>0.7495826377</v>
      </c>
      <c r="L563" s="13">
        <f>IFERROR(__xludf.DUMMYFUNCTION("GOOGLEFINANCE(""CURRENCY:INRBRL"") * I563
"),8.832251157)</f>
        <v>8.832251157</v>
      </c>
      <c r="M563" s="9">
        <v>4.5</v>
      </c>
      <c r="N563" s="9">
        <v>714.0</v>
      </c>
      <c r="O563" s="9" t="s">
        <v>2245</v>
      </c>
      <c r="P563" s="14" t="s">
        <v>2246</v>
      </c>
      <c r="U563" s="17"/>
      <c r="V563" s="18"/>
      <c r="W563" s="16"/>
      <c r="X563" s="16"/>
      <c r="Y563" s="16"/>
    </row>
    <row r="564">
      <c r="A564" s="9" t="s">
        <v>316</v>
      </c>
      <c r="B564" s="10" t="s">
        <v>317</v>
      </c>
      <c r="C564" s="10" t="s">
        <v>18</v>
      </c>
      <c r="D564" s="10" t="s">
        <v>19</v>
      </c>
      <c r="E564" s="10" t="s">
        <v>20</v>
      </c>
      <c r="F564" s="10" t="s">
        <v>21</v>
      </c>
      <c r="G564" s="10" t="s">
        <v>22</v>
      </c>
      <c r="H564" s="10" t="s">
        <v>23</v>
      </c>
      <c r="I564" s="11">
        <v>219.0</v>
      </c>
      <c r="J564" s="11">
        <v>700.0</v>
      </c>
      <c r="K564" s="12">
        <f t="shared" si="1"/>
        <v>0.6871428571</v>
      </c>
      <c r="L564" s="13">
        <f>IFERROR(__xludf.DUMMYFUNCTION("GOOGLEFINANCE(""CURRENCY:INRBRL"") * I564
"),12.89508668922)</f>
        <v>12.89508669</v>
      </c>
      <c r="M564" s="9">
        <v>4.5</v>
      </c>
      <c r="N564" s="9">
        <v>20052.0</v>
      </c>
      <c r="O564" s="9" t="s">
        <v>318</v>
      </c>
      <c r="P564" s="14" t="s">
        <v>2247</v>
      </c>
      <c r="U564" s="17"/>
      <c r="V564" s="18"/>
      <c r="W564" s="16"/>
      <c r="X564" s="16"/>
      <c r="Y564" s="16"/>
    </row>
    <row r="565">
      <c r="A565" s="9" t="s">
        <v>2248</v>
      </c>
      <c r="B565" s="10" t="s">
        <v>2249</v>
      </c>
      <c r="C565" s="10" t="s">
        <v>1919</v>
      </c>
      <c r="D565" s="10" t="s">
        <v>77</v>
      </c>
      <c r="E565" s="10" t="s">
        <v>1404</v>
      </c>
      <c r="F565" s="10" t="s">
        <v>1405</v>
      </c>
      <c r="G565" s="10" t="s">
        <v>1920</v>
      </c>
      <c r="H565" s="10" t="s">
        <v>1921</v>
      </c>
      <c r="I565" s="11">
        <v>474.0</v>
      </c>
      <c r="J565" s="11">
        <v>1799.0</v>
      </c>
      <c r="K565" s="12">
        <f t="shared" si="1"/>
        <v>0.736520289</v>
      </c>
      <c r="L565" s="13">
        <f>IFERROR(__xludf.DUMMYFUNCTION("GOOGLEFINANCE(""CURRENCY:INRBRL"") * I565
"),27.90991365612)</f>
        <v>27.90991366</v>
      </c>
      <c r="M565" s="9">
        <v>4.5</v>
      </c>
      <c r="N565" s="9">
        <v>1454.0</v>
      </c>
      <c r="O565" s="9" t="s">
        <v>2250</v>
      </c>
      <c r="P565" s="14" t="s">
        <v>2251</v>
      </c>
      <c r="U565" s="17"/>
      <c r="V565" s="18"/>
      <c r="W565" s="16"/>
      <c r="X565" s="16"/>
      <c r="Y565" s="16"/>
    </row>
    <row r="566">
      <c r="A566" s="9" t="s">
        <v>332</v>
      </c>
      <c r="B566" s="10" t="s">
        <v>333</v>
      </c>
      <c r="C566" s="10" t="s">
        <v>18</v>
      </c>
      <c r="D566" s="10" t="s">
        <v>19</v>
      </c>
      <c r="E566" s="10" t="s">
        <v>20</v>
      </c>
      <c r="F566" s="10" t="s">
        <v>21</v>
      </c>
      <c r="G566" s="10" t="s">
        <v>22</v>
      </c>
      <c r="H566" s="10" t="s">
        <v>23</v>
      </c>
      <c r="I566" s="11">
        <v>115.0</v>
      </c>
      <c r="J566" s="11">
        <v>499.0</v>
      </c>
      <c r="K566" s="12">
        <f t="shared" si="1"/>
        <v>0.7695390782</v>
      </c>
      <c r="L566" s="13">
        <f>IFERROR(__xludf.DUMMYFUNCTION("GOOGLEFINANCE(""CURRENCY:INRBRL"") * I566
"),6.7713925537)</f>
        <v>6.771392554</v>
      </c>
      <c r="M566" s="9">
        <v>4.0</v>
      </c>
      <c r="N566" s="9">
        <v>7732.0</v>
      </c>
      <c r="O566" s="9" t="s">
        <v>334</v>
      </c>
      <c r="P566" s="14" t="s">
        <v>2252</v>
      </c>
      <c r="U566" s="17"/>
      <c r="V566" s="18"/>
      <c r="W566" s="16"/>
      <c r="X566" s="16"/>
      <c r="Y566" s="16"/>
    </row>
    <row r="567">
      <c r="A567" s="9" t="s">
        <v>2253</v>
      </c>
      <c r="B567" s="10" t="s">
        <v>2254</v>
      </c>
      <c r="C567" s="10" t="s">
        <v>1505</v>
      </c>
      <c r="D567" s="10" t="s">
        <v>77</v>
      </c>
      <c r="E567" s="10" t="s">
        <v>1404</v>
      </c>
      <c r="F567" s="10" t="s">
        <v>1405</v>
      </c>
      <c r="G567" s="10" t="s">
        <v>1406</v>
      </c>
      <c r="H567" s="10" t="s">
        <v>1506</v>
      </c>
      <c r="I567" s="11">
        <v>239.0</v>
      </c>
      <c r="J567" s="11">
        <v>599.0</v>
      </c>
      <c r="K567" s="12">
        <f t="shared" si="1"/>
        <v>0.6010016694</v>
      </c>
      <c r="L567" s="13">
        <f>IFERROR(__xludf.DUMMYFUNCTION("GOOGLEFINANCE(""CURRENCY:INRBRL"") * I567
"),14.072720176819999)</f>
        <v>14.07272018</v>
      </c>
      <c r="M567" s="9">
        <v>4.52</v>
      </c>
      <c r="N567" s="9">
        <v>2147.0</v>
      </c>
      <c r="O567" s="9" t="s">
        <v>2255</v>
      </c>
      <c r="P567" s="14" t="s">
        <v>2256</v>
      </c>
      <c r="U567" s="17"/>
      <c r="V567" s="18"/>
      <c r="W567" s="16"/>
      <c r="X567" s="16"/>
      <c r="Y567" s="16"/>
    </row>
    <row r="568">
      <c r="A568" s="9" t="s">
        <v>2257</v>
      </c>
      <c r="B568" s="10" t="s">
        <v>2258</v>
      </c>
      <c r="C568" s="10" t="s">
        <v>1412</v>
      </c>
      <c r="D568" s="10" t="s">
        <v>77</v>
      </c>
      <c r="E568" s="10" t="s">
        <v>1404</v>
      </c>
      <c r="F568" s="10" t="s">
        <v>1413</v>
      </c>
      <c r="G568" s="10" t="s">
        <v>1414</v>
      </c>
      <c r="H568" s="10"/>
      <c r="I568" s="11">
        <v>7499.0</v>
      </c>
      <c r="J568" s="11">
        <v>9499.0</v>
      </c>
      <c r="K568" s="12">
        <f t="shared" si="1"/>
        <v>0.2105484788</v>
      </c>
      <c r="L568" s="13">
        <f>IFERROR(__xludf.DUMMYFUNCTION("GOOGLEFINANCE(""CURRENCY:INRBRL"") * I568
"),441.55367617562)</f>
        <v>441.5536762</v>
      </c>
      <c r="M568" s="9">
        <v>4.49</v>
      </c>
      <c r="N568" s="9">
        <v>313832.0</v>
      </c>
      <c r="O568" s="9" t="s">
        <v>2259</v>
      </c>
      <c r="P568" s="14" t="s">
        <v>2260</v>
      </c>
      <c r="U568" s="17"/>
      <c r="V568" s="18"/>
      <c r="W568" s="16"/>
      <c r="X568" s="16"/>
      <c r="Y568" s="16"/>
    </row>
    <row r="569">
      <c r="A569" s="9" t="s">
        <v>2261</v>
      </c>
      <c r="B569" s="10" t="s">
        <v>2262</v>
      </c>
      <c r="C569" s="10" t="s">
        <v>1388</v>
      </c>
      <c r="D569" s="10" t="s">
        <v>77</v>
      </c>
      <c r="E569" s="10" t="s">
        <v>1389</v>
      </c>
      <c r="F569" s="10" t="s">
        <v>1390</v>
      </c>
      <c r="G569" s="10"/>
      <c r="H569" s="10"/>
      <c r="I569" s="11">
        <v>265.0</v>
      </c>
      <c r="J569" s="11">
        <v>999.0</v>
      </c>
      <c r="K569" s="12">
        <f t="shared" si="1"/>
        <v>0.7347347347</v>
      </c>
      <c r="L569" s="13">
        <f>IFERROR(__xludf.DUMMYFUNCTION("GOOGLEFINANCE(""CURRENCY:INRBRL"") * I569
"),15.6036437107)</f>
        <v>15.60364371</v>
      </c>
      <c r="M569" s="9">
        <v>4.51</v>
      </c>
      <c r="N569" s="9">
        <v>465.0</v>
      </c>
      <c r="O569" s="9" t="s">
        <v>2263</v>
      </c>
      <c r="P569" s="14" t="s">
        <v>2264</v>
      </c>
      <c r="U569" s="17"/>
      <c r="V569" s="18"/>
      <c r="W569" s="16"/>
      <c r="X569" s="16"/>
      <c r="Y569" s="16"/>
    </row>
    <row r="570">
      <c r="A570" s="9" t="s">
        <v>2265</v>
      </c>
      <c r="B570" s="10" t="s">
        <v>2266</v>
      </c>
      <c r="C570" s="10" t="s">
        <v>1412</v>
      </c>
      <c r="D570" s="10" t="s">
        <v>77</v>
      </c>
      <c r="E570" s="10" t="s">
        <v>1404</v>
      </c>
      <c r="F570" s="10" t="s">
        <v>1413</v>
      </c>
      <c r="G570" s="10" t="s">
        <v>1414</v>
      </c>
      <c r="H570" s="10"/>
      <c r="I570" s="11">
        <v>37990.0</v>
      </c>
      <c r="J570" s="11">
        <v>74999.0</v>
      </c>
      <c r="K570" s="12">
        <f t="shared" si="1"/>
        <v>0.4934599128</v>
      </c>
      <c r="L570" s="13">
        <f>IFERROR(__xludf.DUMMYFUNCTION("GOOGLEFINANCE(""CURRENCY:INRBRL"") * I570
"),2236.9148096962)</f>
        <v>2236.91481</v>
      </c>
      <c r="M570" s="9">
        <v>4.5</v>
      </c>
      <c r="N570" s="9">
        <v>2779.0</v>
      </c>
      <c r="O570" s="9" t="s">
        <v>2267</v>
      </c>
      <c r="P570" s="14" t="s">
        <v>2268</v>
      </c>
      <c r="U570" s="17"/>
      <c r="V570" s="18"/>
      <c r="W570" s="16"/>
      <c r="X570" s="16"/>
      <c r="Y570" s="16"/>
    </row>
    <row r="571">
      <c r="A571" s="9" t="s">
        <v>340</v>
      </c>
      <c r="B571" s="10" t="s">
        <v>341</v>
      </c>
      <c r="C571" s="10" t="s">
        <v>18</v>
      </c>
      <c r="D571" s="10" t="s">
        <v>19</v>
      </c>
      <c r="E571" s="10" t="s">
        <v>20</v>
      </c>
      <c r="F571" s="10" t="s">
        <v>21</v>
      </c>
      <c r="G571" s="10" t="s">
        <v>22</v>
      </c>
      <c r="H571" s="10" t="s">
        <v>23</v>
      </c>
      <c r="I571" s="11">
        <v>199.0</v>
      </c>
      <c r="J571" s="11">
        <v>499.0</v>
      </c>
      <c r="K571" s="12">
        <f t="shared" si="1"/>
        <v>0.6012024048</v>
      </c>
      <c r="L571" s="13">
        <f>IFERROR(__xludf.DUMMYFUNCTION("GOOGLEFINANCE(""CURRENCY:INRBRL"") * I571
"),11.71745320162)</f>
        <v>11.7174532</v>
      </c>
      <c r="M571" s="9">
        <v>4.49</v>
      </c>
      <c r="N571" s="9">
        <v>602.0</v>
      </c>
      <c r="O571" s="9" t="s">
        <v>342</v>
      </c>
      <c r="P571" s="14" t="s">
        <v>2269</v>
      </c>
      <c r="U571" s="17"/>
      <c r="V571" s="18"/>
      <c r="W571" s="16"/>
      <c r="X571" s="16"/>
      <c r="Y571" s="16"/>
    </row>
    <row r="572">
      <c r="A572" s="9" t="s">
        <v>344</v>
      </c>
      <c r="B572" s="10" t="s">
        <v>345</v>
      </c>
      <c r="C572" s="10" t="s">
        <v>18</v>
      </c>
      <c r="D572" s="10" t="s">
        <v>19</v>
      </c>
      <c r="E572" s="10" t="s">
        <v>20</v>
      </c>
      <c r="F572" s="10" t="s">
        <v>21</v>
      </c>
      <c r="G572" s="10" t="s">
        <v>22</v>
      </c>
      <c r="H572" s="10" t="s">
        <v>23</v>
      </c>
      <c r="I572" s="11">
        <v>179.0</v>
      </c>
      <c r="J572" s="11">
        <v>399.0</v>
      </c>
      <c r="K572" s="12">
        <f t="shared" si="1"/>
        <v>0.5513784461</v>
      </c>
      <c r="L572" s="13">
        <f>IFERROR(__xludf.DUMMYFUNCTION("GOOGLEFINANCE(""CURRENCY:INRBRL"") * I572
"),10.53981971402)</f>
        <v>10.53981971</v>
      </c>
      <c r="M572" s="9">
        <v>4.0</v>
      </c>
      <c r="N572" s="9">
        <v>1423.0</v>
      </c>
      <c r="O572" s="9" t="s">
        <v>346</v>
      </c>
      <c r="P572" s="14" t="s">
        <v>2270</v>
      </c>
      <c r="U572" s="17"/>
      <c r="V572" s="18"/>
      <c r="W572" s="16"/>
      <c r="X572" s="16"/>
      <c r="Y572" s="16"/>
    </row>
    <row r="573">
      <c r="A573" s="9" t="s">
        <v>2271</v>
      </c>
      <c r="B573" s="10" t="s">
        <v>2272</v>
      </c>
      <c r="C573" s="10" t="s">
        <v>1641</v>
      </c>
      <c r="D573" s="10" t="s">
        <v>77</v>
      </c>
      <c r="E573" s="10" t="s">
        <v>1404</v>
      </c>
      <c r="F573" s="10" t="s">
        <v>1405</v>
      </c>
      <c r="G573" s="10" t="s">
        <v>1599</v>
      </c>
      <c r="H573" s="10" t="s">
        <v>1642</v>
      </c>
      <c r="I573" s="11">
        <v>1799.0</v>
      </c>
      <c r="J573" s="11">
        <v>3999.0</v>
      </c>
      <c r="K573" s="12">
        <f t="shared" si="1"/>
        <v>0.5501375344</v>
      </c>
      <c r="L573" s="13">
        <f>IFERROR(__xludf.DUMMYFUNCTION("GOOGLEFINANCE(""CURRENCY:INRBRL"") * I573
"),105.92813220962)</f>
        <v>105.9281322</v>
      </c>
      <c r="M573" s="9">
        <v>4.51</v>
      </c>
      <c r="N573" s="9">
        <v>245.0</v>
      </c>
      <c r="O573" s="9" t="s">
        <v>2273</v>
      </c>
      <c r="P573" s="14" t="s">
        <v>2274</v>
      </c>
      <c r="U573" s="17"/>
      <c r="V573" s="18"/>
      <c r="W573" s="16"/>
      <c r="X573" s="16"/>
      <c r="Y573" s="16"/>
    </row>
    <row r="574">
      <c r="A574" s="9" t="s">
        <v>2275</v>
      </c>
      <c r="B574" s="10" t="s">
        <v>2276</v>
      </c>
      <c r="C574" s="10" t="s">
        <v>1412</v>
      </c>
      <c r="D574" s="10" t="s">
        <v>77</v>
      </c>
      <c r="E574" s="10" t="s">
        <v>1404</v>
      </c>
      <c r="F574" s="10" t="s">
        <v>1413</v>
      </c>
      <c r="G574" s="10" t="s">
        <v>1414</v>
      </c>
      <c r="H574" s="10"/>
      <c r="I574" s="11">
        <v>8499.0</v>
      </c>
      <c r="J574" s="11">
        <v>11999.0</v>
      </c>
      <c r="K574" s="12">
        <f t="shared" si="1"/>
        <v>0.2916909742</v>
      </c>
      <c r="L574" s="13">
        <f>IFERROR(__xludf.DUMMYFUNCTION("GOOGLEFINANCE(""CURRENCY:INRBRL"") * I574
"),500.43535055562)</f>
        <v>500.4353506</v>
      </c>
      <c r="M574" s="9">
        <v>4.52</v>
      </c>
      <c r="N574" s="9">
        <v>276.0</v>
      </c>
      <c r="O574" s="9" t="s">
        <v>2277</v>
      </c>
      <c r="P574" s="14" t="s">
        <v>2278</v>
      </c>
      <c r="U574" s="17"/>
      <c r="V574" s="18"/>
      <c r="W574" s="16"/>
      <c r="X574" s="16"/>
      <c r="Y574" s="16"/>
    </row>
    <row r="575">
      <c r="A575" s="9" t="s">
        <v>2279</v>
      </c>
      <c r="B575" s="10" t="s">
        <v>2280</v>
      </c>
      <c r="C575" s="10" t="s">
        <v>1388</v>
      </c>
      <c r="D575" s="10" t="s">
        <v>77</v>
      </c>
      <c r="E575" s="10" t="s">
        <v>1389</v>
      </c>
      <c r="F575" s="10" t="s">
        <v>1390</v>
      </c>
      <c r="G575" s="10"/>
      <c r="H575" s="10"/>
      <c r="I575" s="11">
        <v>1999.0</v>
      </c>
      <c r="J575" s="11">
        <v>3999.0</v>
      </c>
      <c r="K575" s="12">
        <f t="shared" si="1"/>
        <v>0.5001250313</v>
      </c>
      <c r="L575" s="13">
        <f>IFERROR(__xludf.DUMMYFUNCTION("GOOGLEFINANCE(""CURRENCY:INRBRL"") * I575
"),117.70446708562)</f>
        <v>117.7044671</v>
      </c>
      <c r="M575" s="9">
        <v>4.0</v>
      </c>
      <c r="N575" s="9">
        <v>30254.0</v>
      </c>
      <c r="O575" s="9" t="s">
        <v>2281</v>
      </c>
      <c r="P575" s="14" t="s">
        <v>2282</v>
      </c>
      <c r="U575" s="17"/>
      <c r="V575" s="18"/>
      <c r="W575" s="16"/>
      <c r="X575" s="16"/>
      <c r="Y575" s="16"/>
    </row>
    <row r="576">
      <c r="A576" s="9" t="s">
        <v>2283</v>
      </c>
      <c r="B576" s="10" t="s">
        <v>1569</v>
      </c>
      <c r="C576" s="10" t="s">
        <v>1388</v>
      </c>
      <c r="D576" s="10" t="s">
        <v>77</v>
      </c>
      <c r="E576" s="10" t="s">
        <v>1389</v>
      </c>
      <c r="F576" s="10" t="s">
        <v>1390</v>
      </c>
      <c r="G576" s="10"/>
      <c r="H576" s="10"/>
      <c r="I576" s="11">
        <v>3999.0</v>
      </c>
      <c r="J576" s="11">
        <v>17999.0</v>
      </c>
      <c r="K576" s="12">
        <f t="shared" si="1"/>
        <v>0.7778209901</v>
      </c>
      <c r="L576" s="13">
        <f>IFERROR(__xludf.DUMMYFUNCTION("GOOGLEFINANCE(""CURRENCY:INRBRL"") * I576
"),235.46781584561998)</f>
        <v>235.4678158</v>
      </c>
      <c r="M576" s="9">
        <v>4.5</v>
      </c>
      <c r="N576" s="9">
        <v>17161.0</v>
      </c>
      <c r="O576" s="9" t="s">
        <v>2284</v>
      </c>
      <c r="P576" s="14" t="s">
        <v>2285</v>
      </c>
      <c r="U576" s="17"/>
      <c r="V576" s="18"/>
      <c r="W576" s="16"/>
      <c r="X576" s="16"/>
      <c r="Y576" s="16"/>
    </row>
    <row r="577">
      <c r="A577" s="9" t="s">
        <v>2286</v>
      </c>
      <c r="B577" s="10" t="s">
        <v>2287</v>
      </c>
      <c r="C577" s="10" t="s">
        <v>1505</v>
      </c>
      <c r="D577" s="10" t="s">
        <v>77</v>
      </c>
      <c r="E577" s="10" t="s">
        <v>1404</v>
      </c>
      <c r="F577" s="10" t="s">
        <v>1405</v>
      </c>
      <c r="G577" s="10" t="s">
        <v>1406</v>
      </c>
      <c r="H577" s="10" t="s">
        <v>1506</v>
      </c>
      <c r="I577" s="11">
        <v>219.0</v>
      </c>
      <c r="J577" s="11">
        <v>499.0</v>
      </c>
      <c r="K577" s="12">
        <f t="shared" si="1"/>
        <v>0.5611222445</v>
      </c>
      <c r="L577" s="13">
        <f>IFERROR(__xludf.DUMMYFUNCTION("GOOGLEFINANCE(""CURRENCY:INRBRL"") * I577
"),12.89508668922)</f>
        <v>12.89508669</v>
      </c>
      <c r="M577" s="9">
        <v>4.5</v>
      </c>
      <c r="N577" s="9">
        <v>14.0</v>
      </c>
      <c r="O577" s="9" t="s">
        <v>2288</v>
      </c>
      <c r="P577" s="14" t="s">
        <v>2289</v>
      </c>
      <c r="U577" s="17"/>
      <c r="V577" s="18"/>
      <c r="W577" s="16"/>
      <c r="X577" s="16"/>
      <c r="Y577" s="16"/>
    </row>
    <row r="578">
      <c r="A578" s="9" t="s">
        <v>2290</v>
      </c>
      <c r="B578" s="10" t="s">
        <v>2291</v>
      </c>
      <c r="C578" s="10" t="s">
        <v>1641</v>
      </c>
      <c r="D578" s="10" t="s">
        <v>77</v>
      </c>
      <c r="E578" s="10" t="s">
        <v>1404</v>
      </c>
      <c r="F578" s="10" t="s">
        <v>1405</v>
      </c>
      <c r="G578" s="10" t="s">
        <v>1599</v>
      </c>
      <c r="H578" s="10" t="s">
        <v>1642</v>
      </c>
      <c r="I578" s="11">
        <v>599.0</v>
      </c>
      <c r="J578" s="11">
        <v>1399.0</v>
      </c>
      <c r="K578" s="12">
        <f t="shared" si="1"/>
        <v>0.5718370264</v>
      </c>
      <c r="L578" s="13">
        <f>IFERROR(__xludf.DUMMYFUNCTION("GOOGLEFINANCE(""CURRENCY:INRBRL"") * I578
"),35.270122953619996)</f>
        <v>35.27012295</v>
      </c>
      <c r="M578" s="9">
        <v>4.49</v>
      </c>
      <c r="N578" s="9">
        <v>1456.0</v>
      </c>
      <c r="O578" s="9" t="s">
        <v>2292</v>
      </c>
      <c r="P578" s="14" t="s">
        <v>2293</v>
      </c>
      <c r="U578" s="17"/>
      <c r="V578" s="18"/>
      <c r="W578" s="16"/>
      <c r="X578" s="16"/>
      <c r="Y578" s="16"/>
    </row>
    <row r="579">
      <c r="A579" s="9" t="s">
        <v>2294</v>
      </c>
      <c r="B579" s="10" t="s">
        <v>2295</v>
      </c>
      <c r="C579" s="10" t="s">
        <v>1403</v>
      </c>
      <c r="D579" s="10" t="s">
        <v>77</v>
      </c>
      <c r="E579" s="10" t="s">
        <v>1404</v>
      </c>
      <c r="F579" s="10" t="s">
        <v>1405</v>
      </c>
      <c r="G579" s="10" t="s">
        <v>1406</v>
      </c>
      <c r="H579" s="10" t="s">
        <v>1407</v>
      </c>
      <c r="I579" s="11">
        <v>2499.0</v>
      </c>
      <c r="J579" s="11">
        <v>2999.0</v>
      </c>
      <c r="K579" s="12">
        <f t="shared" si="1"/>
        <v>0.1667222407</v>
      </c>
      <c r="L579" s="13">
        <f>IFERROR(__xludf.DUMMYFUNCTION("GOOGLEFINANCE(""CURRENCY:INRBRL"") * I579
"),147.14530427562)</f>
        <v>147.1453043</v>
      </c>
      <c r="M579" s="9">
        <v>4.49</v>
      </c>
      <c r="N579" s="9">
        <v>3156.0</v>
      </c>
      <c r="O579" s="9" t="s">
        <v>2296</v>
      </c>
      <c r="P579" s="14" t="s">
        <v>2297</v>
      </c>
      <c r="U579" s="17"/>
      <c r="V579" s="18"/>
      <c r="W579" s="16"/>
      <c r="X579" s="16"/>
      <c r="Y579" s="16"/>
    </row>
    <row r="580">
      <c r="A580" s="9" t="s">
        <v>2298</v>
      </c>
      <c r="B580" s="10" t="s">
        <v>2299</v>
      </c>
      <c r="C580" s="10" t="s">
        <v>2300</v>
      </c>
      <c r="D580" s="10" t="s">
        <v>77</v>
      </c>
      <c r="E580" s="10" t="s">
        <v>1404</v>
      </c>
      <c r="F580" s="10" t="s">
        <v>1405</v>
      </c>
      <c r="G580" s="10" t="s">
        <v>571</v>
      </c>
      <c r="H580" s="10" t="s">
        <v>2301</v>
      </c>
      <c r="I580" s="11">
        <v>89.0</v>
      </c>
      <c r="J580" s="11">
        <v>499.0</v>
      </c>
      <c r="K580" s="12">
        <f t="shared" si="1"/>
        <v>0.8216432866</v>
      </c>
      <c r="L580" s="13">
        <f>IFERROR(__xludf.DUMMYFUNCTION("GOOGLEFINANCE(""CURRENCY:INRBRL"") * I580
"),5.24046901982)</f>
        <v>5.24046902</v>
      </c>
      <c r="M580" s="9">
        <v>4.49</v>
      </c>
      <c r="N580" s="9">
        <v>934.0</v>
      </c>
      <c r="O580" s="9" t="s">
        <v>2302</v>
      </c>
      <c r="P580" s="14" t="s">
        <v>2303</v>
      </c>
      <c r="U580" s="17"/>
      <c r="V580" s="18"/>
      <c r="W580" s="16"/>
      <c r="X580" s="16"/>
      <c r="Y580" s="16"/>
    </row>
    <row r="581">
      <c r="A581" s="9" t="s">
        <v>2304</v>
      </c>
      <c r="B581" s="10" t="s">
        <v>2305</v>
      </c>
      <c r="C581" s="10" t="s">
        <v>1388</v>
      </c>
      <c r="D581" s="10" t="s">
        <v>77</v>
      </c>
      <c r="E581" s="10" t="s">
        <v>1389</v>
      </c>
      <c r="F581" s="10" t="s">
        <v>1390</v>
      </c>
      <c r="G581" s="10"/>
      <c r="H581" s="10"/>
      <c r="I581" s="11">
        <v>2999.0</v>
      </c>
      <c r="J581" s="11">
        <v>11999.0</v>
      </c>
      <c r="K581" s="12">
        <f t="shared" si="1"/>
        <v>0.7500625052</v>
      </c>
      <c r="L581" s="13">
        <f>IFERROR(__xludf.DUMMYFUNCTION("GOOGLEFINANCE(""CURRENCY:INRBRL"") * I581
"),176.58614146562)</f>
        <v>176.5861415</v>
      </c>
      <c r="M581" s="9">
        <v>4.5</v>
      </c>
      <c r="N581" s="9">
        <v>768.0</v>
      </c>
      <c r="O581" s="9" t="s">
        <v>2306</v>
      </c>
      <c r="P581" s="14" t="s">
        <v>2307</v>
      </c>
      <c r="U581" s="17"/>
      <c r="V581" s="18"/>
      <c r="W581" s="16"/>
      <c r="X581" s="16"/>
      <c r="Y581" s="16"/>
    </row>
    <row r="582">
      <c r="A582" s="9" t="s">
        <v>2308</v>
      </c>
      <c r="B582" s="10" t="s">
        <v>2309</v>
      </c>
      <c r="C582" s="10" t="s">
        <v>1672</v>
      </c>
      <c r="D582" s="10" t="s">
        <v>77</v>
      </c>
      <c r="E582" s="10" t="s">
        <v>1404</v>
      </c>
      <c r="F582" s="10" t="s">
        <v>1405</v>
      </c>
      <c r="G582" s="10" t="s">
        <v>1673</v>
      </c>
      <c r="H582" s="10"/>
      <c r="I582" s="11">
        <v>314.0</v>
      </c>
      <c r="J582" s="11">
        <v>1499.0</v>
      </c>
      <c r="K582" s="12">
        <f t="shared" si="1"/>
        <v>0.790527018</v>
      </c>
      <c r="L582" s="13">
        <f>IFERROR(__xludf.DUMMYFUNCTION("GOOGLEFINANCE(""CURRENCY:INRBRL"") * I582
"),18.48884575532)</f>
        <v>18.48884576</v>
      </c>
      <c r="M582" s="9">
        <v>4.51</v>
      </c>
      <c r="N582" s="9">
        <v>28978.0</v>
      </c>
      <c r="O582" s="9" t="s">
        <v>2310</v>
      </c>
      <c r="P582" s="14" t="s">
        <v>2311</v>
      </c>
      <c r="U582" s="17"/>
      <c r="V582" s="18"/>
      <c r="W582" s="16"/>
      <c r="X582" s="16"/>
      <c r="Y582" s="16"/>
    </row>
    <row r="583">
      <c r="A583" s="9" t="s">
        <v>2312</v>
      </c>
      <c r="B583" s="10" t="s">
        <v>2313</v>
      </c>
      <c r="C583" s="10" t="s">
        <v>1412</v>
      </c>
      <c r="D583" s="10" t="s">
        <v>77</v>
      </c>
      <c r="E583" s="10" t="s">
        <v>1404</v>
      </c>
      <c r="F583" s="10" t="s">
        <v>1413</v>
      </c>
      <c r="G583" s="10" t="s">
        <v>1414</v>
      </c>
      <c r="H583" s="10"/>
      <c r="I583" s="11">
        <v>13999.0</v>
      </c>
      <c r="J583" s="11">
        <v>19499.0</v>
      </c>
      <c r="K583" s="12">
        <f t="shared" si="1"/>
        <v>0.282065747</v>
      </c>
      <c r="L583" s="13">
        <f>IFERROR(__xludf.DUMMYFUNCTION("GOOGLEFINANCE(""CURRENCY:INRBRL"") * I583
"),824.28455964562)</f>
        <v>824.2845596</v>
      </c>
      <c r="M583" s="9">
        <v>4.49</v>
      </c>
      <c r="N583" s="9">
        <v>18998.0</v>
      </c>
      <c r="O583" s="9" t="s">
        <v>1655</v>
      </c>
      <c r="P583" s="14" t="s">
        <v>2314</v>
      </c>
      <c r="U583" s="17"/>
      <c r="V583" s="18"/>
      <c r="W583" s="16"/>
      <c r="X583" s="16"/>
      <c r="Y583" s="16"/>
    </row>
    <row r="584">
      <c r="A584" s="9" t="s">
        <v>2315</v>
      </c>
      <c r="B584" s="10" t="s">
        <v>2316</v>
      </c>
      <c r="C584" s="10" t="s">
        <v>1563</v>
      </c>
      <c r="D584" s="10" t="s">
        <v>77</v>
      </c>
      <c r="E584" s="10" t="s">
        <v>1404</v>
      </c>
      <c r="F584" s="10" t="s">
        <v>1405</v>
      </c>
      <c r="G584" s="10" t="s">
        <v>1564</v>
      </c>
      <c r="H584" s="10" t="s">
        <v>1565</v>
      </c>
      <c r="I584" s="11">
        <v>139.0</v>
      </c>
      <c r="J584" s="11">
        <v>499.0</v>
      </c>
      <c r="K584" s="12">
        <f t="shared" si="1"/>
        <v>0.7214428858</v>
      </c>
      <c r="L584" s="13">
        <f>IFERROR(__xludf.DUMMYFUNCTION("GOOGLEFINANCE(""CURRENCY:INRBRL"") * I584
"),8.184552738819999)</f>
        <v>8.184552739</v>
      </c>
      <c r="M584" s="9">
        <v>4.5</v>
      </c>
      <c r="N584" s="9">
        <v>4971.0</v>
      </c>
      <c r="O584" s="9" t="s">
        <v>2317</v>
      </c>
      <c r="P584" s="14" t="s">
        <v>2318</v>
      </c>
      <c r="U584" s="17"/>
      <c r="V584" s="18"/>
      <c r="W584" s="16"/>
      <c r="X584" s="16"/>
      <c r="Y584" s="16"/>
    </row>
    <row r="585">
      <c r="A585" s="9" t="s">
        <v>2319</v>
      </c>
      <c r="B585" s="10" t="s">
        <v>2320</v>
      </c>
      <c r="C585" s="10" t="s">
        <v>1869</v>
      </c>
      <c r="D585" s="10" t="s">
        <v>77</v>
      </c>
      <c r="E585" s="10" t="s">
        <v>1404</v>
      </c>
      <c r="F585" s="10" t="s">
        <v>1405</v>
      </c>
      <c r="G585" s="10" t="s">
        <v>1870</v>
      </c>
      <c r="H585" s="10"/>
      <c r="I585" s="11">
        <v>2599.0</v>
      </c>
      <c r="J585" s="11">
        <v>6999.0</v>
      </c>
      <c r="K585" s="12">
        <f t="shared" si="1"/>
        <v>0.6286612373</v>
      </c>
      <c r="L585" s="13">
        <f>IFERROR(__xludf.DUMMYFUNCTION("GOOGLEFINANCE(""CURRENCY:INRBRL"") * I585
"),153.03347171362)</f>
        <v>153.0334717</v>
      </c>
      <c r="M585" s="9">
        <v>4.51</v>
      </c>
      <c r="N585" s="9">
        <v>1526.0</v>
      </c>
      <c r="O585" s="9" t="s">
        <v>2321</v>
      </c>
      <c r="P585" s="14" t="s">
        <v>2322</v>
      </c>
      <c r="U585" s="17"/>
      <c r="V585" s="18"/>
      <c r="W585" s="16"/>
      <c r="X585" s="16"/>
      <c r="Y585" s="16"/>
    </row>
    <row r="586">
      <c r="A586" s="9" t="s">
        <v>2323</v>
      </c>
      <c r="B586" s="10" t="s">
        <v>2324</v>
      </c>
      <c r="C586" s="10" t="s">
        <v>1454</v>
      </c>
      <c r="D586" s="10" t="s">
        <v>77</v>
      </c>
      <c r="E586" s="10" t="s">
        <v>1455</v>
      </c>
      <c r="F586" s="10" t="s">
        <v>1456</v>
      </c>
      <c r="G586" s="10" t="s">
        <v>1457</v>
      </c>
      <c r="H586" s="10"/>
      <c r="I586" s="11">
        <v>365.0</v>
      </c>
      <c r="J586" s="11">
        <v>999.0</v>
      </c>
      <c r="K586" s="12">
        <f t="shared" si="1"/>
        <v>0.6346346346</v>
      </c>
      <c r="L586" s="13">
        <f>IFERROR(__xludf.DUMMYFUNCTION("GOOGLEFINANCE(""CURRENCY:INRBRL"") * I586
"),21.4918111487)</f>
        <v>21.49181115</v>
      </c>
      <c r="M586" s="9">
        <v>4.49</v>
      </c>
      <c r="N586" s="9">
        <v>363711.0</v>
      </c>
      <c r="O586" s="9" t="s">
        <v>1659</v>
      </c>
      <c r="P586" s="14" t="s">
        <v>2325</v>
      </c>
      <c r="U586" s="17"/>
      <c r="V586" s="18"/>
      <c r="W586" s="16"/>
      <c r="X586" s="16"/>
      <c r="Y586" s="16"/>
    </row>
    <row r="587">
      <c r="A587" s="9" t="s">
        <v>2326</v>
      </c>
      <c r="B587" s="10" t="s">
        <v>2327</v>
      </c>
      <c r="C587" s="10" t="s">
        <v>1454</v>
      </c>
      <c r="D587" s="10" t="s">
        <v>77</v>
      </c>
      <c r="E587" s="10" t="s">
        <v>1455</v>
      </c>
      <c r="F587" s="10" t="s">
        <v>1456</v>
      </c>
      <c r="G587" s="10" t="s">
        <v>1457</v>
      </c>
      <c r="H587" s="10"/>
      <c r="I587" s="11">
        <v>1499.0</v>
      </c>
      <c r="J587" s="11">
        <v>4499.0</v>
      </c>
      <c r="K587" s="12">
        <f t="shared" si="1"/>
        <v>0.6668148477</v>
      </c>
      <c r="L587" s="13">
        <f>IFERROR(__xludf.DUMMYFUNCTION("GOOGLEFINANCE(""CURRENCY:INRBRL"") * I587
"),88.26362989562)</f>
        <v>88.2636299</v>
      </c>
      <c r="M587" s="9">
        <v>4.52</v>
      </c>
      <c r="N587" s="9">
        <v>136954.0</v>
      </c>
      <c r="O587" s="9" t="s">
        <v>2328</v>
      </c>
      <c r="P587" s="14" t="s">
        <v>2329</v>
      </c>
      <c r="U587" s="17"/>
      <c r="V587" s="18"/>
      <c r="W587" s="16"/>
      <c r="X587" s="16"/>
      <c r="Y587" s="16"/>
    </row>
    <row r="588">
      <c r="A588" s="9" t="s">
        <v>1393</v>
      </c>
      <c r="B588" s="10" t="s">
        <v>1394</v>
      </c>
      <c r="C588" s="10" t="s">
        <v>1388</v>
      </c>
      <c r="D588" s="10" t="s">
        <v>77</v>
      </c>
      <c r="E588" s="10" t="s">
        <v>1389</v>
      </c>
      <c r="F588" s="10" t="s">
        <v>1390</v>
      </c>
      <c r="G588" s="10"/>
      <c r="H588" s="10"/>
      <c r="I588" s="11">
        <v>1998.0</v>
      </c>
      <c r="J588" s="11">
        <v>9999.0</v>
      </c>
      <c r="K588" s="12">
        <f t="shared" si="1"/>
        <v>0.800180018</v>
      </c>
      <c r="L588" s="13">
        <f>IFERROR(__xludf.DUMMYFUNCTION("GOOGLEFINANCE(""CURRENCY:INRBRL"") * I588
"),117.64558541123999)</f>
        <v>117.6455854</v>
      </c>
      <c r="M588" s="9">
        <v>4.5</v>
      </c>
      <c r="N588" s="9">
        <v>27709.0</v>
      </c>
      <c r="O588" s="9" t="s">
        <v>1395</v>
      </c>
      <c r="P588" s="14" t="s">
        <v>2330</v>
      </c>
      <c r="U588" s="17"/>
      <c r="V588" s="18"/>
      <c r="W588" s="16"/>
      <c r="X588" s="16"/>
      <c r="Y588" s="16"/>
    </row>
    <row r="589">
      <c r="A589" s="9" t="s">
        <v>1397</v>
      </c>
      <c r="B589" s="10" t="s">
        <v>1398</v>
      </c>
      <c r="C589" s="10" t="s">
        <v>1388</v>
      </c>
      <c r="D589" s="10" t="s">
        <v>77</v>
      </c>
      <c r="E589" s="10" t="s">
        <v>1389</v>
      </c>
      <c r="F589" s="10" t="s">
        <v>1390</v>
      </c>
      <c r="G589" s="10"/>
      <c r="H589" s="10"/>
      <c r="I589" s="11">
        <v>1799.0</v>
      </c>
      <c r="J589" s="11">
        <v>7990.0</v>
      </c>
      <c r="K589" s="12">
        <f t="shared" si="1"/>
        <v>0.7748435544</v>
      </c>
      <c r="L589" s="13">
        <f>IFERROR(__xludf.DUMMYFUNCTION("GOOGLEFINANCE(""CURRENCY:INRBRL"") * I589
"),105.92813220962)</f>
        <v>105.9281322</v>
      </c>
      <c r="M589" s="9">
        <v>4.51</v>
      </c>
      <c r="N589" s="9">
        <v>17833.0</v>
      </c>
      <c r="O589" s="9" t="s">
        <v>1399</v>
      </c>
      <c r="P589" s="14" t="s">
        <v>2331</v>
      </c>
      <c r="U589" s="17"/>
      <c r="V589" s="18"/>
      <c r="W589" s="16"/>
      <c r="X589" s="16"/>
      <c r="Y589" s="16"/>
    </row>
    <row r="590">
      <c r="A590" s="9" t="s">
        <v>2332</v>
      </c>
      <c r="B590" s="10" t="s">
        <v>2333</v>
      </c>
      <c r="C590" s="10" t="s">
        <v>2334</v>
      </c>
      <c r="D590" s="10" t="s">
        <v>19</v>
      </c>
      <c r="E590" s="10" t="s">
        <v>2335</v>
      </c>
      <c r="F590" s="10" t="s">
        <v>2336</v>
      </c>
      <c r="G590" s="10"/>
      <c r="H590" s="10"/>
      <c r="I590" s="11">
        <v>289.0</v>
      </c>
      <c r="J590" s="11">
        <v>650.0</v>
      </c>
      <c r="K590" s="12">
        <f t="shared" si="1"/>
        <v>0.5553846154</v>
      </c>
      <c r="L590" s="13">
        <f>IFERROR(__xludf.DUMMYFUNCTION("GOOGLEFINANCE(""CURRENCY:INRBRL"") * I590
"),17.01680389582)</f>
        <v>17.0168039</v>
      </c>
      <c r="M590" s="9">
        <v>4.5</v>
      </c>
      <c r="N590" s="9">
        <v>253105.0</v>
      </c>
      <c r="O590" s="9" t="s">
        <v>2337</v>
      </c>
      <c r="P590" s="14" t="s">
        <v>2338</v>
      </c>
      <c r="U590" s="17"/>
      <c r="V590" s="18"/>
      <c r="W590" s="16"/>
      <c r="X590" s="16"/>
      <c r="Y590" s="16"/>
    </row>
    <row r="591">
      <c r="A591" s="9" t="s">
        <v>2339</v>
      </c>
      <c r="B591" s="10" t="s">
        <v>2340</v>
      </c>
      <c r="C591" s="10" t="s">
        <v>2341</v>
      </c>
      <c r="D591" s="10" t="s">
        <v>19</v>
      </c>
      <c r="E591" s="10" t="s">
        <v>20</v>
      </c>
      <c r="F591" s="10" t="s">
        <v>2342</v>
      </c>
      <c r="G591" s="10" t="s">
        <v>2343</v>
      </c>
      <c r="H591" s="10"/>
      <c r="I591" s="11">
        <v>599.0</v>
      </c>
      <c r="J591" s="11">
        <v>895.0</v>
      </c>
      <c r="K591" s="12">
        <f t="shared" si="1"/>
        <v>0.330726257</v>
      </c>
      <c r="L591" s="13">
        <f>IFERROR(__xludf.DUMMYFUNCTION("GOOGLEFINANCE(""CURRENCY:INRBRL"") * I591
"),35.270122953619996)</f>
        <v>35.27012295</v>
      </c>
      <c r="M591" s="9">
        <v>4.5</v>
      </c>
      <c r="N591" s="9">
        <v>61314.0</v>
      </c>
      <c r="O591" s="9" t="s">
        <v>2344</v>
      </c>
      <c r="P591" s="14" t="s">
        <v>2345</v>
      </c>
      <c r="U591" s="17"/>
      <c r="V591" s="18"/>
      <c r="W591" s="16"/>
      <c r="X591" s="16"/>
      <c r="Y591" s="16"/>
    </row>
    <row r="592">
      <c r="A592" s="9" t="s">
        <v>2346</v>
      </c>
      <c r="B592" s="10" t="s">
        <v>2347</v>
      </c>
      <c r="C592" s="10" t="s">
        <v>2348</v>
      </c>
      <c r="D592" s="10" t="s">
        <v>19</v>
      </c>
      <c r="E592" s="10" t="s">
        <v>20</v>
      </c>
      <c r="F592" s="10" t="s">
        <v>2342</v>
      </c>
      <c r="G592" s="10" t="s">
        <v>2349</v>
      </c>
      <c r="H592" s="10"/>
      <c r="I592" s="11">
        <v>217.0</v>
      </c>
      <c r="J592" s="11">
        <v>237.0</v>
      </c>
      <c r="K592" s="12">
        <f t="shared" si="1"/>
        <v>0.08438818565</v>
      </c>
      <c r="L592" s="13">
        <f>IFERROR(__xludf.DUMMYFUNCTION("GOOGLEFINANCE(""CURRENCY:INRBRL"") * I592
"),12.777323340459999)</f>
        <v>12.77732334</v>
      </c>
      <c r="M592" s="9">
        <v>4.51</v>
      </c>
      <c r="N592" s="9">
        <v>7354.0</v>
      </c>
      <c r="O592" s="9" t="s">
        <v>2350</v>
      </c>
      <c r="P592" s="14" t="s">
        <v>2351</v>
      </c>
      <c r="U592" s="17"/>
      <c r="V592" s="18"/>
      <c r="W592" s="16"/>
      <c r="X592" s="16"/>
      <c r="Y592" s="16"/>
    </row>
    <row r="593">
      <c r="A593" s="9" t="s">
        <v>2352</v>
      </c>
      <c r="B593" s="10" t="s">
        <v>2353</v>
      </c>
      <c r="C593" s="10" t="s">
        <v>1454</v>
      </c>
      <c r="D593" s="10" t="s">
        <v>77</v>
      </c>
      <c r="E593" s="10" t="s">
        <v>1455</v>
      </c>
      <c r="F593" s="10" t="s">
        <v>1456</v>
      </c>
      <c r="G593" s="10" t="s">
        <v>1457</v>
      </c>
      <c r="H593" s="10"/>
      <c r="I593" s="11">
        <v>1299.0</v>
      </c>
      <c r="J593" s="11">
        <v>2990.0</v>
      </c>
      <c r="K593" s="12">
        <f t="shared" si="1"/>
        <v>0.5655518395</v>
      </c>
      <c r="L593" s="13">
        <f>IFERROR(__xludf.DUMMYFUNCTION("GOOGLEFINANCE(""CURRENCY:INRBRL"") * I593
"),76.48729501961999)</f>
        <v>76.48729502</v>
      </c>
      <c r="M593" s="9">
        <v>4.51</v>
      </c>
      <c r="N593" s="9">
        <v>180998.0</v>
      </c>
      <c r="O593" s="9" t="s">
        <v>2354</v>
      </c>
      <c r="P593" s="14" t="s">
        <v>2355</v>
      </c>
      <c r="U593" s="17"/>
      <c r="V593" s="18"/>
      <c r="W593" s="16"/>
      <c r="X593" s="16"/>
      <c r="Y593" s="16"/>
    </row>
    <row r="594">
      <c r="A594" s="9" t="s">
        <v>2356</v>
      </c>
      <c r="B594" s="10" t="s">
        <v>2357</v>
      </c>
      <c r="C594" s="10" t="s">
        <v>2358</v>
      </c>
      <c r="D594" s="10" t="s">
        <v>19</v>
      </c>
      <c r="E594" s="10" t="s">
        <v>20</v>
      </c>
      <c r="F594" s="10" t="s">
        <v>2157</v>
      </c>
      <c r="G594" s="10" t="s">
        <v>2359</v>
      </c>
      <c r="H594" s="10"/>
      <c r="I594" s="11">
        <v>263.0</v>
      </c>
      <c r="J594" s="11">
        <v>699.0</v>
      </c>
      <c r="K594" s="12">
        <f t="shared" si="1"/>
        <v>0.6237482117</v>
      </c>
      <c r="L594" s="13">
        <f>IFERROR(__xludf.DUMMYFUNCTION("GOOGLEFINANCE(""CURRENCY:INRBRL"") * I594
"),15.48588036194)</f>
        <v>15.48588036</v>
      </c>
      <c r="M594" s="9">
        <v>4.5</v>
      </c>
      <c r="N594" s="9">
        <v>690.0</v>
      </c>
      <c r="O594" s="9" t="s">
        <v>2360</v>
      </c>
      <c r="P594" s="14" t="s">
        <v>2361</v>
      </c>
      <c r="U594" s="17"/>
      <c r="V594" s="18"/>
      <c r="W594" s="16"/>
      <c r="X594" s="16"/>
      <c r="Y594" s="16"/>
    </row>
    <row r="595">
      <c r="A595" s="9" t="s">
        <v>1431</v>
      </c>
      <c r="B595" s="10" t="s">
        <v>1432</v>
      </c>
      <c r="C595" s="10" t="s">
        <v>1433</v>
      </c>
      <c r="D595" s="10" t="s">
        <v>77</v>
      </c>
      <c r="E595" s="10" t="s">
        <v>79</v>
      </c>
      <c r="F595" s="10" t="s">
        <v>1434</v>
      </c>
      <c r="G595" s="10" t="s">
        <v>1435</v>
      </c>
      <c r="H595" s="10"/>
      <c r="I595" s="11">
        <v>569.0</v>
      </c>
      <c r="J595" s="11">
        <v>999.0</v>
      </c>
      <c r="K595" s="12">
        <f t="shared" si="1"/>
        <v>0.4304304304</v>
      </c>
      <c r="L595" s="13">
        <f>IFERROR(__xludf.DUMMYFUNCTION("GOOGLEFINANCE(""CURRENCY:INRBRL"") * I595
"),33.503672722219996)</f>
        <v>33.50367272</v>
      </c>
      <c r="M595" s="9">
        <v>4.5</v>
      </c>
      <c r="N595" s="9">
        <v>67262.0</v>
      </c>
      <c r="O595" s="9" t="s">
        <v>1436</v>
      </c>
      <c r="P595" s="14" t="s">
        <v>2362</v>
      </c>
      <c r="U595" s="17"/>
      <c r="V595" s="18"/>
      <c r="W595" s="16"/>
      <c r="X595" s="16"/>
      <c r="Y595" s="16"/>
    </row>
    <row r="596">
      <c r="A596" s="9" t="s">
        <v>1438</v>
      </c>
      <c r="B596" s="10" t="s">
        <v>1439</v>
      </c>
      <c r="C596" s="10" t="s">
        <v>1388</v>
      </c>
      <c r="D596" s="10" t="s">
        <v>77</v>
      </c>
      <c r="E596" s="10" t="s">
        <v>1389</v>
      </c>
      <c r="F596" s="10" t="s">
        <v>1390</v>
      </c>
      <c r="G596" s="10"/>
      <c r="H596" s="10"/>
      <c r="I596" s="11">
        <v>1999.0</v>
      </c>
      <c r="J596" s="11">
        <v>4999.0</v>
      </c>
      <c r="K596" s="12">
        <f t="shared" si="1"/>
        <v>0.600120024</v>
      </c>
      <c r="L596" s="13">
        <f>IFERROR(__xludf.DUMMYFUNCTION("GOOGLEFINANCE(""CURRENCY:INRBRL"") * I596
"),117.70446708562)</f>
        <v>117.7044671</v>
      </c>
      <c r="M596" s="9">
        <v>4.49</v>
      </c>
      <c r="N596" s="9">
        <v>10689.0</v>
      </c>
      <c r="O596" s="9" t="s">
        <v>1440</v>
      </c>
      <c r="P596" s="14" t="s">
        <v>2363</v>
      </c>
      <c r="U596" s="17"/>
      <c r="V596" s="18"/>
      <c r="W596" s="16"/>
      <c r="X596" s="16"/>
      <c r="Y596" s="16"/>
    </row>
    <row r="597">
      <c r="A597" s="9" t="s">
        <v>2364</v>
      </c>
      <c r="B597" s="10" t="s">
        <v>2365</v>
      </c>
      <c r="C597" s="10" t="s">
        <v>1454</v>
      </c>
      <c r="D597" s="10" t="s">
        <v>77</v>
      </c>
      <c r="E597" s="10" t="s">
        <v>1455</v>
      </c>
      <c r="F597" s="10" t="s">
        <v>1456</v>
      </c>
      <c r="G597" s="10" t="s">
        <v>1457</v>
      </c>
      <c r="H597" s="10"/>
      <c r="I597" s="11">
        <v>1399.0</v>
      </c>
      <c r="J597" s="11">
        <v>3999.0</v>
      </c>
      <c r="K597" s="12">
        <f t="shared" si="1"/>
        <v>0.6501625406</v>
      </c>
      <c r="L597" s="13">
        <f>IFERROR(__xludf.DUMMYFUNCTION("GOOGLEFINANCE(""CURRENCY:INRBRL"") * I597
"),82.37546245762)</f>
        <v>82.37546246</v>
      </c>
      <c r="M597" s="9">
        <v>4.49</v>
      </c>
      <c r="N597" s="9">
        <v>141841.0</v>
      </c>
      <c r="O597" s="9" t="s">
        <v>2366</v>
      </c>
      <c r="P597" s="14" t="s">
        <v>2367</v>
      </c>
      <c r="U597" s="17"/>
      <c r="V597" s="18"/>
      <c r="W597" s="16"/>
      <c r="X597" s="16"/>
      <c r="Y597" s="16"/>
    </row>
    <row r="598">
      <c r="A598" s="9" t="s">
        <v>2368</v>
      </c>
      <c r="B598" s="10" t="s">
        <v>2369</v>
      </c>
      <c r="C598" s="10" t="s">
        <v>2370</v>
      </c>
      <c r="D598" s="10" t="s">
        <v>19</v>
      </c>
      <c r="E598" s="10" t="s">
        <v>20</v>
      </c>
      <c r="F598" s="10" t="s">
        <v>2157</v>
      </c>
      <c r="G598" s="10" t="s">
        <v>2371</v>
      </c>
      <c r="H598" s="10"/>
      <c r="I598" s="11">
        <v>349.0</v>
      </c>
      <c r="J598" s="11">
        <v>1499.0</v>
      </c>
      <c r="K598" s="12">
        <f t="shared" si="1"/>
        <v>0.7671781187</v>
      </c>
      <c r="L598" s="13">
        <f>IFERROR(__xludf.DUMMYFUNCTION("GOOGLEFINANCE(""CURRENCY:INRBRL"") * I598
"),20.549704358619998)</f>
        <v>20.54970436</v>
      </c>
      <c r="M598" s="9">
        <v>4.5</v>
      </c>
      <c r="N598" s="9">
        <v>24791.0</v>
      </c>
      <c r="O598" s="9" t="s">
        <v>2372</v>
      </c>
      <c r="P598" s="14" t="s">
        <v>2373</v>
      </c>
      <c r="U598" s="17"/>
      <c r="V598" s="18"/>
      <c r="W598" s="16"/>
      <c r="X598" s="16"/>
      <c r="Y598" s="16"/>
    </row>
    <row r="599">
      <c r="A599" s="9" t="s">
        <v>2374</v>
      </c>
      <c r="B599" s="10" t="s">
        <v>2375</v>
      </c>
      <c r="C599" s="10" t="s">
        <v>1454</v>
      </c>
      <c r="D599" s="10" t="s">
        <v>77</v>
      </c>
      <c r="E599" s="10" t="s">
        <v>1455</v>
      </c>
      <c r="F599" s="10" t="s">
        <v>1456</v>
      </c>
      <c r="G599" s="10" t="s">
        <v>1457</v>
      </c>
      <c r="H599" s="10"/>
      <c r="I599" s="11">
        <v>149.0</v>
      </c>
      <c r="J599" s="11">
        <v>399.0</v>
      </c>
      <c r="K599" s="12">
        <f t="shared" si="1"/>
        <v>0.626566416</v>
      </c>
      <c r="L599" s="13">
        <f>IFERROR(__xludf.DUMMYFUNCTION("GOOGLEFINANCE(""CURRENCY:INRBRL"") * I599
"),8.77336948262)</f>
        <v>8.773369483</v>
      </c>
      <c r="M599" s="9">
        <v>4.5</v>
      </c>
      <c r="N599" s="9">
        <v>21764.0</v>
      </c>
      <c r="O599" s="9" t="s">
        <v>2376</v>
      </c>
      <c r="P599" s="14" t="s">
        <v>2377</v>
      </c>
      <c r="U599" s="17"/>
      <c r="V599" s="18"/>
      <c r="W599" s="16"/>
      <c r="X599" s="16"/>
      <c r="Y599" s="16"/>
    </row>
    <row r="600">
      <c r="A600" s="9" t="s">
        <v>1452</v>
      </c>
      <c r="B600" s="10" t="s">
        <v>1453</v>
      </c>
      <c r="C600" s="10" t="s">
        <v>1454</v>
      </c>
      <c r="D600" s="10" t="s">
        <v>77</v>
      </c>
      <c r="E600" s="10" t="s">
        <v>1455</v>
      </c>
      <c r="F600" s="10" t="s">
        <v>1456</v>
      </c>
      <c r="G600" s="10" t="s">
        <v>1457</v>
      </c>
      <c r="H600" s="10"/>
      <c r="I600" s="11">
        <v>599.0</v>
      </c>
      <c r="J600" s="11">
        <v>999.0</v>
      </c>
      <c r="K600" s="12">
        <f t="shared" si="1"/>
        <v>0.4004004004</v>
      </c>
      <c r="L600" s="13">
        <f>IFERROR(__xludf.DUMMYFUNCTION("GOOGLEFINANCE(""CURRENCY:INRBRL"") * I600
"),35.270122953619996)</f>
        <v>35.27012295</v>
      </c>
      <c r="M600" s="9">
        <v>4.49</v>
      </c>
      <c r="N600" s="9">
        <v>192587.0</v>
      </c>
      <c r="O600" s="9" t="s">
        <v>1458</v>
      </c>
      <c r="P600" s="14" t="s">
        <v>2378</v>
      </c>
      <c r="U600" s="17"/>
      <c r="V600" s="18"/>
      <c r="W600" s="16"/>
      <c r="X600" s="16"/>
      <c r="Y600" s="16"/>
    </row>
    <row r="601">
      <c r="A601" s="9" t="s">
        <v>2379</v>
      </c>
      <c r="B601" s="10" t="s">
        <v>2380</v>
      </c>
      <c r="C601" s="10" t="s">
        <v>2142</v>
      </c>
      <c r="D601" s="10" t="s">
        <v>77</v>
      </c>
      <c r="E601" s="10" t="s">
        <v>1455</v>
      </c>
      <c r="F601" s="10" t="s">
        <v>1456</v>
      </c>
      <c r="G601" s="10" t="s">
        <v>2143</v>
      </c>
      <c r="H601" s="10"/>
      <c r="I601" s="11">
        <v>1220.0</v>
      </c>
      <c r="J601" s="11">
        <v>3990.0</v>
      </c>
      <c r="K601" s="12">
        <f t="shared" si="1"/>
        <v>0.694235589</v>
      </c>
      <c r="L601" s="13">
        <f>IFERROR(__xludf.DUMMYFUNCTION("GOOGLEFINANCE(""CURRENCY:INRBRL"") * I601
"),71.8356427436)</f>
        <v>71.83564274</v>
      </c>
      <c r="M601" s="9">
        <v>4.49</v>
      </c>
      <c r="N601" s="9">
        <v>1070151.0</v>
      </c>
      <c r="O601" s="9" t="s">
        <v>2381</v>
      </c>
      <c r="P601" s="14" t="s">
        <v>2382</v>
      </c>
      <c r="U601" s="17"/>
      <c r="V601" s="18"/>
      <c r="W601" s="16"/>
      <c r="X601" s="16"/>
      <c r="Y601" s="16"/>
    </row>
    <row r="602">
      <c r="A602" s="9" t="s">
        <v>1448</v>
      </c>
      <c r="B602" s="10" t="s">
        <v>1449</v>
      </c>
      <c r="C602" s="10" t="s">
        <v>1388</v>
      </c>
      <c r="D602" s="10" t="s">
        <v>77</v>
      </c>
      <c r="E602" s="10" t="s">
        <v>1389</v>
      </c>
      <c r="F602" s="10" t="s">
        <v>1390</v>
      </c>
      <c r="G602" s="10"/>
      <c r="H602" s="10"/>
      <c r="I602" s="11">
        <v>1499.0</v>
      </c>
      <c r="J602" s="11">
        <v>6990.0</v>
      </c>
      <c r="K602" s="12">
        <f t="shared" si="1"/>
        <v>0.7855507868</v>
      </c>
      <c r="L602" s="13">
        <f>IFERROR(__xludf.DUMMYFUNCTION("GOOGLEFINANCE(""CURRENCY:INRBRL"") * I602
"),88.26362989562)</f>
        <v>88.2636299</v>
      </c>
      <c r="M602" s="9">
        <v>4.52</v>
      </c>
      <c r="N602" s="9">
        <v>21797.0</v>
      </c>
      <c r="O602" s="9" t="s">
        <v>1450</v>
      </c>
      <c r="P602" s="14" t="s">
        <v>2383</v>
      </c>
      <c r="U602" s="17"/>
      <c r="V602" s="18"/>
      <c r="W602" s="16"/>
      <c r="X602" s="16"/>
      <c r="Y602" s="16"/>
    </row>
    <row r="603">
      <c r="A603" s="9" t="s">
        <v>2384</v>
      </c>
      <c r="B603" s="10" t="s">
        <v>2385</v>
      </c>
      <c r="C603" s="10" t="s">
        <v>1454</v>
      </c>
      <c r="D603" s="10" t="s">
        <v>77</v>
      </c>
      <c r="E603" s="10" t="s">
        <v>1455</v>
      </c>
      <c r="F603" s="10" t="s">
        <v>1456</v>
      </c>
      <c r="G603" s="10" t="s">
        <v>1457</v>
      </c>
      <c r="H603" s="10"/>
      <c r="I603" s="11">
        <v>499.0</v>
      </c>
      <c r="J603" s="11">
        <v>999.0</v>
      </c>
      <c r="K603" s="12">
        <f t="shared" si="1"/>
        <v>0.5005005005</v>
      </c>
      <c r="L603" s="13">
        <f>IFERROR(__xludf.DUMMYFUNCTION("GOOGLEFINANCE(""CURRENCY:INRBRL"") * I603
"),29.38195551562)</f>
        <v>29.38195552</v>
      </c>
      <c r="M603" s="9">
        <v>4.52</v>
      </c>
      <c r="N603" s="9">
        <v>92995.0</v>
      </c>
      <c r="O603" s="9" t="s">
        <v>2386</v>
      </c>
      <c r="P603" s="14" t="s">
        <v>2387</v>
      </c>
      <c r="U603" s="17"/>
      <c r="V603" s="18"/>
      <c r="W603" s="16"/>
      <c r="X603" s="16"/>
      <c r="Y603" s="16"/>
    </row>
    <row r="604">
      <c r="A604" s="9" t="s">
        <v>2388</v>
      </c>
      <c r="B604" s="10" t="s">
        <v>2389</v>
      </c>
      <c r="C604" s="10" t="s">
        <v>1686</v>
      </c>
      <c r="D604" s="10" t="s">
        <v>19</v>
      </c>
      <c r="E604" s="10" t="s">
        <v>20</v>
      </c>
      <c r="F604" s="10" t="s">
        <v>21</v>
      </c>
      <c r="G604" s="10" t="s">
        <v>1687</v>
      </c>
      <c r="H604" s="10"/>
      <c r="I604" s="11">
        <v>99.0</v>
      </c>
      <c r="J604" s="11">
        <v>999.0</v>
      </c>
      <c r="K604" s="12">
        <f t="shared" si="1"/>
        <v>0.9009009009</v>
      </c>
      <c r="L604" s="13">
        <f>IFERROR(__xludf.DUMMYFUNCTION("GOOGLEFINANCE(""CURRENCY:INRBRL"") * I604
"),5.82928576362)</f>
        <v>5.829285764</v>
      </c>
      <c r="M604" s="9">
        <v>4.49</v>
      </c>
      <c r="N604" s="9">
        <v>8751.0</v>
      </c>
      <c r="O604" s="9" t="s">
        <v>2229</v>
      </c>
      <c r="P604" s="14" t="s">
        <v>2390</v>
      </c>
      <c r="U604" s="17"/>
      <c r="V604" s="18"/>
      <c r="W604" s="16"/>
      <c r="X604" s="16"/>
      <c r="Y604" s="16"/>
    </row>
    <row r="605">
      <c r="A605" s="9" t="s">
        <v>1472</v>
      </c>
      <c r="B605" s="10" t="s">
        <v>1473</v>
      </c>
      <c r="C605" s="10" t="s">
        <v>1474</v>
      </c>
      <c r="D605" s="10" t="s">
        <v>77</v>
      </c>
      <c r="E605" s="10" t="s">
        <v>1404</v>
      </c>
      <c r="F605" s="10" t="s">
        <v>1405</v>
      </c>
      <c r="G605" s="10" t="s">
        <v>1406</v>
      </c>
      <c r="H605" s="10" t="s">
        <v>1475</v>
      </c>
      <c r="I605" s="11">
        <v>349.0</v>
      </c>
      <c r="J605" s="11">
        <v>1299.0</v>
      </c>
      <c r="K605" s="12">
        <f t="shared" si="1"/>
        <v>0.7313317937</v>
      </c>
      <c r="L605" s="13">
        <f>IFERROR(__xludf.DUMMYFUNCTION("GOOGLEFINANCE(""CURRENCY:INRBRL"") * I605
"),20.549704358619998)</f>
        <v>20.54970436</v>
      </c>
      <c r="M605" s="9">
        <v>4.0</v>
      </c>
      <c r="N605" s="9">
        <v>14283.0</v>
      </c>
      <c r="O605" s="9" t="s">
        <v>1476</v>
      </c>
      <c r="P605" s="14" t="s">
        <v>2391</v>
      </c>
      <c r="U605" s="17"/>
      <c r="V605" s="18"/>
      <c r="W605" s="16"/>
      <c r="X605" s="16"/>
      <c r="Y605" s="16"/>
    </row>
    <row r="606">
      <c r="A606" s="9" t="s">
        <v>2392</v>
      </c>
      <c r="B606" s="10" t="s">
        <v>2393</v>
      </c>
      <c r="C606" s="10" t="s">
        <v>2334</v>
      </c>
      <c r="D606" s="10" t="s">
        <v>19</v>
      </c>
      <c r="E606" s="10" t="s">
        <v>2335</v>
      </c>
      <c r="F606" s="10" t="s">
        <v>2336</v>
      </c>
      <c r="G606" s="10"/>
      <c r="H606" s="10"/>
      <c r="I606" s="11">
        <v>475.0</v>
      </c>
      <c r="J606" s="11">
        <v>1499.0</v>
      </c>
      <c r="K606" s="12">
        <f t="shared" si="1"/>
        <v>0.6831220814</v>
      </c>
      <c r="L606" s="13">
        <f>IFERROR(__xludf.DUMMYFUNCTION("GOOGLEFINANCE(""CURRENCY:INRBRL"") * I606
"),27.9687953305)</f>
        <v>27.96879533</v>
      </c>
      <c r="M606" s="9">
        <v>4.5</v>
      </c>
      <c r="N606" s="9">
        <v>64273.0</v>
      </c>
      <c r="O606" s="9" t="s">
        <v>2394</v>
      </c>
      <c r="P606" s="14" t="s">
        <v>2395</v>
      </c>
      <c r="U606" s="17"/>
      <c r="V606" s="18"/>
      <c r="W606" s="16"/>
      <c r="X606" s="16"/>
      <c r="Y606" s="16"/>
    </row>
    <row r="607">
      <c r="A607" s="9" t="s">
        <v>2396</v>
      </c>
      <c r="B607" s="10" t="s">
        <v>2397</v>
      </c>
      <c r="C607" s="10" t="s">
        <v>2341</v>
      </c>
      <c r="D607" s="10" t="s">
        <v>19</v>
      </c>
      <c r="E607" s="10" t="s">
        <v>20</v>
      </c>
      <c r="F607" s="10" t="s">
        <v>2342</v>
      </c>
      <c r="G607" s="10" t="s">
        <v>2343</v>
      </c>
      <c r="H607" s="10"/>
      <c r="I607" s="11">
        <v>269.0</v>
      </c>
      <c r="J607" s="11">
        <v>649.0</v>
      </c>
      <c r="K607" s="12">
        <f t="shared" si="1"/>
        <v>0.5855161787</v>
      </c>
      <c r="L607" s="13">
        <f>IFERROR(__xludf.DUMMYFUNCTION("GOOGLEFINANCE(""CURRENCY:INRBRL"") * I607
"),15.83917040822)</f>
        <v>15.83917041</v>
      </c>
      <c r="M607" s="9">
        <v>4.5</v>
      </c>
      <c r="N607" s="9">
        <v>54315.0</v>
      </c>
      <c r="O607" s="9" t="s">
        <v>2398</v>
      </c>
      <c r="P607" s="14" t="s">
        <v>2399</v>
      </c>
      <c r="U607" s="17"/>
      <c r="V607" s="18"/>
      <c r="W607" s="16"/>
      <c r="X607" s="16"/>
      <c r="Y607" s="16"/>
    </row>
    <row r="608">
      <c r="A608" s="9" t="s">
        <v>2400</v>
      </c>
      <c r="B608" s="10" t="s">
        <v>2401</v>
      </c>
      <c r="C608" s="10" t="s">
        <v>2341</v>
      </c>
      <c r="D608" s="10" t="s">
        <v>19</v>
      </c>
      <c r="E608" s="10" t="s">
        <v>20</v>
      </c>
      <c r="F608" s="10" t="s">
        <v>2342</v>
      </c>
      <c r="G608" s="10" t="s">
        <v>2343</v>
      </c>
      <c r="H608" s="10"/>
      <c r="I608" s="11">
        <v>299.0</v>
      </c>
      <c r="J608" s="11">
        <v>599.0</v>
      </c>
      <c r="K608" s="12">
        <f t="shared" si="1"/>
        <v>0.5008347245</v>
      </c>
      <c r="L608" s="13">
        <f>IFERROR(__xludf.DUMMYFUNCTION("GOOGLEFINANCE(""CURRENCY:INRBRL"") * I608
"),17.60562063962)</f>
        <v>17.60562064</v>
      </c>
      <c r="M608" s="9">
        <v>4.49</v>
      </c>
      <c r="N608" s="9">
        <v>1597.0</v>
      </c>
      <c r="O608" s="9" t="s">
        <v>2402</v>
      </c>
      <c r="P608" s="14" t="s">
        <v>2403</v>
      </c>
      <c r="U608" s="17"/>
      <c r="V608" s="18"/>
      <c r="W608" s="16"/>
      <c r="X608" s="16"/>
      <c r="Y608" s="16"/>
    </row>
    <row r="609">
      <c r="A609" s="9" t="s">
        <v>1509</v>
      </c>
      <c r="B609" s="10" t="s">
        <v>1510</v>
      </c>
      <c r="C609" s="10" t="s">
        <v>1388</v>
      </c>
      <c r="D609" s="10" t="s">
        <v>77</v>
      </c>
      <c r="E609" s="10" t="s">
        <v>1389</v>
      </c>
      <c r="F609" s="10" t="s">
        <v>1390</v>
      </c>
      <c r="G609" s="10"/>
      <c r="H609" s="10"/>
      <c r="I609" s="11">
        <v>1599.0</v>
      </c>
      <c r="J609" s="11">
        <v>3999.0</v>
      </c>
      <c r="K609" s="12">
        <f t="shared" si="1"/>
        <v>0.6001500375</v>
      </c>
      <c r="L609" s="13">
        <f>IFERROR(__xludf.DUMMYFUNCTION("GOOGLEFINANCE(""CURRENCY:INRBRL"") * I609
"),94.15179733362)</f>
        <v>94.15179733</v>
      </c>
      <c r="M609" s="9">
        <v>4.0</v>
      </c>
      <c r="N609" s="9">
        <v>30254.0</v>
      </c>
      <c r="O609" s="9" t="s">
        <v>1511</v>
      </c>
      <c r="P609" s="14" t="s">
        <v>2404</v>
      </c>
      <c r="U609" s="17"/>
      <c r="V609" s="18"/>
      <c r="W609" s="16"/>
      <c r="X609" s="16"/>
      <c r="Y609" s="16"/>
    </row>
    <row r="610">
      <c r="A610" s="9" t="s">
        <v>1513</v>
      </c>
      <c r="B610" s="10" t="s">
        <v>1514</v>
      </c>
      <c r="C610" s="10" t="s">
        <v>1388</v>
      </c>
      <c r="D610" s="10" t="s">
        <v>77</v>
      </c>
      <c r="E610" s="10" t="s">
        <v>1389</v>
      </c>
      <c r="F610" s="10" t="s">
        <v>1390</v>
      </c>
      <c r="G610" s="10"/>
      <c r="H610" s="10"/>
      <c r="I610" s="11">
        <v>1499.0</v>
      </c>
      <c r="J610" s="11">
        <v>7999.0</v>
      </c>
      <c r="K610" s="12">
        <f t="shared" si="1"/>
        <v>0.8126015752</v>
      </c>
      <c r="L610" s="13">
        <f>IFERROR(__xludf.DUMMYFUNCTION("GOOGLEFINANCE(""CURRENCY:INRBRL"") * I610
"),88.26362989562)</f>
        <v>88.2636299</v>
      </c>
      <c r="M610" s="9">
        <v>4.5</v>
      </c>
      <c r="N610" s="9">
        <v>22638.0</v>
      </c>
      <c r="O610" s="9" t="s">
        <v>1515</v>
      </c>
      <c r="P610" s="14" t="s">
        <v>2405</v>
      </c>
      <c r="U610" s="17"/>
      <c r="V610" s="18"/>
      <c r="W610" s="16"/>
      <c r="X610" s="16"/>
      <c r="Y610" s="16"/>
    </row>
    <row r="611">
      <c r="A611" s="9" t="s">
        <v>2406</v>
      </c>
      <c r="B611" s="10" t="s">
        <v>2407</v>
      </c>
      <c r="C611" s="10" t="s">
        <v>1454</v>
      </c>
      <c r="D611" s="10" t="s">
        <v>77</v>
      </c>
      <c r="E611" s="10" t="s">
        <v>1455</v>
      </c>
      <c r="F611" s="10" t="s">
        <v>1456</v>
      </c>
      <c r="G611" s="10" t="s">
        <v>1457</v>
      </c>
      <c r="H611" s="10"/>
      <c r="I611" s="11">
        <v>329.0</v>
      </c>
      <c r="J611" s="11">
        <v>999.0</v>
      </c>
      <c r="K611" s="12">
        <f t="shared" si="1"/>
        <v>0.6706706707</v>
      </c>
      <c r="L611" s="13">
        <f>IFERROR(__xludf.DUMMYFUNCTION("GOOGLEFINANCE(""CURRENCY:INRBRL"") * I611
"),19.37207087102)</f>
        <v>19.37207087</v>
      </c>
      <c r="M611" s="9">
        <v>4.52</v>
      </c>
      <c r="N611" s="9">
        <v>77027.0</v>
      </c>
      <c r="O611" s="9" t="s">
        <v>2408</v>
      </c>
      <c r="P611" s="14" t="s">
        <v>2409</v>
      </c>
      <c r="U611" s="17"/>
      <c r="V611" s="18"/>
      <c r="W611" s="16"/>
      <c r="X611" s="16"/>
      <c r="Y611" s="16"/>
    </row>
    <row r="612">
      <c r="A612" s="9" t="s">
        <v>2410</v>
      </c>
      <c r="B612" s="10" t="s">
        <v>2411</v>
      </c>
      <c r="C612" s="10" t="s">
        <v>2412</v>
      </c>
      <c r="D612" s="10" t="s">
        <v>19</v>
      </c>
      <c r="E612" s="10" t="s">
        <v>20</v>
      </c>
      <c r="F612" s="10" t="s">
        <v>2342</v>
      </c>
      <c r="G612" s="10" t="s">
        <v>2413</v>
      </c>
      <c r="H612" s="10"/>
      <c r="I612" s="11">
        <v>549.0</v>
      </c>
      <c r="J612" s="11">
        <v>1799.0</v>
      </c>
      <c r="K612" s="12">
        <f t="shared" si="1"/>
        <v>0.6948304614</v>
      </c>
      <c r="L612" s="13">
        <f>IFERROR(__xludf.DUMMYFUNCTION("GOOGLEFINANCE(""CURRENCY:INRBRL"") * I612
"),32.32603923462)</f>
        <v>32.32603923</v>
      </c>
      <c r="M612" s="9">
        <v>4.5</v>
      </c>
      <c r="N612" s="9">
        <v>28829.0</v>
      </c>
      <c r="O612" s="9" t="s">
        <v>2414</v>
      </c>
      <c r="P612" s="14" t="s">
        <v>2415</v>
      </c>
      <c r="U612" s="17"/>
      <c r="V612" s="18"/>
      <c r="W612" s="16"/>
      <c r="X612" s="16"/>
      <c r="Y612" s="16"/>
    </row>
    <row r="613">
      <c r="A613" s="9" t="s">
        <v>1532</v>
      </c>
      <c r="B613" s="10" t="s">
        <v>1533</v>
      </c>
      <c r="C613" s="10" t="s">
        <v>1388</v>
      </c>
      <c r="D613" s="10" t="s">
        <v>77</v>
      </c>
      <c r="E613" s="10" t="s">
        <v>1389</v>
      </c>
      <c r="F613" s="10" t="s">
        <v>1390</v>
      </c>
      <c r="G613" s="10"/>
      <c r="H613" s="10"/>
      <c r="I613" s="11">
        <v>2199.0</v>
      </c>
      <c r="J613" s="11">
        <v>9999.0</v>
      </c>
      <c r="K613" s="12">
        <f t="shared" si="1"/>
        <v>0.7800780078</v>
      </c>
      <c r="L613" s="13">
        <f>IFERROR(__xludf.DUMMYFUNCTION("GOOGLEFINANCE(""CURRENCY:INRBRL"") * I613
"),129.48080196162)</f>
        <v>129.480802</v>
      </c>
      <c r="M613" s="9">
        <v>4.5</v>
      </c>
      <c r="N613" s="9">
        <v>29478.0</v>
      </c>
      <c r="O613" s="9" t="s">
        <v>1534</v>
      </c>
      <c r="P613" s="14" t="s">
        <v>2416</v>
      </c>
      <c r="U613" s="17"/>
      <c r="V613" s="18"/>
      <c r="W613" s="16"/>
      <c r="X613" s="16"/>
      <c r="Y613" s="16"/>
    </row>
    <row r="614">
      <c r="A614" s="9" t="s">
        <v>2417</v>
      </c>
      <c r="B614" s="10" t="s">
        <v>2418</v>
      </c>
      <c r="C614" s="10" t="s">
        <v>2341</v>
      </c>
      <c r="D614" s="10" t="s">
        <v>19</v>
      </c>
      <c r="E614" s="10" t="s">
        <v>20</v>
      </c>
      <c r="F614" s="10" t="s">
        <v>2342</v>
      </c>
      <c r="G614" s="10" t="s">
        <v>2343</v>
      </c>
      <c r="H614" s="10"/>
      <c r="I614" s="11">
        <v>299.0</v>
      </c>
      <c r="J614" s="11">
        <v>650.0</v>
      </c>
      <c r="K614" s="12">
        <f t="shared" si="1"/>
        <v>0.54</v>
      </c>
      <c r="L614" s="13">
        <f>IFERROR(__xludf.DUMMYFUNCTION("GOOGLEFINANCE(""CURRENCY:INRBRL"") * I614
"),17.60562063962)</f>
        <v>17.60562064</v>
      </c>
      <c r="M614" s="9">
        <v>4.51</v>
      </c>
      <c r="N614" s="9">
        <v>33176.0</v>
      </c>
      <c r="O614" s="9" t="s">
        <v>2419</v>
      </c>
      <c r="P614" s="14" t="s">
        <v>2420</v>
      </c>
      <c r="U614" s="17"/>
      <c r="V614" s="18"/>
      <c r="W614" s="16"/>
      <c r="X614" s="16"/>
      <c r="Y614" s="16"/>
    </row>
    <row r="615">
      <c r="A615" s="9" t="s">
        <v>2421</v>
      </c>
      <c r="B615" s="10" t="s">
        <v>2422</v>
      </c>
      <c r="C615" s="10" t="s">
        <v>2423</v>
      </c>
      <c r="D615" s="10" t="s">
        <v>2424</v>
      </c>
      <c r="E615" s="10" t="s">
        <v>2425</v>
      </c>
      <c r="F615" s="10" t="s">
        <v>2426</v>
      </c>
      <c r="G615" s="10"/>
      <c r="H615" s="10"/>
      <c r="I615" s="11">
        <v>798.0</v>
      </c>
      <c r="J615" s="11">
        <v>1999.0</v>
      </c>
      <c r="K615" s="12">
        <f t="shared" si="1"/>
        <v>0.6008004002</v>
      </c>
      <c r="L615" s="13">
        <f>IFERROR(__xludf.DUMMYFUNCTION("GOOGLEFINANCE(""CURRENCY:INRBRL"") * I615
"),46.98757615524)</f>
        <v>46.98757616</v>
      </c>
      <c r="M615" s="9">
        <v>4.0</v>
      </c>
      <c r="N615" s="9">
        <v>68664.0</v>
      </c>
      <c r="O615" s="9" t="s">
        <v>2427</v>
      </c>
      <c r="P615" s="14" t="s">
        <v>2428</v>
      </c>
      <c r="U615" s="17"/>
      <c r="V615" s="18"/>
      <c r="W615" s="16"/>
      <c r="X615" s="16"/>
      <c r="Y615" s="16"/>
    </row>
    <row r="616">
      <c r="A616" s="9" t="s">
        <v>16</v>
      </c>
      <c r="B616" s="10" t="s">
        <v>17</v>
      </c>
      <c r="C616" s="10" t="s">
        <v>18</v>
      </c>
      <c r="D616" s="10" t="s">
        <v>19</v>
      </c>
      <c r="E616" s="10" t="s">
        <v>20</v>
      </c>
      <c r="F616" s="10" t="s">
        <v>21</v>
      </c>
      <c r="G616" s="10" t="s">
        <v>22</v>
      </c>
      <c r="H616" s="10" t="s">
        <v>23</v>
      </c>
      <c r="I616" s="11">
        <v>399.0</v>
      </c>
      <c r="J616" s="11">
        <v>1099.0</v>
      </c>
      <c r="K616" s="12">
        <f t="shared" si="1"/>
        <v>0.6369426752</v>
      </c>
      <c r="L616" s="13">
        <f>IFERROR(__xludf.DUMMYFUNCTION("GOOGLEFINANCE(""CURRENCY:INRBRL"") * I616
"),23.49378807762)</f>
        <v>23.49378808</v>
      </c>
      <c r="M616" s="9">
        <v>4.5</v>
      </c>
      <c r="N616" s="9">
        <v>24269.0</v>
      </c>
      <c r="O616" s="9" t="s">
        <v>24</v>
      </c>
      <c r="P616" s="14" t="s">
        <v>2429</v>
      </c>
      <c r="U616" s="17"/>
      <c r="V616" s="18"/>
      <c r="W616" s="16"/>
      <c r="X616" s="16"/>
      <c r="Y616" s="16"/>
    </row>
    <row r="617">
      <c r="A617" s="9" t="s">
        <v>2430</v>
      </c>
      <c r="B617" s="10" t="s">
        <v>2431</v>
      </c>
      <c r="C617" s="10" t="s">
        <v>2432</v>
      </c>
      <c r="D617" s="10" t="s">
        <v>77</v>
      </c>
      <c r="E617" s="10" t="s">
        <v>2433</v>
      </c>
      <c r="F617" s="10" t="s">
        <v>2434</v>
      </c>
      <c r="G617" s="10"/>
      <c r="H617" s="10"/>
      <c r="I617" s="11">
        <v>266.0</v>
      </c>
      <c r="J617" s="11">
        <v>315.0</v>
      </c>
      <c r="K617" s="12">
        <f t="shared" si="1"/>
        <v>0.1555555556</v>
      </c>
      <c r="L617" s="13">
        <f>IFERROR(__xludf.DUMMYFUNCTION("GOOGLEFINANCE(""CURRENCY:INRBRL"") * I617
"),15.66252538508)</f>
        <v>15.66252539</v>
      </c>
      <c r="M617" s="9">
        <v>4.51</v>
      </c>
      <c r="N617" s="9">
        <v>2803.0</v>
      </c>
      <c r="O617" s="9" t="s">
        <v>2435</v>
      </c>
      <c r="P617" s="14" t="s">
        <v>2436</v>
      </c>
      <c r="U617" s="17"/>
      <c r="V617" s="18"/>
      <c r="W617" s="16"/>
      <c r="X617" s="16"/>
      <c r="Y617" s="16"/>
    </row>
    <row r="618">
      <c r="A618" s="9" t="s">
        <v>2437</v>
      </c>
      <c r="B618" s="10" t="s">
        <v>2438</v>
      </c>
      <c r="C618" s="10" t="s">
        <v>2439</v>
      </c>
      <c r="D618" s="10" t="s">
        <v>2440</v>
      </c>
      <c r="E618" s="10" t="s">
        <v>2441</v>
      </c>
      <c r="F618" s="10" t="s">
        <v>2442</v>
      </c>
      <c r="G618" s="10" t="s">
        <v>2443</v>
      </c>
      <c r="H618" s="10" t="s">
        <v>2444</v>
      </c>
      <c r="I618" s="11">
        <v>50.0</v>
      </c>
      <c r="J618" s="11">
        <v>50.0</v>
      </c>
      <c r="K618" s="12">
        <f t="shared" si="1"/>
        <v>0</v>
      </c>
      <c r="L618" s="13">
        <f>IFERROR(__xludf.DUMMYFUNCTION("GOOGLEFINANCE(""CURRENCY:INRBRL"") * I618
"),2.944083719)</f>
        <v>2.944083719</v>
      </c>
      <c r="M618" s="9">
        <v>4.5</v>
      </c>
      <c r="N618" s="9">
        <v>5792.0</v>
      </c>
      <c r="O618" s="9" t="s">
        <v>2445</v>
      </c>
      <c r="P618" s="14" t="s">
        <v>2446</v>
      </c>
      <c r="U618" s="17"/>
      <c r="V618" s="18"/>
      <c r="W618" s="16"/>
      <c r="X618" s="16"/>
      <c r="Y618" s="16"/>
    </row>
    <row r="619">
      <c r="A619" s="9" t="s">
        <v>2447</v>
      </c>
      <c r="B619" s="10" t="s">
        <v>2448</v>
      </c>
      <c r="C619" s="10" t="s">
        <v>2449</v>
      </c>
      <c r="D619" s="10" t="s">
        <v>2450</v>
      </c>
      <c r="E619" s="10" t="s">
        <v>2451</v>
      </c>
      <c r="F619" s="10" t="s">
        <v>2452</v>
      </c>
      <c r="G619" s="10" t="s">
        <v>2453</v>
      </c>
      <c r="H619" s="10"/>
      <c r="I619" s="11">
        <v>130.0</v>
      </c>
      <c r="J619" s="11">
        <v>165.0</v>
      </c>
      <c r="K619" s="12">
        <f t="shared" si="1"/>
        <v>0.2121212121</v>
      </c>
      <c r="L619" s="13">
        <f>IFERROR(__xludf.DUMMYFUNCTION("GOOGLEFINANCE(""CURRENCY:INRBRL"") * I619
"),7.654617669399999)</f>
        <v>7.654617669</v>
      </c>
      <c r="M619" s="9">
        <v>4.52</v>
      </c>
      <c r="N619" s="9">
        <v>14778.0</v>
      </c>
      <c r="O619" s="9" t="s">
        <v>2454</v>
      </c>
      <c r="P619" s="14" t="s">
        <v>2455</v>
      </c>
      <c r="U619" s="17"/>
      <c r="V619" s="18"/>
      <c r="W619" s="16"/>
      <c r="X619" s="16"/>
      <c r="Y619" s="16"/>
    </row>
    <row r="620">
      <c r="A620" s="9" t="s">
        <v>2456</v>
      </c>
      <c r="B620" s="10" t="s">
        <v>2457</v>
      </c>
      <c r="C620" s="10" t="s">
        <v>1454</v>
      </c>
      <c r="D620" s="10" t="s">
        <v>77</v>
      </c>
      <c r="E620" s="10" t="s">
        <v>1455</v>
      </c>
      <c r="F620" s="10" t="s">
        <v>1456</v>
      </c>
      <c r="G620" s="10" t="s">
        <v>1457</v>
      </c>
      <c r="H620" s="10"/>
      <c r="I620" s="11">
        <v>449.0</v>
      </c>
      <c r="J620" s="11">
        <v>1299.0</v>
      </c>
      <c r="K620" s="12">
        <f t="shared" si="1"/>
        <v>0.6543494996</v>
      </c>
      <c r="L620" s="13">
        <f>IFERROR(__xludf.DUMMYFUNCTION("GOOGLEFINANCE(""CURRENCY:INRBRL"") * I620
"),26.437871796619998)</f>
        <v>26.4378718</v>
      </c>
      <c r="M620" s="9">
        <v>4.49</v>
      </c>
      <c r="N620" s="9">
        <v>9177.0</v>
      </c>
      <c r="O620" s="9" t="s">
        <v>2458</v>
      </c>
      <c r="P620" s="14" t="s">
        <v>2459</v>
      </c>
      <c r="U620" s="17"/>
      <c r="V620" s="18"/>
      <c r="W620" s="16"/>
      <c r="X620" s="16"/>
      <c r="Y620" s="16"/>
    </row>
    <row r="621">
      <c r="A621" s="9" t="s">
        <v>1568</v>
      </c>
      <c r="B621" s="10" t="s">
        <v>1569</v>
      </c>
      <c r="C621" s="10" t="s">
        <v>1388</v>
      </c>
      <c r="D621" s="10" t="s">
        <v>77</v>
      </c>
      <c r="E621" s="10" t="s">
        <v>1389</v>
      </c>
      <c r="F621" s="10" t="s">
        <v>1390</v>
      </c>
      <c r="G621" s="10"/>
      <c r="H621" s="10"/>
      <c r="I621" s="11">
        <v>3999.0</v>
      </c>
      <c r="J621" s="11">
        <v>16999.0</v>
      </c>
      <c r="K621" s="12">
        <f t="shared" si="1"/>
        <v>0.7647508677</v>
      </c>
      <c r="L621" s="13">
        <f>IFERROR(__xludf.DUMMYFUNCTION("GOOGLEFINANCE(""CURRENCY:INRBRL"") * I621
"),235.46781584561998)</f>
        <v>235.4678158</v>
      </c>
      <c r="M621" s="9">
        <v>4.5</v>
      </c>
      <c r="N621" s="9">
        <v>17162.0</v>
      </c>
      <c r="O621" s="9" t="s">
        <v>1570</v>
      </c>
      <c r="P621" s="14" t="s">
        <v>2460</v>
      </c>
      <c r="U621" s="17"/>
      <c r="V621" s="18"/>
      <c r="W621" s="16"/>
      <c r="X621" s="16"/>
      <c r="Y621" s="16"/>
    </row>
    <row r="622">
      <c r="A622" s="9" t="s">
        <v>2461</v>
      </c>
      <c r="B622" s="10" t="s">
        <v>2462</v>
      </c>
      <c r="C622" s="10" t="s">
        <v>1454</v>
      </c>
      <c r="D622" s="10" t="s">
        <v>77</v>
      </c>
      <c r="E622" s="10" t="s">
        <v>1455</v>
      </c>
      <c r="F622" s="10" t="s">
        <v>1456</v>
      </c>
      <c r="G622" s="10" t="s">
        <v>1457</v>
      </c>
      <c r="H622" s="10"/>
      <c r="I622" s="11">
        <v>399.0</v>
      </c>
      <c r="J622" s="11">
        <v>1299.0</v>
      </c>
      <c r="K622" s="12">
        <f t="shared" si="1"/>
        <v>0.6928406467</v>
      </c>
      <c r="L622" s="13">
        <f>IFERROR(__xludf.DUMMYFUNCTION("GOOGLEFINANCE(""CURRENCY:INRBRL"") * I622
"),23.49378807762)</f>
        <v>23.49378808</v>
      </c>
      <c r="M622" s="9">
        <v>4.5</v>
      </c>
      <c r="N622" s="9">
        <v>206.0</v>
      </c>
      <c r="O622" s="9" t="s">
        <v>2463</v>
      </c>
      <c r="P622" s="14" t="s">
        <v>2464</v>
      </c>
      <c r="U622" s="17"/>
      <c r="V622" s="18"/>
      <c r="W622" s="16"/>
      <c r="X622" s="16"/>
      <c r="Y622" s="16"/>
    </row>
    <row r="623">
      <c r="A623" s="9" t="s">
        <v>2465</v>
      </c>
      <c r="B623" s="10" t="s">
        <v>2466</v>
      </c>
      <c r="C623" s="10" t="s">
        <v>2467</v>
      </c>
      <c r="D623" s="10" t="s">
        <v>19</v>
      </c>
      <c r="E623" s="10" t="s">
        <v>20</v>
      </c>
      <c r="F623" s="10" t="s">
        <v>2342</v>
      </c>
      <c r="G623" s="10" t="s">
        <v>2468</v>
      </c>
      <c r="H623" s="10"/>
      <c r="I623" s="11">
        <v>1399.0</v>
      </c>
      <c r="J623" s="11">
        <v>2498.0</v>
      </c>
      <c r="K623" s="12">
        <f t="shared" si="1"/>
        <v>0.4399519616</v>
      </c>
      <c r="L623" s="13">
        <f>IFERROR(__xludf.DUMMYFUNCTION("GOOGLEFINANCE(""CURRENCY:INRBRL"") * I623
"),82.37546245762)</f>
        <v>82.37546246</v>
      </c>
      <c r="M623" s="9">
        <v>4.5</v>
      </c>
      <c r="N623" s="9">
        <v>33717.0</v>
      </c>
      <c r="O623" s="9" t="s">
        <v>2469</v>
      </c>
      <c r="P623" s="14" t="s">
        <v>2470</v>
      </c>
      <c r="U623" s="17"/>
      <c r="V623" s="18"/>
      <c r="W623" s="16"/>
      <c r="X623" s="16"/>
      <c r="Y623" s="16"/>
    </row>
    <row r="624">
      <c r="A624" s="9" t="s">
        <v>26</v>
      </c>
      <c r="B624" s="10" t="s">
        <v>27</v>
      </c>
      <c r="C624" s="10" t="s">
        <v>18</v>
      </c>
      <c r="D624" s="10" t="s">
        <v>19</v>
      </c>
      <c r="E624" s="10" t="s">
        <v>20</v>
      </c>
      <c r="F624" s="10" t="s">
        <v>21</v>
      </c>
      <c r="G624" s="10" t="s">
        <v>22</v>
      </c>
      <c r="H624" s="10" t="s">
        <v>23</v>
      </c>
      <c r="I624" s="11">
        <v>199.0</v>
      </c>
      <c r="J624" s="11">
        <v>349.0</v>
      </c>
      <c r="K624" s="12">
        <f t="shared" si="1"/>
        <v>0.4297994269</v>
      </c>
      <c r="L624" s="13">
        <f>IFERROR(__xludf.DUMMYFUNCTION("GOOGLEFINANCE(""CURRENCY:INRBRL"") * I624
"),11.71745320162)</f>
        <v>11.7174532</v>
      </c>
      <c r="M624" s="9">
        <v>4.0</v>
      </c>
      <c r="N624" s="9">
        <v>43994.0</v>
      </c>
      <c r="O624" s="9" t="s">
        <v>28</v>
      </c>
      <c r="P624" s="14" t="s">
        <v>2471</v>
      </c>
      <c r="U624" s="17"/>
      <c r="V624" s="18"/>
      <c r="W624" s="16"/>
      <c r="X624" s="16"/>
      <c r="Y624" s="16"/>
    </row>
    <row r="625">
      <c r="A625" s="9" t="s">
        <v>30</v>
      </c>
      <c r="B625" s="10" t="s">
        <v>31</v>
      </c>
      <c r="C625" s="10" t="s">
        <v>18</v>
      </c>
      <c r="D625" s="10" t="s">
        <v>19</v>
      </c>
      <c r="E625" s="10" t="s">
        <v>20</v>
      </c>
      <c r="F625" s="10" t="s">
        <v>21</v>
      </c>
      <c r="G625" s="10" t="s">
        <v>22</v>
      </c>
      <c r="H625" s="10" t="s">
        <v>23</v>
      </c>
      <c r="I625" s="11">
        <v>199.0</v>
      </c>
      <c r="J625" s="11">
        <v>999.0</v>
      </c>
      <c r="K625" s="12">
        <f t="shared" si="1"/>
        <v>0.8008008008</v>
      </c>
      <c r="L625" s="13">
        <f>IFERROR(__xludf.DUMMYFUNCTION("GOOGLEFINANCE(""CURRENCY:INRBRL"") * I625
"),11.71745320162)</f>
        <v>11.7174532</v>
      </c>
      <c r="M625" s="9">
        <v>4.52</v>
      </c>
      <c r="N625" s="9">
        <v>7928.0</v>
      </c>
      <c r="O625" s="9" t="s">
        <v>32</v>
      </c>
      <c r="P625" s="14" t="s">
        <v>2472</v>
      </c>
      <c r="U625" s="17"/>
      <c r="V625" s="18"/>
      <c r="W625" s="16"/>
      <c r="X625" s="16"/>
      <c r="Y625" s="16"/>
    </row>
    <row r="626">
      <c r="A626" s="9" t="s">
        <v>1572</v>
      </c>
      <c r="B626" s="10" t="s">
        <v>1573</v>
      </c>
      <c r="C626" s="10" t="s">
        <v>1388</v>
      </c>
      <c r="D626" s="10" t="s">
        <v>77</v>
      </c>
      <c r="E626" s="10" t="s">
        <v>1389</v>
      </c>
      <c r="F626" s="10" t="s">
        <v>1390</v>
      </c>
      <c r="G626" s="10"/>
      <c r="H626" s="10"/>
      <c r="I626" s="11">
        <v>2998.0</v>
      </c>
      <c r="J626" s="11">
        <v>5999.0</v>
      </c>
      <c r="K626" s="12">
        <f t="shared" si="1"/>
        <v>0.5002500417</v>
      </c>
      <c r="L626" s="13">
        <f>IFERROR(__xludf.DUMMYFUNCTION("GOOGLEFINANCE(""CURRENCY:INRBRL"") * I626
"),176.52725979124)</f>
        <v>176.5272598</v>
      </c>
      <c r="M626" s="9">
        <v>4.49</v>
      </c>
      <c r="N626" s="9">
        <v>5179.0</v>
      </c>
      <c r="O626" s="9" t="s">
        <v>1574</v>
      </c>
      <c r="P626" s="14" t="s">
        <v>2473</v>
      </c>
      <c r="U626" s="17"/>
      <c r="V626" s="18"/>
      <c r="W626" s="16"/>
      <c r="X626" s="16"/>
      <c r="Y626" s="16"/>
    </row>
    <row r="627">
      <c r="A627" s="9" t="s">
        <v>2474</v>
      </c>
      <c r="B627" s="10" t="s">
        <v>2475</v>
      </c>
      <c r="C627" s="10" t="s">
        <v>2476</v>
      </c>
      <c r="D627" s="10" t="s">
        <v>19</v>
      </c>
      <c r="E627" s="10" t="s">
        <v>2335</v>
      </c>
      <c r="F627" s="10" t="s">
        <v>2477</v>
      </c>
      <c r="G627" s="10"/>
      <c r="H627" s="10"/>
      <c r="I627" s="11">
        <v>4098.0</v>
      </c>
      <c r="J627" s="11">
        <v>4999.0</v>
      </c>
      <c r="K627" s="12">
        <f t="shared" si="1"/>
        <v>0.1802360472</v>
      </c>
      <c r="L627" s="13">
        <f>IFERROR(__xludf.DUMMYFUNCTION("GOOGLEFINANCE(""CURRENCY:INRBRL"") * I627
"),241.29710160924)</f>
        <v>241.2971016</v>
      </c>
      <c r="M627" s="9">
        <v>4.51</v>
      </c>
      <c r="N627" s="9">
        <v>5081.0</v>
      </c>
      <c r="O627" s="9" t="s">
        <v>2478</v>
      </c>
      <c r="P627" s="14" t="s">
        <v>2479</v>
      </c>
      <c r="U627" s="17"/>
      <c r="V627" s="18"/>
      <c r="W627" s="16"/>
      <c r="X627" s="16"/>
      <c r="Y627" s="16"/>
    </row>
    <row r="628">
      <c r="A628" s="9" t="s">
        <v>2480</v>
      </c>
      <c r="B628" s="10" t="s">
        <v>2481</v>
      </c>
      <c r="C628" s="10" t="s">
        <v>2482</v>
      </c>
      <c r="D628" s="10" t="s">
        <v>77</v>
      </c>
      <c r="E628" s="10" t="s">
        <v>2483</v>
      </c>
      <c r="F628" s="10" t="s">
        <v>2484</v>
      </c>
      <c r="G628" s="10"/>
      <c r="H628" s="10"/>
      <c r="I628" s="11">
        <v>499.0</v>
      </c>
      <c r="J628" s="11">
        <v>1999.0</v>
      </c>
      <c r="K628" s="12">
        <f t="shared" si="1"/>
        <v>0.7503751876</v>
      </c>
      <c r="L628" s="13">
        <f>IFERROR(__xludf.DUMMYFUNCTION("GOOGLEFINANCE(""CURRENCY:INRBRL"") * I628
"),29.38195551562)</f>
        <v>29.38195552</v>
      </c>
      <c r="M628" s="9">
        <v>4.51</v>
      </c>
      <c r="N628" s="9">
        <v>3369.0</v>
      </c>
      <c r="O628" s="9" t="s">
        <v>2485</v>
      </c>
      <c r="P628" s="14" t="s">
        <v>2486</v>
      </c>
      <c r="U628" s="17"/>
      <c r="V628" s="18"/>
      <c r="W628" s="16"/>
      <c r="X628" s="16"/>
      <c r="Y628" s="16"/>
    </row>
    <row r="629">
      <c r="A629" s="9" t="s">
        <v>2487</v>
      </c>
      <c r="B629" s="10" t="s">
        <v>2488</v>
      </c>
      <c r="C629" s="10" t="s">
        <v>2341</v>
      </c>
      <c r="D629" s="10" t="s">
        <v>19</v>
      </c>
      <c r="E629" s="10" t="s">
        <v>20</v>
      </c>
      <c r="F629" s="10" t="s">
        <v>2342</v>
      </c>
      <c r="G629" s="10" t="s">
        <v>2343</v>
      </c>
      <c r="H629" s="10"/>
      <c r="I629" s="11">
        <v>299.0</v>
      </c>
      <c r="J629" s="11">
        <v>449.0</v>
      </c>
      <c r="K629" s="12">
        <f t="shared" si="1"/>
        <v>0.3340757238</v>
      </c>
      <c r="L629" s="13">
        <f>IFERROR(__xludf.DUMMYFUNCTION("GOOGLEFINANCE(""CURRENCY:INRBRL"") * I629
"),17.60562063962)</f>
        <v>17.60562064</v>
      </c>
      <c r="M629" s="9">
        <v>4.5</v>
      </c>
      <c r="N629" s="9">
        <v>11827.0</v>
      </c>
      <c r="O629" s="9" t="s">
        <v>2489</v>
      </c>
      <c r="P629" s="14" t="s">
        <v>2490</v>
      </c>
      <c r="U629" s="17"/>
      <c r="V629" s="18"/>
      <c r="W629" s="16"/>
      <c r="X629" s="16"/>
      <c r="Y629" s="16"/>
    </row>
    <row r="630">
      <c r="A630" s="9" t="s">
        <v>34</v>
      </c>
      <c r="B630" s="10" t="s">
        <v>35</v>
      </c>
      <c r="C630" s="10" t="s">
        <v>18</v>
      </c>
      <c r="D630" s="10" t="s">
        <v>19</v>
      </c>
      <c r="E630" s="10" t="s">
        <v>20</v>
      </c>
      <c r="F630" s="10" t="s">
        <v>21</v>
      </c>
      <c r="G630" s="10" t="s">
        <v>22</v>
      </c>
      <c r="H630" s="10" t="s">
        <v>23</v>
      </c>
      <c r="I630" s="11">
        <v>329.0</v>
      </c>
      <c r="J630" s="11">
        <v>699.0</v>
      </c>
      <c r="K630" s="12">
        <f t="shared" si="1"/>
        <v>0.5293276109</v>
      </c>
      <c r="L630" s="13">
        <f>IFERROR(__xludf.DUMMYFUNCTION("GOOGLEFINANCE(""CURRENCY:INRBRL"") * I630
"),19.37207087102)</f>
        <v>19.37207087</v>
      </c>
      <c r="M630" s="9">
        <v>4.5</v>
      </c>
      <c r="N630" s="9">
        <v>94364.0</v>
      </c>
      <c r="O630" s="9" t="s">
        <v>36</v>
      </c>
      <c r="P630" s="14" t="s">
        <v>2491</v>
      </c>
      <c r="U630" s="17"/>
      <c r="V630" s="18"/>
      <c r="W630" s="16"/>
      <c r="X630" s="16"/>
      <c r="Y630" s="16"/>
    </row>
    <row r="631">
      <c r="A631" s="9" t="s">
        <v>2492</v>
      </c>
      <c r="B631" s="10" t="s">
        <v>2493</v>
      </c>
      <c r="C631" s="10" t="s">
        <v>2467</v>
      </c>
      <c r="D631" s="10" t="s">
        <v>19</v>
      </c>
      <c r="E631" s="10" t="s">
        <v>20</v>
      </c>
      <c r="F631" s="10" t="s">
        <v>2342</v>
      </c>
      <c r="G631" s="10" t="s">
        <v>2468</v>
      </c>
      <c r="H631" s="10"/>
      <c r="I631" s="11">
        <v>699.0</v>
      </c>
      <c r="J631" s="11">
        <v>999.0</v>
      </c>
      <c r="K631" s="12">
        <f t="shared" si="1"/>
        <v>0.3003003003</v>
      </c>
      <c r="L631" s="13">
        <f>IFERROR(__xludf.DUMMYFUNCTION("GOOGLEFINANCE(""CURRENCY:INRBRL"") * I631
"),41.15829039162)</f>
        <v>41.15829039</v>
      </c>
      <c r="M631" s="9">
        <v>4.5</v>
      </c>
      <c r="N631" s="9">
        <v>15295.0</v>
      </c>
      <c r="O631" s="9" t="s">
        <v>2494</v>
      </c>
      <c r="P631" s="14" t="s">
        <v>2495</v>
      </c>
      <c r="U631" s="17"/>
      <c r="V631" s="18"/>
      <c r="W631" s="16"/>
      <c r="X631" s="16"/>
      <c r="Y631" s="16"/>
    </row>
    <row r="632">
      <c r="A632" s="9" t="s">
        <v>2496</v>
      </c>
      <c r="B632" s="10" t="s">
        <v>2497</v>
      </c>
      <c r="C632" s="10" t="s">
        <v>2498</v>
      </c>
      <c r="D632" s="10" t="s">
        <v>77</v>
      </c>
      <c r="E632" s="10" t="s">
        <v>2483</v>
      </c>
      <c r="F632" s="10" t="s">
        <v>79</v>
      </c>
      <c r="G632" s="10" t="s">
        <v>2499</v>
      </c>
      <c r="H632" s="10" t="s">
        <v>2500</v>
      </c>
      <c r="I632" s="11">
        <v>799.0</v>
      </c>
      <c r="J632" s="11">
        <v>3999.0</v>
      </c>
      <c r="K632" s="12">
        <f t="shared" si="1"/>
        <v>0.80020005</v>
      </c>
      <c r="L632" s="13">
        <f>IFERROR(__xludf.DUMMYFUNCTION("GOOGLEFINANCE(""CURRENCY:INRBRL"") * I632
"),47.046457829619996)</f>
        <v>47.04645783</v>
      </c>
      <c r="M632" s="9">
        <v>4.5</v>
      </c>
      <c r="N632" s="9">
        <v>27139.0</v>
      </c>
      <c r="O632" s="9" t="s">
        <v>2501</v>
      </c>
      <c r="P632" s="14" t="s">
        <v>2502</v>
      </c>
      <c r="U632" s="17"/>
      <c r="V632" s="18"/>
      <c r="W632" s="16"/>
      <c r="X632" s="16"/>
      <c r="Y632" s="16"/>
    </row>
    <row r="633">
      <c r="A633" s="9" t="s">
        <v>2503</v>
      </c>
      <c r="B633" s="10" t="s">
        <v>2504</v>
      </c>
      <c r="C633" s="10" t="s">
        <v>1454</v>
      </c>
      <c r="D633" s="10" t="s">
        <v>77</v>
      </c>
      <c r="E633" s="10" t="s">
        <v>1455</v>
      </c>
      <c r="F633" s="10" t="s">
        <v>1456</v>
      </c>
      <c r="G633" s="10" t="s">
        <v>1457</v>
      </c>
      <c r="H633" s="10"/>
      <c r="I633" s="11">
        <v>1399.0</v>
      </c>
      <c r="J633" s="11">
        <v>5499.0</v>
      </c>
      <c r="K633" s="12">
        <f t="shared" si="1"/>
        <v>0.7455901073</v>
      </c>
      <c r="L633" s="13">
        <f>IFERROR(__xludf.DUMMYFUNCTION("GOOGLEFINANCE(""CURRENCY:INRBRL"") * I633
"),82.37546245762)</f>
        <v>82.37546246</v>
      </c>
      <c r="M633" s="9">
        <v>4.52</v>
      </c>
      <c r="N633" s="9">
        <v>9504.0</v>
      </c>
      <c r="O633" s="9" t="s">
        <v>2505</v>
      </c>
      <c r="P633" s="14" t="s">
        <v>2506</v>
      </c>
      <c r="U633" s="17"/>
      <c r="V633" s="18"/>
      <c r="W633" s="16"/>
      <c r="X633" s="16"/>
      <c r="Y633" s="16"/>
    </row>
    <row r="634">
      <c r="A634" s="9" t="s">
        <v>38</v>
      </c>
      <c r="B634" s="10" t="s">
        <v>39</v>
      </c>
      <c r="C634" s="10" t="s">
        <v>18</v>
      </c>
      <c r="D634" s="10" t="s">
        <v>19</v>
      </c>
      <c r="E634" s="10" t="s">
        <v>20</v>
      </c>
      <c r="F634" s="10" t="s">
        <v>21</v>
      </c>
      <c r="G634" s="10" t="s">
        <v>22</v>
      </c>
      <c r="H634" s="10" t="s">
        <v>23</v>
      </c>
      <c r="I634" s="11">
        <v>154.0</v>
      </c>
      <c r="J634" s="11">
        <v>399.0</v>
      </c>
      <c r="K634" s="12">
        <f t="shared" si="1"/>
        <v>0.6140350877</v>
      </c>
      <c r="L634" s="13">
        <f>IFERROR(__xludf.DUMMYFUNCTION("GOOGLEFINANCE(""CURRENCY:INRBRL"") * I634
"),9.06777785452)</f>
        <v>9.067777855</v>
      </c>
      <c r="M634" s="9">
        <v>4.5</v>
      </c>
      <c r="N634" s="9">
        <v>16905.0</v>
      </c>
      <c r="O634" s="9" t="s">
        <v>40</v>
      </c>
      <c r="P634" s="14" t="s">
        <v>2507</v>
      </c>
      <c r="U634" s="17"/>
      <c r="V634" s="18"/>
      <c r="W634" s="16"/>
      <c r="X634" s="16"/>
      <c r="Y634" s="16"/>
    </row>
    <row r="635">
      <c r="A635" s="9" t="s">
        <v>2508</v>
      </c>
      <c r="B635" s="10" t="s">
        <v>2509</v>
      </c>
      <c r="C635" s="10" t="s">
        <v>2334</v>
      </c>
      <c r="D635" s="10" t="s">
        <v>19</v>
      </c>
      <c r="E635" s="10" t="s">
        <v>2335</v>
      </c>
      <c r="F635" s="10" t="s">
        <v>2336</v>
      </c>
      <c r="G635" s="10"/>
      <c r="H635" s="10"/>
      <c r="I635" s="11">
        <v>519.0</v>
      </c>
      <c r="J635" s="11">
        <v>1359.0</v>
      </c>
      <c r="K635" s="12">
        <f t="shared" si="1"/>
        <v>0.6181015453</v>
      </c>
      <c r="L635" s="13">
        <f>IFERROR(__xludf.DUMMYFUNCTION("GOOGLEFINANCE(""CURRENCY:INRBRL"") * I635
"),30.55958900322)</f>
        <v>30.559589</v>
      </c>
      <c r="M635" s="9">
        <v>4.5</v>
      </c>
      <c r="N635" s="9">
        <v>30058.0</v>
      </c>
      <c r="O635" s="9" t="s">
        <v>2510</v>
      </c>
      <c r="P635" s="14" t="s">
        <v>2511</v>
      </c>
      <c r="U635" s="17"/>
      <c r="V635" s="18"/>
      <c r="W635" s="16"/>
      <c r="X635" s="16"/>
      <c r="Y635" s="16"/>
    </row>
    <row r="636">
      <c r="A636" s="9" t="s">
        <v>1635</v>
      </c>
      <c r="B636" s="10" t="s">
        <v>1636</v>
      </c>
      <c r="C636" s="10" t="s">
        <v>1388</v>
      </c>
      <c r="D636" s="10" t="s">
        <v>77</v>
      </c>
      <c r="E636" s="10" t="s">
        <v>1389</v>
      </c>
      <c r="F636" s="10" t="s">
        <v>1390</v>
      </c>
      <c r="G636" s="10"/>
      <c r="H636" s="10"/>
      <c r="I636" s="11">
        <v>2299.0</v>
      </c>
      <c r="J636" s="11">
        <v>7990.0</v>
      </c>
      <c r="K636" s="12">
        <f t="shared" si="1"/>
        <v>0.7122653317</v>
      </c>
      <c r="L636" s="13">
        <f>IFERROR(__xludf.DUMMYFUNCTION("GOOGLEFINANCE(""CURRENCY:INRBRL"") * I636
"),135.36896939962)</f>
        <v>135.3689694</v>
      </c>
      <c r="M636" s="9">
        <v>4.5</v>
      </c>
      <c r="N636" s="9">
        <v>69619.0</v>
      </c>
      <c r="O636" s="9" t="s">
        <v>1637</v>
      </c>
      <c r="P636" s="14" t="s">
        <v>2512</v>
      </c>
      <c r="U636" s="17"/>
      <c r="V636" s="18"/>
      <c r="W636" s="16"/>
      <c r="X636" s="16"/>
      <c r="Y636" s="16"/>
    </row>
    <row r="637">
      <c r="A637" s="9" t="s">
        <v>1639</v>
      </c>
      <c r="B637" s="10" t="s">
        <v>1640</v>
      </c>
      <c r="C637" s="10" t="s">
        <v>1641</v>
      </c>
      <c r="D637" s="10" t="s">
        <v>77</v>
      </c>
      <c r="E637" s="10" t="s">
        <v>1404</v>
      </c>
      <c r="F637" s="10" t="s">
        <v>1405</v>
      </c>
      <c r="G637" s="10" t="s">
        <v>1599</v>
      </c>
      <c r="H637" s="10" t="s">
        <v>1642</v>
      </c>
      <c r="I637" s="11">
        <v>399.0</v>
      </c>
      <c r="J637" s="11">
        <v>1999.0</v>
      </c>
      <c r="K637" s="12">
        <f t="shared" si="1"/>
        <v>0.8004002001</v>
      </c>
      <c r="L637" s="13">
        <f>IFERROR(__xludf.DUMMYFUNCTION("GOOGLEFINANCE(""CURRENCY:INRBRL"") * I637
"),23.49378807762)</f>
        <v>23.49378808</v>
      </c>
      <c r="M637" s="9">
        <v>4.0</v>
      </c>
      <c r="N637" s="9">
        <v>3382.0</v>
      </c>
      <c r="O637" s="9" t="s">
        <v>1643</v>
      </c>
      <c r="P637" s="14" t="s">
        <v>2513</v>
      </c>
      <c r="U637" s="17"/>
      <c r="V637" s="18"/>
      <c r="W637" s="16"/>
      <c r="X637" s="16"/>
      <c r="Y637" s="16"/>
    </row>
    <row r="638">
      <c r="A638" s="9" t="s">
        <v>2514</v>
      </c>
      <c r="B638" s="10" t="s">
        <v>2515</v>
      </c>
      <c r="C638" s="10" t="s">
        <v>1454</v>
      </c>
      <c r="D638" s="10" t="s">
        <v>77</v>
      </c>
      <c r="E638" s="10" t="s">
        <v>1455</v>
      </c>
      <c r="F638" s="10" t="s">
        <v>1456</v>
      </c>
      <c r="G638" s="10" t="s">
        <v>1457</v>
      </c>
      <c r="H638" s="10"/>
      <c r="I638" s="11">
        <v>1499.0</v>
      </c>
      <c r="J638" s="11">
        <v>3999.0</v>
      </c>
      <c r="K638" s="12">
        <f t="shared" si="1"/>
        <v>0.6251562891</v>
      </c>
      <c r="L638" s="13">
        <f>IFERROR(__xludf.DUMMYFUNCTION("GOOGLEFINANCE(""CURRENCY:INRBRL"") * I638
"),88.26362989562)</f>
        <v>88.2636299</v>
      </c>
      <c r="M638" s="9">
        <v>4.49</v>
      </c>
      <c r="N638" s="9">
        <v>1090864.0</v>
      </c>
      <c r="O638" s="9" t="s">
        <v>2516</v>
      </c>
      <c r="P638" s="14" t="s">
        <v>2517</v>
      </c>
      <c r="U638" s="17"/>
      <c r="V638" s="18"/>
      <c r="W638" s="16"/>
      <c r="X638" s="16"/>
      <c r="Y638" s="16"/>
    </row>
    <row r="639">
      <c r="A639" s="9" t="s">
        <v>2518</v>
      </c>
      <c r="B639" s="10" t="s">
        <v>2519</v>
      </c>
      <c r="C639" s="10" t="s">
        <v>2520</v>
      </c>
      <c r="D639" s="10" t="s">
        <v>2440</v>
      </c>
      <c r="E639" s="10" t="s">
        <v>2521</v>
      </c>
      <c r="F639" s="10" t="s">
        <v>2522</v>
      </c>
      <c r="G639" s="10" t="s">
        <v>2523</v>
      </c>
      <c r="H639" s="10"/>
      <c r="I639" s="11">
        <v>1295.0</v>
      </c>
      <c r="J639" s="11">
        <v>1295.0</v>
      </c>
      <c r="K639" s="12">
        <f t="shared" si="1"/>
        <v>0</v>
      </c>
      <c r="L639" s="13">
        <f>IFERROR(__xludf.DUMMYFUNCTION("GOOGLEFINANCE(""CURRENCY:INRBRL"") * I639
"),76.25176832209999)</f>
        <v>76.25176832</v>
      </c>
      <c r="M639" s="9">
        <v>4.51</v>
      </c>
      <c r="N639" s="9">
        <v>576.0</v>
      </c>
      <c r="O639" s="9" t="s">
        <v>2524</v>
      </c>
      <c r="P639" s="14" t="s">
        <v>2525</v>
      </c>
      <c r="U639" s="17"/>
      <c r="V639" s="18"/>
      <c r="W639" s="16"/>
      <c r="X639" s="16"/>
      <c r="Y639" s="16"/>
    </row>
    <row r="640">
      <c r="A640" s="9" t="s">
        <v>2526</v>
      </c>
      <c r="B640" s="10" t="s">
        <v>2527</v>
      </c>
      <c r="C640" s="10" t="s">
        <v>2528</v>
      </c>
      <c r="D640" s="10" t="s">
        <v>19</v>
      </c>
      <c r="E640" s="10" t="s">
        <v>57</v>
      </c>
      <c r="F640" s="10" t="s">
        <v>2529</v>
      </c>
      <c r="G640" s="10"/>
      <c r="H640" s="10"/>
      <c r="I640" s="11">
        <v>1889.0</v>
      </c>
      <c r="J640" s="11">
        <v>5499.0</v>
      </c>
      <c r="K640" s="12">
        <f t="shared" si="1"/>
        <v>0.6564829969</v>
      </c>
      <c r="L640" s="13">
        <f>IFERROR(__xludf.DUMMYFUNCTION("GOOGLEFINANCE(""CURRENCY:INRBRL"") * I640
"),111.22748290382)</f>
        <v>111.2274829</v>
      </c>
      <c r="M640" s="9">
        <v>4.5</v>
      </c>
      <c r="N640" s="9">
        <v>49551.0</v>
      </c>
      <c r="O640" s="9" t="s">
        <v>2530</v>
      </c>
      <c r="P640" s="14" t="s">
        <v>2531</v>
      </c>
      <c r="U640" s="17"/>
      <c r="V640" s="18"/>
      <c r="W640" s="16"/>
      <c r="X640" s="16"/>
      <c r="Y640" s="16"/>
    </row>
    <row r="641">
      <c r="A641" s="9" t="s">
        <v>2532</v>
      </c>
      <c r="B641" s="10" t="s">
        <v>2533</v>
      </c>
      <c r="C641" s="10" t="s">
        <v>1454</v>
      </c>
      <c r="D641" s="10" t="s">
        <v>77</v>
      </c>
      <c r="E641" s="10" t="s">
        <v>1455</v>
      </c>
      <c r="F641" s="10" t="s">
        <v>1456</v>
      </c>
      <c r="G641" s="10" t="s">
        <v>1457</v>
      </c>
      <c r="H641" s="10"/>
      <c r="I641" s="11">
        <v>455.0</v>
      </c>
      <c r="J641" s="11">
        <v>1490.0</v>
      </c>
      <c r="K641" s="12">
        <f t="shared" si="1"/>
        <v>0.6946308725</v>
      </c>
      <c r="L641" s="13">
        <f>IFERROR(__xludf.DUMMYFUNCTION("GOOGLEFINANCE(""CURRENCY:INRBRL"") * I641
"),26.7911618429)</f>
        <v>26.79116184</v>
      </c>
      <c r="M641" s="9">
        <v>4.49</v>
      </c>
      <c r="N641" s="9">
        <v>161677.0</v>
      </c>
      <c r="O641" s="9" t="s">
        <v>2534</v>
      </c>
      <c r="P641" s="14" t="s">
        <v>2535</v>
      </c>
      <c r="U641" s="17"/>
      <c r="V641" s="18"/>
      <c r="W641" s="16"/>
      <c r="X641" s="16"/>
      <c r="Y641" s="16"/>
    </row>
    <row r="642">
      <c r="A642" s="9" t="s">
        <v>2536</v>
      </c>
      <c r="B642" s="10" t="s">
        <v>2537</v>
      </c>
      <c r="C642" s="10" t="s">
        <v>2538</v>
      </c>
      <c r="D642" s="10" t="s">
        <v>77</v>
      </c>
      <c r="E642" s="10" t="s">
        <v>2483</v>
      </c>
      <c r="F642" s="10" t="s">
        <v>79</v>
      </c>
      <c r="G642" s="10" t="s">
        <v>2499</v>
      </c>
      <c r="H642" s="10" t="s">
        <v>2539</v>
      </c>
      <c r="I642" s="11">
        <v>399.0</v>
      </c>
      <c r="J642" s="11">
        <v>995.0</v>
      </c>
      <c r="K642" s="12">
        <f t="shared" si="1"/>
        <v>0.5989949749</v>
      </c>
      <c r="L642" s="13">
        <f>IFERROR(__xludf.DUMMYFUNCTION("GOOGLEFINANCE(""CURRENCY:INRBRL"") * I642
"),23.49378807762)</f>
        <v>23.49378808</v>
      </c>
      <c r="M642" s="9">
        <v>4.52</v>
      </c>
      <c r="N642" s="9">
        <v>21372.0</v>
      </c>
      <c r="O642" s="9" t="s">
        <v>2540</v>
      </c>
      <c r="P642" s="14" t="s">
        <v>2541</v>
      </c>
      <c r="U642" s="17"/>
      <c r="V642" s="18"/>
      <c r="W642" s="16"/>
      <c r="X642" s="16"/>
      <c r="Y642" s="16"/>
    </row>
    <row r="643">
      <c r="A643" s="9" t="s">
        <v>1645</v>
      </c>
      <c r="B643" s="10" t="s">
        <v>1646</v>
      </c>
      <c r="C643" s="10" t="s">
        <v>1433</v>
      </c>
      <c r="D643" s="10" t="s">
        <v>77</v>
      </c>
      <c r="E643" s="10" t="s">
        <v>79</v>
      </c>
      <c r="F643" s="10" t="s">
        <v>1434</v>
      </c>
      <c r="G643" s="10" t="s">
        <v>1435</v>
      </c>
      <c r="H643" s="10"/>
      <c r="I643" s="11">
        <v>1059.0</v>
      </c>
      <c r="J643" s="11">
        <v>3999.0</v>
      </c>
      <c r="K643" s="12">
        <f t="shared" si="1"/>
        <v>0.7351837959</v>
      </c>
      <c r="L643" s="13">
        <f>IFERROR(__xludf.DUMMYFUNCTION("GOOGLEFINANCE(""CURRENCY:INRBRL"") * I643
"),62.35569316842)</f>
        <v>62.35569317</v>
      </c>
      <c r="M643" s="9">
        <v>4.5</v>
      </c>
      <c r="N643" s="9">
        <v>140035.0</v>
      </c>
      <c r="O643" s="9" t="s">
        <v>1647</v>
      </c>
      <c r="P643" s="14" t="s">
        <v>2542</v>
      </c>
      <c r="U643" s="17"/>
      <c r="V643" s="18"/>
      <c r="W643" s="16"/>
      <c r="X643" s="16"/>
      <c r="Y643" s="16"/>
    </row>
    <row r="644">
      <c r="A644" s="9" t="s">
        <v>42</v>
      </c>
      <c r="B644" s="10" t="s">
        <v>43</v>
      </c>
      <c r="C644" s="10" t="s">
        <v>18</v>
      </c>
      <c r="D644" s="10" t="s">
        <v>19</v>
      </c>
      <c r="E644" s="10" t="s">
        <v>20</v>
      </c>
      <c r="F644" s="10" t="s">
        <v>21</v>
      </c>
      <c r="G644" s="10" t="s">
        <v>22</v>
      </c>
      <c r="H644" s="10" t="s">
        <v>23</v>
      </c>
      <c r="I644" s="11">
        <v>149.0</v>
      </c>
      <c r="J644" s="11">
        <v>999.0</v>
      </c>
      <c r="K644" s="12">
        <f t="shared" si="1"/>
        <v>0.8508508509</v>
      </c>
      <c r="L644" s="13">
        <f>IFERROR(__xludf.DUMMYFUNCTION("GOOGLEFINANCE(""CURRENCY:INRBRL"") * I644
"),8.77336948262)</f>
        <v>8.773369483</v>
      </c>
      <c r="M644" s="9">
        <v>4.52</v>
      </c>
      <c r="N644" s="9">
        <v>2487.0</v>
      </c>
      <c r="O644" s="9" t="s">
        <v>44</v>
      </c>
      <c r="P644" s="14" t="s">
        <v>2543</v>
      </c>
      <c r="U644" s="17"/>
      <c r="V644" s="18"/>
      <c r="W644" s="16"/>
      <c r="X644" s="16"/>
      <c r="Y644" s="16"/>
    </row>
    <row r="645">
      <c r="A645" s="9" t="s">
        <v>2544</v>
      </c>
      <c r="B645" s="10" t="s">
        <v>2545</v>
      </c>
      <c r="C645" s="10" t="s">
        <v>2546</v>
      </c>
      <c r="D645" s="10" t="s">
        <v>19</v>
      </c>
      <c r="E645" s="10" t="s">
        <v>2547</v>
      </c>
      <c r="F645" s="10" t="s">
        <v>2548</v>
      </c>
      <c r="G645" s="10" t="s">
        <v>2549</v>
      </c>
      <c r="H645" s="10"/>
      <c r="I645" s="11">
        <v>717.0</v>
      </c>
      <c r="J645" s="11">
        <v>761.0</v>
      </c>
      <c r="K645" s="12">
        <f t="shared" si="1"/>
        <v>0.05781865966</v>
      </c>
      <c r="L645" s="13">
        <f>IFERROR(__xludf.DUMMYFUNCTION("GOOGLEFINANCE(""CURRENCY:INRBRL"") * I645
"),42.21816053046)</f>
        <v>42.21816053</v>
      </c>
      <c r="M645" s="9">
        <v>4.0</v>
      </c>
      <c r="N645" s="9">
        <v>7199.0</v>
      </c>
      <c r="O645" s="9" t="s">
        <v>2550</v>
      </c>
      <c r="P645" s="14" t="s">
        <v>2551</v>
      </c>
      <c r="U645" s="17"/>
      <c r="V645" s="18"/>
      <c r="W645" s="16"/>
      <c r="X645" s="16"/>
      <c r="Y645" s="16"/>
    </row>
    <row r="646">
      <c r="A646" s="9" t="s">
        <v>1684</v>
      </c>
      <c r="B646" s="10" t="s">
        <v>1685</v>
      </c>
      <c r="C646" s="10" t="s">
        <v>1686</v>
      </c>
      <c r="D646" s="10" t="s">
        <v>19</v>
      </c>
      <c r="E646" s="10" t="s">
        <v>20</v>
      </c>
      <c r="F646" s="10" t="s">
        <v>21</v>
      </c>
      <c r="G646" s="10" t="s">
        <v>1687</v>
      </c>
      <c r="H646" s="10"/>
      <c r="I646" s="11">
        <v>99.0</v>
      </c>
      <c r="J646" s="11">
        <v>999.0</v>
      </c>
      <c r="K646" s="12">
        <f t="shared" si="1"/>
        <v>0.9009009009</v>
      </c>
      <c r="L646" s="13">
        <f>IFERROR(__xludf.DUMMYFUNCTION("GOOGLEFINANCE(""CURRENCY:INRBRL"") * I646
"),5.82928576362)</f>
        <v>5.829285764</v>
      </c>
      <c r="M646" s="9">
        <v>4.0</v>
      </c>
      <c r="N646" s="9">
        <v>1396.0</v>
      </c>
      <c r="O646" s="9" t="s">
        <v>1688</v>
      </c>
      <c r="P646" s="14" t="s">
        <v>2552</v>
      </c>
      <c r="U646" s="17"/>
      <c r="V646" s="18"/>
      <c r="W646" s="16"/>
      <c r="X646" s="16"/>
      <c r="Y646" s="16"/>
    </row>
    <row r="647">
      <c r="A647" s="9" t="s">
        <v>2553</v>
      </c>
      <c r="B647" s="10" t="s">
        <v>2554</v>
      </c>
      <c r="C647" s="10" t="s">
        <v>2555</v>
      </c>
      <c r="D647" s="10" t="s">
        <v>19</v>
      </c>
      <c r="E647" s="10" t="s">
        <v>20</v>
      </c>
      <c r="F647" s="10" t="s">
        <v>2342</v>
      </c>
      <c r="G647" s="10" t="s">
        <v>2556</v>
      </c>
      <c r="H647" s="10" t="s">
        <v>2557</v>
      </c>
      <c r="I647" s="11">
        <v>39.0</v>
      </c>
      <c r="J647" s="11">
        <v>299.0</v>
      </c>
      <c r="K647" s="12">
        <f t="shared" si="1"/>
        <v>0.8695652174</v>
      </c>
      <c r="L647" s="13">
        <f>IFERROR(__xludf.DUMMYFUNCTION("GOOGLEFINANCE(""CURRENCY:INRBRL"") * I647
"),2.29638530082)</f>
        <v>2.296385301</v>
      </c>
      <c r="M647" s="9">
        <v>4.5</v>
      </c>
      <c r="N647" s="9">
        <v>15233.0</v>
      </c>
      <c r="O647" s="9" t="s">
        <v>2558</v>
      </c>
      <c r="P647" s="14" t="s">
        <v>2559</v>
      </c>
      <c r="U647" s="17"/>
      <c r="V647" s="18"/>
      <c r="W647" s="16"/>
      <c r="X647" s="16"/>
      <c r="Y647" s="16"/>
    </row>
    <row r="648">
      <c r="A648" s="9" t="s">
        <v>2560</v>
      </c>
      <c r="B648" s="10" t="s">
        <v>2561</v>
      </c>
      <c r="C648" s="10" t="s">
        <v>2334</v>
      </c>
      <c r="D648" s="10" t="s">
        <v>19</v>
      </c>
      <c r="E648" s="10" t="s">
        <v>2335</v>
      </c>
      <c r="F648" s="10" t="s">
        <v>2336</v>
      </c>
      <c r="G648" s="10"/>
      <c r="H648" s="10"/>
      <c r="I648" s="11">
        <v>889.0</v>
      </c>
      <c r="J648" s="11">
        <v>2499.0</v>
      </c>
      <c r="K648" s="12">
        <f t="shared" si="1"/>
        <v>0.6442577031</v>
      </c>
      <c r="L648" s="13">
        <f>IFERROR(__xludf.DUMMYFUNCTION("GOOGLEFINANCE(""CURRENCY:INRBRL"") * I648
"),52.34580852382)</f>
        <v>52.34580852</v>
      </c>
      <c r="M648" s="9">
        <v>4.5</v>
      </c>
      <c r="N648" s="9">
        <v>55747.0</v>
      </c>
      <c r="O648" s="9" t="s">
        <v>2562</v>
      </c>
      <c r="P648" s="14" t="s">
        <v>2563</v>
      </c>
      <c r="U648" s="17"/>
      <c r="V648" s="18"/>
      <c r="W648" s="16"/>
      <c r="X648" s="16"/>
      <c r="Y648" s="16"/>
    </row>
    <row r="649">
      <c r="A649" s="9" t="s">
        <v>2564</v>
      </c>
      <c r="B649" s="10" t="s">
        <v>2565</v>
      </c>
      <c r="C649" s="10" t="s">
        <v>1454</v>
      </c>
      <c r="D649" s="10" t="s">
        <v>77</v>
      </c>
      <c r="E649" s="10" t="s">
        <v>1455</v>
      </c>
      <c r="F649" s="10" t="s">
        <v>1456</v>
      </c>
      <c r="G649" s="10" t="s">
        <v>1457</v>
      </c>
      <c r="H649" s="10"/>
      <c r="I649" s="11">
        <v>1199.0</v>
      </c>
      <c r="J649" s="11">
        <v>4999.0</v>
      </c>
      <c r="K649" s="12">
        <f t="shared" si="1"/>
        <v>0.7601520304</v>
      </c>
      <c r="L649" s="13">
        <f>IFERROR(__xludf.DUMMYFUNCTION("GOOGLEFINANCE(""CURRENCY:INRBRL"") * I649
"),70.59912758162)</f>
        <v>70.59912758</v>
      </c>
      <c r="M649" s="9">
        <v>4.51</v>
      </c>
      <c r="N649" s="9">
        <v>14961.0</v>
      </c>
      <c r="O649" s="9" t="s">
        <v>2566</v>
      </c>
      <c r="P649" s="14" t="s">
        <v>2567</v>
      </c>
      <c r="U649" s="17"/>
      <c r="V649" s="18"/>
      <c r="W649" s="16"/>
      <c r="X649" s="16"/>
      <c r="Y649" s="16"/>
    </row>
    <row r="650">
      <c r="A650" s="9" t="s">
        <v>2568</v>
      </c>
      <c r="B650" s="10" t="s">
        <v>2569</v>
      </c>
      <c r="C650" s="10" t="s">
        <v>2341</v>
      </c>
      <c r="D650" s="10" t="s">
        <v>19</v>
      </c>
      <c r="E650" s="10" t="s">
        <v>20</v>
      </c>
      <c r="F650" s="10" t="s">
        <v>2342</v>
      </c>
      <c r="G650" s="10" t="s">
        <v>2343</v>
      </c>
      <c r="H650" s="10"/>
      <c r="I650" s="11">
        <v>569.0</v>
      </c>
      <c r="J650" s="11">
        <v>1299.0</v>
      </c>
      <c r="K650" s="12">
        <f t="shared" si="1"/>
        <v>0.5619707467</v>
      </c>
      <c r="L650" s="13">
        <f>IFERROR(__xludf.DUMMYFUNCTION("GOOGLEFINANCE(""CURRENCY:INRBRL"") * I650
"),33.503672722219996)</f>
        <v>33.50367272</v>
      </c>
      <c r="M650" s="9">
        <v>4.5</v>
      </c>
      <c r="N650" s="9">
        <v>9275.0</v>
      </c>
      <c r="O650" s="9" t="s">
        <v>2570</v>
      </c>
      <c r="P650" s="14" t="s">
        <v>2571</v>
      </c>
      <c r="U650" s="17"/>
      <c r="V650" s="18"/>
      <c r="W650" s="16"/>
      <c r="X650" s="16"/>
      <c r="Y650" s="16"/>
    </row>
    <row r="651">
      <c r="A651" s="9" t="s">
        <v>2572</v>
      </c>
      <c r="B651" s="10" t="s">
        <v>2573</v>
      </c>
      <c r="C651" s="10" t="s">
        <v>1454</v>
      </c>
      <c r="D651" s="10" t="s">
        <v>77</v>
      </c>
      <c r="E651" s="10" t="s">
        <v>1455</v>
      </c>
      <c r="F651" s="10" t="s">
        <v>1456</v>
      </c>
      <c r="G651" s="10" t="s">
        <v>1457</v>
      </c>
      <c r="H651" s="10"/>
      <c r="I651" s="11">
        <v>1499.0</v>
      </c>
      <c r="J651" s="11">
        <v>8999.0</v>
      </c>
      <c r="K651" s="12">
        <f t="shared" si="1"/>
        <v>0.8334259362</v>
      </c>
      <c r="L651" s="13">
        <f>IFERROR(__xludf.DUMMYFUNCTION("GOOGLEFINANCE(""CURRENCY:INRBRL"") * I651
"),88.26362989562)</f>
        <v>88.2636299</v>
      </c>
      <c r="M651" s="9">
        <v>4.51</v>
      </c>
      <c r="N651" s="9">
        <v>28324.0</v>
      </c>
      <c r="O651" s="9" t="s">
        <v>2574</v>
      </c>
      <c r="P651" s="14" t="s">
        <v>2575</v>
      </c>
      <c r="U651" s="17"/>
      <c r="V651" s="18"/>
      <c r="W651" s="16"/>
      <c r="X651" s="16"/>
      <c r="Y651" s="16"/>
    </row>
    <row r="652">
      <c r="A652" s="9" t="s">
        <v>2576</v>
      </c>
      <c r="B652" s="10" t="s">
        <v>2577</v>
      </c>
      <c r="C652" s="10" t="s">
        <v>2432</v>
      </c>
      <c r="D652" s="10" t="s">
        <v>77</v>
      </c>
      <c r="E652" s="10" t="s">
        <v>2433</v>
      </c>
      <c r="F652" s="10" t="s">
        <v>2434</v>
      </c>
      <c r="G652" s="10"/>
      <c r="H652" s="10"/>
      <c r="I652" s="11">
        <v>149.0</v>
      </c>
      <c r="J652" s="11">
        <v>180.0</v>
      </c>
      <c r="K652" s="12">
        <f t="shared" si="1"/>
        <v>0.1722222222</v>
      </c>
      <c r="L652" s="13">
        <f>IFERROR(__xludf.DUMMYFUNCTION("GOOGLEFINANCE(""CURRENCY:INRBRL"") * I652
"),8.77336948262)</f>
        <v>8.773369483</v>
      </c>
      <c r="M652" s="9">
        <v>4.5</v>
      </c>
      <c r="N652" s="9">
        <v>644.0</v>
      </c>
      <c r="O652" s="9" t="s">
        <v>2578</v>
      </c>
      <c r="P652" s="14" t="s">
        <v>2579</v>
      </c>
      <c r="U652" s="17"/>
      <c r="V652" s="18"/>
      <c r="W652" s="16"/>
      <c r="X652" s="16"/>
      <c r="Y652" s="16"/>
    </row>
    <row r="653">
      <c r="A653" s="9" t="s">
        <v>2580</v>
      </c>
      <c r="B653" s="10" t="s">
        <v>2581</v>
      </c>
      <c r="C653" s="10" t="s">
        <v>2582</v>
      </c>
      <c r="D653" s="10" t="s">
        <v>19</v>
      </c>
      <c r="E653" s="10" t="s">
        <v>20</v>
      </c>
      <c r="F653" s="10" t="s">
        <v>2583</v>
      </c>
      <c r="G653" s="10" t="s">
        <v>2584</v>
      </c>
      <c r="H653" s="10"/>
      <c r="I653" s="11">
        <v>399.0</v>
      </c>
      <c r="J653" s="11">
        <v>549.0</v>
      </c>
      <c r="K653" s="12">
        <f t="shared" si="1"/>
        <v>0.2732240437</v>
      </c>
      <c r="L653" s="13">
        <f>IFERROR(__xludf.DUMMYFUNCTION("GOOGLEFINANCE(""CURRENCY:INRBRL"") * I653
"),23.49378807762)</f>
        <v>23.49378808</v>
      </c>
      <c r="M653" s="9">
        <v>4.5</v>
      </c>
      <c r="N653" s="9">
        <v>18139.0</v>
      </c>
      <c r="O653" s="9" t="s">
        <v>2585</v>
      </c>
      <c r="P653" s="14" t="s">
        <v>2586</v>
      </c>
      <c r="U653" s="17"/>
      <c r="V653" s="18"/>
      <c r="W653" s="16"/>
      <c r="X653" s="16"/>
      <c r="Y653" s="16"/>
    </row>
    <row r="654">
      <c r="A654" s="9" t="s">
        <v>2587</v>
      </c>
      <c r="B654" s="10" t="s">
        <v>2588</v>
      </c>
      <c r="C654" s="10" t="s">
        <v>2589</v>
      </c>
      <c r="D654" s="10" t="s">
        <v>2450</v>
      </c>
      <c r="E654" s="10" t="s">
        <v>2451</v>
      </c>
      <c r="F654" s="10" t="s">
        <v>2590</v>
      </c>
      <c r="G654" s="10" t="s">
        <v>2591</v>
      </c>
      <c r="H654" s="10"/>
      <c r="I654" s="11">
        <v>191.0</v>
      </c>
      <c r="J654" s="11">
        <v>225.0</v>
      </c>
      <c r="K654" s="12">
        <f t="shared" si="1"/>
        <v>0.1511111111</v>
      </c>
      <c r="L654" s="13">
        <f>IFERROR(__xludf.DUMMYFUNCTION("GOOGLEFINANCE(""CURRENCY:INRBRL"") * I654
"),11.24639980658)</f>
        <v>11.24639981</v>
      </c>
      <c r="M654" s="9">
        <v>4.5</v>
      </c>
      <c r="N654" s="9">
        <v>7203.0</v>
      </c>
      <c r="O654" s="9" t="s">
        <v>2592</v>
      </c>
      <c r="P654" s="14" t="s">
        <v>2593</v>
      </c>
      <c r="U654" s="17"/>
      <c r="V654" s="18"/>
      <c r="W654" s="16"/>
      <c r="X654" s="16"/>
      <c r="Y654" s="16"/>
    </row>
    <row r="655">
      <c r="A655" s="9" t="s">
        <v>2594</v>
      </c>
      <c r="B655" s="10" t="s">
        <v>2595</v>
      </c>
      <c r="C655" s="10" t="s">
        <v>2596</v>
      </c>
      <c r="D655" s="10" t="s">
        <v>19</v>
      </c>
      <c r="E655" s="10" t="s">
        <v>20</v>
      </c>
      <c r="F655" s="10" t="s">
        <v>2342</v>
      </c>
      <c r="G655" s="10" t="s">
        <v>2556</v>
      </c>
      <c r="H655" s="10" t="s">
        <v>2597</v>
      </c>
      <c r="I655" s="11">
        <v>129.0</v>
      </c>
      <c r="J655" s="11">
        <v>999.0</v>
      </c>
      <c r="K655" s="12">
        <f t="shared" si="1"/>
        <v>0.8708708709</v>
      </c>
      <c r="L655" s="13">
        <f>IFERROR(__xludf.DUMMYFUNCTION("GOOGLEFINANCE(""CURRENCY:INRBRL"") * I655
"),7.59573599502)</f>
        <v>7.595735995</v>
      </c>
      <c r="M655" s="9">
        <v>4.5</v>
      </c>
      <c r="N655" s="9">
        <v>491.0</v>
      </c>
      <c r="O655" s="9" t="s">
        <v>2598</v>
      </c>
      <c r="P655" s="14" t="s">
        <v>2599</v>
      </c>
      <c r="U655" s="17"/>
      <c r="V655" s="18"/>
      <c r="W655" s="16"/>
      <c r="X655" s="16"/>
      <c r="Y655" s="16"/>
    </row>
    <row r="656">
      <c r="A656" s="9" t="s">
        <v>2600</v>
      </c>
      <c r="B656" s="10" t="s">
        <v>2601</v>
      </c>
      <c r="C656" s="10" t="s">
        <v>2602</v>
      </c>
      <c r="D656" s="10" t="s">
        <v>19</v>
      </c>
      <c r="E656" s="10" t="s">
        <v>20</v>
      </c>
      <c r="F656" s="10" t="s">
        <v>2603</v>
      </c>
      <c r="G656" s="10"/>
      <c r="H656" s="10"/>
      <c r="I656" s="11">
        <v>199.0</v>
      </c>
      <c r="J656" s="11">
        <v>599.0</v>
      </c>
      <c r="K656" s="12">
        <f t="shared" si="1"/>
        <v>0.6677796327</v>
      </c>
      <c r="L656" s="13">
        <f>IFERROR(__xludf.DUMMYFUNCTION("GOOGLEFINANCE(""CURRENCY:INRBRL"") * I656
"),11.71745320162)</f>
        <v>11.7174532</v>
      </c>
      <c r="M656" s="9">
        <v>4.51</v>
      </c>
      <c r="N656" s="9">
        <v>13568.0</v>
      </c>
      <c r="O656" s="9" t="s">
        <v>2604</v>
      </c>
      <c r="P656" s="14" t="s">
        <v>2605</v>
      </c>
      <c r="U656" s="17"/>
      <c r="V656" s="18"/>
      <c r="W656" s="16"/>
      <c r="X656" s="16"/>
      <c r="Y656" s="16"/>
    </row>
    <row r="657">
      <c r="A657" s="9" t="s">
        <v>2606</v>
      </c>
      <c r="B657" s="10" t="s">
        <v>2607</v>
      </c>
      <c r="C657" s="10" t="s">
        <v>1454</v>
      </c>
      <c r="D657" s="10" t="s">
        <v>77</v>
      </c>
      <c r="E657" s="10" t="s">
        <v>1455</v>
      </c>
      <c r="F657" s="10" t="s">
        <v>1456</v>
      </c>
      <c r="G657" s="10" t="s">
        <v>1457</v>
      </c>
      <c r="H657" s="10"/>
      <c r="I657" s="11">
        <v>999.0</v>
      </c>
      <c r="J657" s="11">
        <v>4499.0</v>
      </c>
      <c r="K657" s="12">
        <f t="shared" si="1"/>
        <v>0.7779506557</v>
      </c>
      <c r="L657" s="13">
        <f>IFERROR(__xludf.DUMMYFUNCTION("GOOGLEFINANCE(""CURRENCY:INRBRL"") * I657
"),58.822792705619996)</f>
        <v>58.82279271</v>
      </c>
      <c r="M657" s="9">
        <v>4.51</v>
      </c>
      <c r="N657" s="9">
        <v>339.0</v>
      </c>
      <c r="O657" s="9" t="s">
        <v>2608</v>
      </c>
      <c r="P657" s="14" t="s">
        <v>2609</v>
      </c>
      <c r="U657" s="17"/>
      <c r="V657" s="18"/>
      <c r="W657" s="16"/>
      <c r="X657" s="16"/>
      <c r="Y657" s="16"/>
    </row>
    <row r="658">
      <c r="A658" s="9" t="s">
        <v>2610</v>
      </c>
      <c r="B658" s="10" t="s">
        <v>2611</v>
      </c>
      <c r="C658" s="10" t="s">
        <v>1454</v>
      </c>
      <c r="D658" s="10" t="s">
        <v>77</v>
      </c>
      <c r="E658" s="10" t="s">
        <v>1455</v>
      </c>
      <c r="F658" s="10" t="s">
        <v>1456</v>
      </c>
      <c r="G658" s="10" t="s">
        <v>1457</v>
      </c>
      <c r="H658" s="10"/>
      <c r="I658" s="11">
        <v>899.0</v>
      </c>
      <c r="J658" s="11">
        <v>4499.0</v>
      </c>
      <c r="K658" s="12">
        <f t="shared" si="1"/>
        <v>0.8001778173</v>
      </c>
      <c r="L658" s="13">
        <f>IFERROR(__xludf.DUMMYFUNCTION("GOOGLEFINANCE(""CURRENCY:INRBRL"") * I658
"),52.93462526762)</f>
        <v>52.93462527</v>
      </c>
      <c r="M658" s="9">
        <v>4.51</v>
      </c>
      <c r="N658" s="9">
        <v>1031952.0</v>
      </c>
      <c r="O658" s="9" t="s">
        <v>2612</v>
      </c>
      <c r="P658" s="14" t="s">
        <v>2613</v>
      </c>
      <c r="U658" s="17"/>
      <c r="V658" s="18"/>
      <c r="W658" s="16"/>
      <c r="X658" s="16"/>
      <c r="Y658" s="16"/>
    </row>
    <row r="659">
      <c r="A659" s="9" t="s">
        <v>1722</v>
      </c>
      <c r="B659" s="10" t="s">
        <v>1723</v>
      </c>
      <c r="C659" s="10" t="s">
        <v>1403</v>
      </c>
      <c r="D659" s="10" t="s">
        <v>77</v>
      </c>
      <c r="E659" s="10" t="s">
        <v>1404</v>
      </c>
      <c r="F659" s="10" t="s">
        <v>1405</v>
      </c>
      <c r="G659" s="10" t="s">
        <v>1406</v>
      </c>
      <c r="H659" s="10" t="s">
        <v>1407</v>
      </c>
      <c r="I659" s="11">
        <v>1799.0</v>
      </c>
      <c r="J659" s="11">
        <v>2499.0</v>
      </c>
      <c r="K659" s="12">
        <f t="shared" si="1"/>
        <v>0.2801120448</v>
      </c>
      <c r="L659" s="13">
        <f>IFERROR(__xludf.DUMMYFUNCTION("GOOGLEFINANCE(""CURRENCY:INRBRL"") * I659
"),105.92813220962)</f>
        <v>105.9281322</v>
      </c>
      <c r="M659" s="9">
        <v>4.49</v>
      </c>
      <c r="N659" s="9">
        <v>18678.0</v>
      </c>
      <c r="O659" s="9" t="s">
        <v>1724</v>
      </c>
      <c r="P659" s="14" t="s">
        <v>2614</v>
      </c>
      <c r="U659" s="17"/>
      <c r="V659" s="18"/>
      <c r="W659" s="16"/>
      <c r="X659" s="16"/>
      <c r="Y659" s="16"/>
    </row>
    <row r="660">
      <c r="A660" s="9" t="s">
        <v>46</v>
      </c>
      <c r="B660" s="10" t="s">
        <v>47</v>
      </c>
      <c r="C660" s="10" t="s">
        <v>18</v>
      </c>
      <c r="D660" s="10" t="s">
        <v>19</v>
      </c>
      <c r="E660" s="10" t="s">
        <v>20</v>
      </c>
      <c r="F660" s="10" t="s">
        <v>21</v>
      </c>
      <c r="G660" s="10" t="s">
        <v>22</v>
      </c>
      <c r="H660" s="10" t="s">
        <v>23</v>
      </c>
      <c r="I660" s="11">
        <v>176.68</v>
      </c>
      <c r="J660" s="11">
        <v>499.0</v>
      </c>
      <c r="K660" s="12">
        <f t="shared" si="1"/>
        <v>0.6459318637</v>
      </c>
      <c r="L660" s="13">
        <f>IFERROR(__xludf.DUMMYFUNCTION("GOOGLEFINANCE(""CURRENCY:INRBRL"") * I660
"),10.403214229458401)</f>
        <v>10.40321423</v>
      </c>
      <c r="M660" s="9">
        <v>4.49</v>
      </c>
      <c r="N660" s="9">
        <v>15189.0</v>
      </c>
      <c r="O660" s="9" t="s">
        <v>48</v>
      </c>
      <c r="P660" s="14" t="s">
        <v>2615</v>
      </c>
      <c r="U660" s="17"/>
      <c r="V660" s="18"/>
      <c r="W660" s="16"/>
      <c r="X660" s="16"/>
      <c r="Y660" s="16"/>
    </row>
    <row r="661">
      <c r="A661" s="9" t="s">
        <v>2616</v>
      </c>
      <c r="B661" s="10" t="s">
        <v>2617</v>
      </c>
      <c r="C661" s="10" t="s">
        <v>2520</v>
      </c>
      <c r="D661" s="10" t="s">
        <v>2440</v>
      </c>
      <c r="E661" s="10" t="s">
        <v>2521</v>
      </c>
      <c r="F661" s="10" t="s">
        <v>2522</v>
      </c>
      <c r="G661" s="10" t="s">
        <v>2523</v>
      </c>
      <c r="H661" s="10"/>
      <c r="I661" s="11">
        <v>522.0</v>
      </c>
      <c r="J661" s="11">
        <v>550.0</v>
      </c>
      <c r="K661" s="12">
        <f t="shared" si="1"/>
        <v>0.05090909091</v>
      </c>
      <c r="L661" s="13">
        <f>IFERROR(__xludf.DUMMYFUNCTION("GOOGLEFINANCE(""CURRENCY:INRBRL"") * I661
"),30.73623402636)</f>
        <v>30.73623403</v>
      </c>
      <c r="M661" s="9">
        <v>4.5</v>
      </c>
      <c r="N661" s="9">
        <v>12179.0</v>
      </c>
      <c r="O661" s="9" t="s">
        <v>2618</v>
      </c>
      <c r="P661" s="14" t="s">
        <v>2619</v>
      </c>
      <c r="U661" s="17"/>
      <c r="V661" s="18"/>
      <c r="W661" s="16"/>
      <c r="X661" s="16"/>
      <c r="Y661" s="16"/>
    </row>
    <row r="662">
      <c r="A662" s="9" t="s">
        <v>2620</v>
      </c>
      <c r="B662" s="10" t="s">
        <v>2621</v>
      </c>
      <c r="C662" s="10" t="s">
        <v>2622</v>
      </c>
      <c r="D662" s="10" t="s">
        <v>77</v>
      </c>
      <c r="E662" s="10" t="s">
        <v>2483</v>
      </c>
      <c r="F662" s="10" t="s">
        <v>2623</v>
      </c>
      <c r="G662" s="10" t="s">
        <v>2624</v>
      </c>
      <c r="H662" s="10"/>
      <c r="I662" s="11">
        <v>799.0</v>
      </c>
      <c r="J662" s="11">
        <v>1999.0</v>
      </c>
      <c r="K662" s="12">
        <f t="shared" si="1"/>
        <v>0.6003001501</v>
      </c>
      <c r="L662" s="13">
        <f>IFERROR(__xludf.DUMMYFUNCTION("GOOGLEFINANCE(""CURRENCY:INRBRL"") * I662
"),47.046457829619996)</f>
        <v>47.04645783</v>
      </c>
      <c r="M662" s="9">
        <v>4.51</v>
      </c>
      <c r="N662" s="9">
        <v>12958.0</v>
      </c>
      <c r="O662" s="9" t="s">
        <v>2625</v>
      </c>
      <c r="P662" s="14" t="s">
        <v>2626</v>
      </c>
      <c r="U662" s="17"/>
      <c r="V662" s="18"/>
      <c r="W662" s="16"/>
      <c r="X662" s="16"/>
      <c r="Y662" s="16"/>
    </row>
    <row r="663">
      <c r="A663" s="9" t="s">
        <v>2627</v>
      </c>
      <c r="B663" s="10" t="s">
        <v>2628</v>
      </c>
      <c r="C663" s="10" t="s">
        <v>2341</v>
      </c>
      <c r="D663" s="10" t="s">
        <v>19</v>
      </c>
      <c r="E663" s="10" t="s">
        <v>20</v>
      </c>
      <c r="F663" s="10" t="s">
        <v>2342</v>
      </c>
      <c r="G663" s="10" t="s">
        <v>2343</v>
      </c>
      <c r="H663" s="10"/>
      <c r="I663" s="11">
        <v>681.0</v>
      </c>
      <c r="J663" s="11">
        <v>1199.0</v>
      </c>
      <c r="K663" s="12">
        <f t="shared" si="1"/>
        <v>0.4320266889</v>
      </c>
      <c r="L663" s="13">
        <f>IFERROR(__xludf.DUMMYFUNCTION("GOOGLEFINANCE(""CURRENCY:INRBRL"") * I663
"),40.09842025278)</f>
        <v>40.09842025</v>
      </c>
      <c r="M663" s="9">
        <v>4.5</v>
      </c>
      <c r="N663" s="9">
        <v>8258.0</v>
      </c>
      <c r="O663" s="9" t="s">
        <v>2629</v>
      </c>
      <c r="P663" s="14" t="s">
        <v>2630</v>
      </c>
      <c r="U663" s="17"/>
      <c r="V663" s="18"/>
      <c r="W663" s="16"/>
      <c r="X663" s="16"/>
      <c r="Y663" s="16"/>
    </row>
    <row r="664">
      <c r="A664" s="9" t="s">
        <v>2631</v>
      </c>
      <c r="B664" s="10" t="s">
        <v>2632</v>
      </c>
      <c r="C664" s="10" t="s">
        <v>2633</v>
      </c>
      <c r="D664" s="10" t="s">
        <v>19</v>
      </c>
      <c r="E664" s="10" t="s">
        <v>57</v>
      </c>
      <c r="F664" s="10"/>
      <c r="G664" s="10"/>
      <c r="H664" s="10"/>
      <c r="I664" s="11">
        <v>1199.0</v>
      </c>
      <c r="J664" s="11">
        <v>3490.0</v>
      </c>
      <c r="K664" s="12">
        <f t="shared" si="1"/>
        <v>0.6564469914</v>
      </c>
      <c r="L664" s="13">
        <f>IFERROR(__xludf.DUMMYFUNCTION("GOOGLEFINANCE(""CURRENCY:INRBRL"") * I664
"),70.59912758162)</f>
        <v>70.59912758</v>
      </c>
      <c r="M664" s="9">
        <v>4.49</v>
      </c>
      <c r="N664" s="9">
        <v>11716.0</v>
      </c>
      <c r="O664" s="9" t="s">
        <v>2634</v>
      </c>
      <c r="P664" s="14" t="s">
        <v>2635</v>
      </c>
      <c r="U664" s="17"/>
      <c r="V664" s="18"/>
      <c r="W664" s="16"/>
      <c r="X664" s="16"/>
      <c r="Y664" s="16"/>
    </row>
    <row r="665">
      <c r="A665" s="9" t="s">
        <v>2636</v>
      </c>
      <c r="B665" s="10" t="s">
        <v>2637</v>
      </c>
      <c r="C665" s="10" t="s">
        <v>2638</v>
      </c>
      <c r="D665" s="10" t="s">
        <v>19</v>
      </c>
      <c r="E665" s="10" t="s">
        <v>57</v>
      </c>
      <c r="F665" s="10" t="s">
        <v>2639</v>
      </c>
      <c r="G665" s="10"/>
      <c r="H665" s="10"/>
      <c r="I665" s="11">
        <v>2499.0</v>
      </c>
      <c r="J665" s="11">
        <v>4999.0</v>
      </c>
      <c r="K665" s="12">
        <f t="shared" si="1"/>
        <v>0.50010002</v>
      </c>
      <c r="L665" s="13">
        <f>IFERROR(__xludf.DUMMYFUNCTION("GOOGLEFINANCE(""CURRENCY:INRBRL"") * I665
"),147.14530427562)</f>
        <v>147.1453043</v>
      </c>
      <c r="M665" s="9">
        <v>4.5</v>
      </c>
      <c r="N665" s="9">
        <v>35024.0</v>
      </c>
      <c r="O665" s="9" t="s">
        <v>2640</v>
      </c>
      <c r="P665" s="14" t="s">
        <v>2641</v>
      </c>
      <c r="U665" s="17"/>
      <c r="V665" s="18"/>
      <c r="W665" s="16"/>
      <c r="X665" s="16"/>
      <c r="Y665" s="16"/>
    </row>
    <row r="666">
      <c r="A666" s="9" t="s">
        <v>2642</v>
      </c>
      <c r="B666" s="10" t="s">
        <v>2643</v>
      </c>
      <c r="C666" s="10" t="s">
        <v>2644</v>
      </c>
      <c r="D666" s="10" t="s">
        <v>77</v>
      </c>
      <c r="E666" s="10" t="s">
        <v>1455</v>
      </c>
      <c r="F666" s="10" t="s">
        <v>1456</v>
      </c>
      <c r="G666" s="10" t="s">
        <v>2645</v>
      </c>
      <c r="H666" s="10"/>
      <c r="I666" s="11">
        <v>1799.0</v>
      </c>
      <c r="J666" s="11">
        <v>4999.0</v>
      </c>
      <c r="K666" s="12">
        <f t="shared" si="1"/>
        <v>0.6401280256</v>
      </c>
      <c r="L666" s="13">
        <f>IFERROR(__xludf.DUMMYFUNCTION("GOOGLEFINANCE(""CURRENCY:INRBRL"") * I666
"),105.92813220962)</f>
        <v>105.9281322</v>
      </c>
      <c r="M666" s="9">
        <v>4.49</v>
      </c>
      <c r="N666" s="9">
        <v>55192.0</v>
      </c>
      <c r="O666" s="9" t="s">
        <v>2646</v>
      </c>
      <c r="P666" s="14" t="s">
        <v>2647</v>
      </c>
      <c r="U666" s="17"/>
      <c r="V666" s="18"/>
      <c r="W666" s="16"/>
      <c r="X666" s="16"/>
      <c r="Y666" s="16"/>
    </row>
    <row r="667">
      <c r="A667" s="9" t="s">
        <v>2648</v>
      </c>
      <c r="B667" s="10" t="s">
        <v>2649</v>
      </c>
      <c r="C667" s="10" t="s">
        <v>1454</v>
      </c>
      <c r="D667" s="10" t="s">
        <v>77</v>
      </c>
      <c r="E667" s="10" t="s">
        <v>1455</v>
      </c>
      <c r="F667" s="10" t="s">
        <v>1456</v>
      </c>
      <c r="G667" s="10" t="s">
        <v>1457</v>
      </c>
      <c r="H667" s="10"/>
      <c r="I667" s="11">
        <v>429.0</v>
      </c>
      <c r="J667" s="11">
        <v>599.0</v>
      </c>
      <c r="K667" s="12">
        <f t="shared" si="1"/>
        <v>0.2838063439</v>
      </c>
      <c r="L667" s="13">
        <f>IFERROR(__xludf.DUMMYFUNCTION("GOOGLEFINANCE(""CURRENCY:INRBRL"") * I667
"),25.26023830902)</f>
        <v>25.26023831</v>
      </c>
      <c r="M667" s="9">
        <v>4.49</v>
      </c>
      <c r="N667" s="9">
        <v>119466.0</v>
      </c>
      <c r="O667" s="9" t="s">
        <v>2650</v>
      </c>
      <c r="P667" s="14" t="s">
        <v>2651</v>
      </c>
      <c r="U667" s="17"/>
      <c r="V667" s="18"/>
      <c r="W667" s="16"/>
      <c r="X667" s="16"/>
      <c r="Y667" s="16"/>
    </row>
    <row r="668">
      <c r="A668" s="9" t="s">
        <v>2652</v>
      </c>
      <c r="B668" s="10" t="s">
        <v>2653</v>
      </c>
      <c r="C668" s="10" t="s">
        <v>2348</v>
      </c>
      <c r="D668" s="10" t="s">
        <v>19</v>
      </c>
      <c r="E668" s="10" t="s">
        <v>20</v>
      </c>
      <c r="F668" s="10" t="s">
        <v>2342</v>
      </c>
      <c r="G668" s="10" t="s">
        <v>2349</v>
      </c>
      <c r="H668" s="10"/>
      <c r="I668" s="11">
        <v>100.0</v>
      </c>
      <c r="J668" s="11">
        <v>499.0</v>
      </c>
      <c r="K668" s="12">
        <f t="shared" si="1"/>
        <v>0.7995991984</v>
      </c>
      <c r="L668" s="13">
        <f>IFERROR(__xludf.DUMMYFUNCTION("GOOGLEFINANCE(""CURRENCY:INRBRL"") * I668
"),5.888167438)</f>
        <v>5.888167438</v>
      </c>
      <c r="M668" s="9">
        <v>4.5</v>
      </c>
      <c r="N668" s="9">
        <v>9638.0</v>
      </c>
      <c r="O668" s="9" t="s">
        <v>2654</v>
      </c>
      <c r="P668" s="14" t="s">
        <v>2655</v>
      </c>
      <c r="U668" s="17"/>
      <c r="V668" s="18"/>
      <c r="W668" s="16"/>
      <c r="X668" s="16"/>
      <c r="Y668" s="16"/>
    </row>
    <row r="669">
      <c r="A669" s="9" t="s">
        <v>2656</v>
      </c>
      <c r="B669" s="10" t="s">
        <v>2657</v>
      </c>
      <c r="C669" s="10" t="s">
        <v>2412</v>
      </c>
      <c r="D669" s="10" t="s">
        <v>19</v>
      </c>
      <c r="E669" s="10" t="s">
        <v>20</v>
      </c>
      <c r="F669" s="10" t="s">
        <v>2342</v>
      </c>
      <c r="G669" s="10" t="s">
        <v>2413</v>
      </c>
      <c r="H669" s="10"/>
      <c r="I669" s="11">
        <v>329.0</v>
      </c>
      <c r="J669" s="11">
        <v>399.0</v>
      </c>
      <c r="K669" s="12">
        <f t="shared" si="1"/>
        <v>0.1754385965</v>
      </c>
      <c r="L669" s="13">
        <f>IFERROR(__xludf.DUMMYFUNCTION("GOOGLEFINANCE(""CURRENCY:INRBRL"") * I669
"),19.37207087102)</f>
        <v>19.37207087</v>
      </c>
      <c r="M669" s="9">
        <v>4.51</v>
      </c>
      <c r="N669" s="9">
        <v>33735.0</v>
      </c>
      <c r="O669" s="9" t="s">
        <v>2658</v>
      </c>
      <c r="P669" s="14" t="s">
        <v>2659</v>
      </c>
      <c r="U669" s="17"/>
      <c r="V669" s="18"/>
      <c r="W669" s="16"/>
      <c r="X669" s="16"/>
      <c r="Y669" s="16"/>
    </row>
    <row r="670">
      <c r="A670" s="9" t="s">
        <v>50</v>
      </c>
      <c r="B670" s="10" t="s">
        <v>51</v>
      </c>
      <c r="C670" s="10" t="s">
        <v>18</v>
      </c>
      <c r="D670" s="10" t="s">
        <v>19</v>
      </c>
      <c r="E670" s="10" t="s">
        <v>20</v>
      </c>
      <c r="F670" s="10" t="s">
        <v>21</v>
      </c>
      <c r="G670" s="10" t="s">
        <v>22</v>
      </c>
      <c r="H670" s="10" t="s">
        <v>23</v>
      </c>
      <c r="I670" s="11">
        <v>229.0</v>
      </c>
      <c r="J670" s="11">
        <v>299.0</v>
      </c>
      <c r="K670" s="12">
        <f t="shared" si="1"/>
        <v>0.2341137124</v>
      </c>
      <c r="L670" s="13">
        <f>IFERROR(__xludf.DUMMYFUNCTION("GOOGLEFINANCE(""CURRENCY:INRBRL"") * I670
"),13.48390343302)</f>
        <v>13.48390343</v>
      </c>
      <c r="M670" s="9">
        <v>4.5</v>
      </c>
      <c r="N670" s="9">
        <v>30411.0</v>
      </c>
      <c r="O670" s="9" t="s">
        <v>52</v>
      </c>
      <c r="P670" s="14" t="s">
        <v>2660</v>
      </c>
      <c r="U670" s="17"/>
      <c r="V670" s="18"/>
      <c r="W670" s="16"/>
      <c r="X670" s="16"/>
      <c r="Y670" s="16"/>
    </row>
    <row r="671">
      <c r="A671" s="9" t="s">
        <v>2661</v>
      </c>
      <c r="B671" s="10" t="s">
        <v>2662</v>
      </c>
      <c r="C671" s="10" t="s">
        <v>2341</v>
      </c>
      <c r="D671" s="10" t="s">
        <v>19</v>
      </c>
      <c r="E671" s="10" t="s">
        <v>20</v>
      </c>
      <c r="F671" s="10" t="s">
        <v>2342</v>
      </c>
      <c r="G671" s="10" t="s">
        <v>2343</v>
      </c>
      <c r="H671" s="10"/>
      <c r="I671" s="11">
        <v>139.0</v>
      </c>
      <c r="J671" s="11">
        <v>299.0</v>
      </c>
      <c r="K671" s="12">
        <f t="shared" si="1"/>
        <v>0.5351170569</v>
      </c>
      <c r="L671" s="13">
        <f>IFERROR(__xludf.DUMMYFUNCTION("GOOGLEFINANCE(""CURRENCY:INRBRL"") * I671
"),8.184552738819999)</f>
        <v>8.184552739</v>
      </c>
      <c r="M671" s="9">
        <v>4.51</v>
      </c>
      <c r="N671" s="9">
        <v>3044.0</v>
      </c>
      <c r="O671" s="9" t="s">
        <v>2663</v>
      </c>
      <c r="P671" s="14" t="s">
        <v>2664</v>
      </c>
      <c r="U671" s="17"/>
      <c r="V671" s="18"/>
      <c r="W671" s="16"/>
      <c r="X671" s="16"/>
      <c r="Y671" s="16"/>
    </row>
    <row r="672">
      <c r="A672" s="9" t="s">
        <v>2665</v>
      </c>
      <c r="B672" s="10" t="s">
        <v>2666</v>
      </c>
      <c r="C672" s="10" t="s">
        <v>2142</v>
      </c>
      <c r="D672" s="10" t="s">
        <v>77</v>
      </c>
      <c r="E672" s="10" t="s">
        <v>1455</v>
      </c>
      <c r="F672" s="10" t="s">
        <v>1456</v>
      </c>
      <c r="G672" s="10" t="s">
        <v>2143</v>
      </c>
      <c r="H672" s="10"/>
      <c r="I672" s="11">
        <v>1199.0</v>
      </c>
      <c r="J672" s="11">
        <v>2499.0</v>
      </c>
      <c r="K672" s="12">
        <f t="shared" si="1"/>
        <v>0.5202080832</v>
      </c>
      <c r="L672" s="13">
        <f>IFERROR(__xludf.DUMMYFUNCTION("GOOGLEFINANCE(""CURRENCY:INRBRL"") * I672
"),70.59912758162)</f>
        <v>70.59912758</v>
      </c>
      <c r="M672" s="9">
        <v>4.0</v>
      </c>
      <c r="N672" s="9">
        <v>33584.0</v>
      </c>
      <c r="O672" s="9" t="s">
        <v>2667</v>
      </c>
      <c r="P672" s="14" t="s">
        <v>2668</v>
      </c>
      <c r="U672" s="17"/>
      <c r="V672" s="18"/>
      <c r="W672" s="16"/>
      <c r="X672" s="16"/>
      <c r="Y672" s="16"/>
    </row>
    <row r="673">
      <c r="A673" s="9" t="s">
        <v>2669</v>
      </c>
      <c r="B673" s="10" t="s">
        <v>2670</v>
      </c>
      <c r="C673" s="10" t="s">
        <v>2671</v>
      </c>
      <c r="D673" s="10" t="s">
        <v>77</v>
      </c>
      <c r="E673" s="10" t="s">
        <v>569</v>
      </c>
      <c r="F673" s="10" t="s">
        <v>1129</v>
      </c>
      <c r="G673" s="10" t="s">
        <v>2672</v>
      </c>
      <c r="H673" s="10"/>
      <c r="I673" s="11">
        <v>1049.0</v>
      </c>
      <c r="J673" s="11">
        <v>2299.0</v>
      </c>
      <c r="K673" s="12">
        <f t="shared" si="1"/>
        <v>0.5437146585</v>
      </c>
      <c r="L673" s="13">
        <f>IFERROR(__xludf.DUMMYFUNCTION("GOOGLEFINANCE(""CURRENCY:INRBRL"") * I673
"),61.76687642462)</f>
        <v>61.76687642</v>
      </c>
      <c r="M673" s="9">
        <v>4.52</v>
      </c>
      <c r="N673" s="9">
        <v>1779.0</v>
      </c>
      <c r="O673" s="9" t="s">
        <v>2673</v>
      </c>
      <c r="P673" s="14" t="s">
        <v>2674</v>
      </c>
      <c r="U673" s="17"/>
      <c r="V673" s="18"/>
      <c r="W673" s="16"/>
      <c r="X673" s="16"/>
      <c r="Y673" s="16"/>
    </row>
    <row r="674">
      <c r="A674" s="9" t="s">
        <v>1744</v>
      </c>
      <c r="B674" s="10" t="s">
        <v>1745</v>
      </c>
      <c r="C674" s="10" t="s">
        <v>1746</v>
      </c>
      <c r="D674" s="10" t="s">
        <v>77</v>
      </c>
      <c r="E674" s="10" t="s">
        <v>1404</v>
      </c>
      <c r="F674" s="10" t="s">
        <v>1405</v>
      </c>
      <c r="G674" s="10" t="s">
        <v>1747</v>
      </c>
      <c r="H674" s="10"/>
      <c r="I674" s="11">
        <v>119.0</v>
      </c>
      <c r="J674" s="11">
        <v>299.0</v>
      </c>
      <c r="K674" s="12">
        <f t="shared" si="1"/>
        <v>0.602006689</v>
      </c>
      <c r="L674" s="13">
        <f>IFERROR(__xludf.DUMMYFUNCTION("GOOGLEFINANCE(""CURRENCY:INRBRL"") * I674
"),7.00691925122)</f>
        <v>7.006919251</v>
      </c>
      <c r="M674" s="9">
        <v>4.49</v>
      </c>
      <c r="N674" s="9">
        <v>5999.0</v>
      </c>
      <c r="O674" s="9" t="s">
        <v>1748</v>
      </c>
      <c r="P674" s="14" t="s">
        <v>2675</v>
      </c>
      <c r="U674" s="17"/>
      <c r="V674" s="18"/>
      <c r="W674" s="16"/>
      <c r="X674" s="16"/>
      <c r="Y674" s="16"/>
    </row>
    <row r="675">
      <c r="A675" s="9" t="s">
        <v>66</v>
      </c>
      <c r="B675" s="10" t="s">
        <v>67</v>
      </c>
      <c r="C675" s="10" t="s">
        <v>18</v>
      </c>
      <c r="D675" s="10" t="s">
        <v>19</v>
      </c>
      <c r="E675" s="10" t="s">
        <v>20</v>
      </c>
      <c r="F675" s="10" t="s">
        <v>21</v>
      </c>
      <c r="G675" s="10" t="s">
        <v>22</v>
      </c>
      <c r="H675" s="10" t="s">
        <v>23</v>
      </c>
      <c r="I675" s="11">
        <v>154.0</v>
      </c>
      <c r="J675" s="11">
        <v>339.0</v>
      </c>
      <c r="K675" s="12">
        <f t="shared" si="1"/>
        <v>0.5457227139</v>
      </c>
      <c r="L675" s="13">
        <f>IFERROR(__xludf.DUMMYFUNCTION("GOOGLEFINANCE(""CURRENCY:INRBRL"") * I675
"),9.06777785452)</f>
        <v>9.067777855</v>
      </c>
      <c r="M675" s="9">
        <v>4.5</v>
      </c>
      <c r="N675" s="9">
        <v>13391.0</v>
      </c>
      <c r="O675" s="9" t="s">
        <v>68</v>
      </c>
      <c r="P675" s="14" t="s">
        <v>2676</v>
      </c>
      <c r="U675" s="17"/>
      <c r="V675" s="18"/>
      <c r="W675" s="16"/>
      <c r="X675" s="16"/>
      <c r="Y675" s="16"/>
    </row>
    <row r="676">
      <c r="A676" s="9" t="s">
        <v>2677</v>
      </c>
      <c r="B676" s="10" t="s">
        <v>2678</v>
      </c>
      <c r="C676" s="10" t="s">
        <v>2679</v>
      </c>
      <c r="D676" s="10" t="s">
        <v>77</v>
      </c>
      <c r="E676" s="10" t="s">
        <v>2433</v>
      </c>
      <c r="F676" s="10"/>
      <c r="G676" s="10"/>
      <c r="H676" s="10"/>
      <c r="I676" s="11">
        <v>225.0</v>
      </c>
      <c r="J676" s="11">
        <v>250.0</v>
      </c>
      <c r="K676" s="12">
        <f t="shared" si="1"/>
        <v>0.1</v>
      </c>
      <c r="L676" s="13">
        <f>IFERROR(__xludf.DUMMYFUNCTION("GOOGLEFINANCE(""CURRENCY:INRBRL"") * I676
"),13.248376735499999)</f>
        <v>13.24837674</v>
      </c>
      <c r="M676" s="9">
        <v>4.5</v>
      </c>
      <c r="N676" s="9">
        <v>26556.0</v>
      </c>
      <c r="O676" s="9" t="s">
        <v>2680</v>
      </c>
      <c r="P676" s="14" t="s">
        <v>2681</v>
      </c>
      <c r="U676" s="17"/>
      <c r="V676" s="18"/>
      <c r="W676" s="16"/>
      <c r="X676" s="16"/>
      <c r="Y676" s="16"/>
    </row>
    <row r="677">
      <c r="A677" s="9" t="s">
        <v>2682</v>
      </c>
      <c r="B677" s="10" t="s">
        <v>2683</v>
      </c>
      <c r="C677" s="10" t="s">
        <v>2358</v>
      </c>
      <c r="D677" s="10" t="s">
        <v>19</v>
      </c>
      <c r="E677" s="10" t="s">
        <v>20</v>
      </c>
      <c r="F677" s="10" t="s">
        <v>2157</v>
      </c>
      <c r="G677" s="10" t="s">
        <v>2359</v>
      </c>
      <c r="H677" s="10"/>
      <c r="I677" s="11">
        <v>656.0</v>
      </c>
      <c r="J677" s="11">
        <v>1499.0</v>
      </c>
      <c r="K677" s="12">
        <f t="shared" si="1"/>
        <v>0.5623749166</v>
      </c>
      <c r="L677" s="13">
        <f>IFERROR(__xludf.DUMMYFUNCTION("GOOGLEFINANCE(""CURRENCY:INRBRL"") * I677
"),38.62637839328)</f>
        <v>38.62637839</v>
      </c>
      <c r="M677" s="9">
        <v>4.5</v>
      </c>
      <c r="N677" s="9">
        <v>25903.0</v>
      </c>
      <c r="O677" s="9" t="s">
        <v>2684</v>
      </c>
      <c r="P677" s="14" t="s">
        <v>2685</v>
      </c>
      <c r="U677" s="17"/>
      <c r="V677" s="18"/>
      <c r="W677" s="16"/>
      <c r="X677" s="16"/>
      <c r="Y677" s="16"/>
    </row>
    <row r="678">
      <c r="A678" s="9" t="s">
        <v>2686</v>
      </c>
      <c r="B678" s="10" t="s">
        <v>2687</v>
      </c>
      <c r="C678" s="10" t="s">
        <v>2334</v>
      </c>
      <c r="D678" s="10" t="s">
        <v>19</v>
      </c>
      <c r="E678" s="10" t="s">
        <v>2335</v>
      </c>
      <c r="F678" s="10" t="s">
        <v>2336</v>
      </c>
      <c r="G678" s="10"/>
      <c r="H678" s="10"/>
      <c r="I678" s="11">
        <v>1109.0</v>
      </c>
      <c r="J678" s="11">
        <v>2799.0</v>
      </c>
      <c r="K678" s="12">
        <f t="shared" si="1"/>
        <v>0.6037870668</v>
      </c>
      <c r="L678" s="13">
        <f>IFERROR(__xludf.DUMMYFUNCTION("GOOGLEFINANCE(""CURRENCY:INRBRL"") * I678
"),65.29977688742)</f>
        <v>65.29977689</v>
      </c>
      <c r="M678" s="9">
        <v>4.5</v>
      </c>
      <c r="N678" s="9">
        <v>53464.0</v>
      </c>
      <c r="O678" s="9" t="s">
        <v>2688</v>
      </c>
      <c r="P678" s="14" t="s">
        <v>2689</v>
      </c>
      <c r="U678" s="17"/>
      <c r="V678" s="18"/>
      <c r="W678" s="16"/>
      <c r="X678" s="16"/>
      <c r="Y678" s="16"/>
    </row>
    <row r="679">
      <c r="A679" s="9" t="s">
        <v>1730</v>
      </c>
      <c r="B679" s="10" t="s">
        <v>1731</v>
      </c>
      <c r="C679" s="10" t="s">
        <v>1388</v>
      </c>
      <c r="D679" s="10" t="s">
        <v>77</v>
      </c>
      <c r="E679" s="10" t="s">
        <v>1389</v>
      </c>
      <c r="F679" s="10" t="s">
        <v>1390</v>
      </c>
      <c r="G679" s="10"/>
      <c r="H679" s="10"/>
      <c r="I679" s="11">
        <v>2999.0</v>
      </c>
      <c r="J679" s="11">
        <v>7999.0</v>
      </c>
      <c r="K679" s="12">
        <f t="shared" si="1"/>
        <v>0.6250781348</v>
      </c>
      <c r="L679" s="13">
        <f>IFERROR(__xludf.DUMMYFUNCTION("GOOGLEFINANCE(""CURRENCY:INRBRL"") * I679
"),176.58614146562)</f>
        <v>176.5861415</v>
      </c>
      <c r="M679" s="9">
        <v>4.49</v>
      </c>
      <c r="N679" s="9">
        <v>48448.0</v>
      </c>
      <c r="O679" s="9" t="s">
        <v>1637</v>
      </c>
      <c r="P679" s="14" t="s">
        <v>2690</v>
      </c>
      <c r="U679" s="17"/>
      <c r="V679" s="18"/>
      <c r="W679" s="16"/>
      <c r="X679" s="16"/>
      <c r="Y679" s="16"/>
    </row>
    <row r="680">
      <c r="A680" s="9" t="s">
        <v>2691</v>
      </c>
      <c r="B680" s="10" t="s">
        <v>2692</v>
      </c>
      <c r="C680" s="10" t="s">
        <v>2596</v>
      </c>
      <c r="D680" s="10" t="s">
        <v>19</v>
      </c>
      <c r="E680" s="10" t="s">
        <v>20</v>
      </c>
      <c r="F680" s="10" t="s">
        <v>2342</v>
      </c>
      <c r="G680" s="10" t="s">
        <v>2556</v>
      </c>
      <c r="H680" s="10" t="s">
        <v>2597</v>
      </c>
      <c r="I680" s="11">
        <v>169.0</v>
      </c>
      <c r="J680" s="11">
        <v>299.0</v>
      </c>
      <c r="K680" s="12">
        <f t="shared" si="1"/>
        <v>0.4347826087</v>
      </c>
      <c r="L680" s="13">
        <f>IFERROR(__xludf.DUMMYFUNCTION("GOOGLEFINANCE(""CURRENCY:INRBRL"") * I680
"),9.95100297022)</f>
        <v>9.95100297</v>
      </c>
      <c r="M680" s="9">
        <v>4.5</v>
      </c>
      <c r="N680" s="9">
        <v>5176.0</v>
      </c>
      <c r="O680" s="9" t="s">
        <v>2693</v>
      </c>
      <c r="P680" s="14" t="s">
        <v>2694</v>
      </c>
      <c r="U680" s="17"/>
      <c r="V680" s="18"/>
      <c r="W680" s="16"/>
      <c r="X680" s="16"/>
      <c r="Y680" s="16"/>
    </row>
    <row r="681">
      <c r="A681" s="9" t="s">
        <v>2695</v>
      </c>
      <c r="B681" s="10" t="s">
        <v>2696</v>
      </c>
      <c r="C681" s="10" t="s">
        <v>2546</v>
      </c>
      <c r="D681" s="10" t="s">
        <v>19</v>
      </c>
      <c r="E681" s="10" t="s">
        <v>2547</v>
      </c>
      <c r="F681" s="10" t="s">
        <v>2548</v>
      </c>
      <c r="G681" s="10" t="s">
        <v>2549</v>
      </c>
      <c r="H681" s="10"/>
      <c r="I681" s="11">
        <v>309.0</v>
      </c>
      <c r="J681" s="11">
        <v>404.0</v>
      </c>
      <c r="K681" s="12">
        <f t="shared" si="1"/>
        <v>0.2351485149</v>
      </c>
      <c r="L681" s="13">
        <f>IFERROR(__xludf.DUMMYFUNCTION("GOOGLEFINANCE(""CURRENCY:INRBRL"") * I681
"),18.19443738342)</f>
        <v>18.19443738</v>
      </c>
      <c r="M681" s="9">
        <v>4.5</v>
      </c>
      <c r="N681" s="9">
        <v>8614.0</v>
      </c>
      <c r="O681" s="9" t="s">
        <v>2697</v>
      </c>
      <c r="P681" s="14" t="s">
        <v>2698</v>
      </c>
      <c r="U681" s="17"/>
      <c r="V681" s="18"/>
      <c r="W681" s="16"/>
      <c r="X681" s="16"/>
      <c r="Y681" s="16"/>
    </row>
    <row r="682">
      <c r="A682" s="9" t="s">
        <v>2699</v>
      </c>
      <c r="B682" s="10" t="s">
        <v>2700</v>
      </c>
      <c r="C682" s="10" t="s">
        <v>2142</v>
      </c>
      <c r="D682" s="10" t="s">
        <v>77</v>
      </c>
      <c r="E682" s="10" t="s">
        <v>1455</v>
      </c>
      <c r="F682" s="10" t="s">
        <v>1456</v>
      </c>
      <c r="G682" s="10" t="s">
        <v>2143</v>
      </c>
      <c r="H682" s="10"/>
      <c r="I682" s="11">
        <v>599.0</v>
      </c>
      <c r="J682" s="11">
        <v>1399.0</v>
      </c>
      <c r="K682" s="12">
        <f t="shared" si="1"/>
        <v>0.5718370264</v>
      </c>
      <c r="L682" s="13">
        <f>IFERROR(__xludf.DUMMYFUNCTION("GOOGLEFINANCE(""CURRENCY:INRBRL"") * I682
"),35.270122953619996)</f>
        <v>35.27012295</v>
      </c>
      <c r="M682" s="9">
        <v>4.51</v>
      </c>
      <c r="N682" s="9">
        <v>60026.0</v>
      </c>
      <c r="O682" s="9" t="s">
        <v>2701</v>
      </c>
      <c r="P682" s="14" t="s">
        <v>2702</v>
      </c>
      <c r="U682" s="17"/>
      <c r="V682" s="18"/>
      <c r="W682" s="16"/>
      <c r="X682" s="16"/>
      <c r="Y682" s="16"/>
    </row>
    <row r="683">
      <c r="A683" s="9" t="s">
        <v>2703</v>
      </c>
      <c r="B683" s="10" t="s">
        <v>2704</v>
      </c>
      <c r="C683" s="10" t="s">
        <v>2412</v>
      </c>
      <c r="D683" s="10" t="s">
        <v>19</v>
      </c>
      <c r="E683" s="10" t="s">
        <v>20</v>
      </c>
      <c r="F683" s="10" t="s">
        <v>2342</v>
      </c>
      <c r="G683" s="10" t="s">
        <v>2413</v>
      </c>
      <c r="H683" s="10"/>
      <c r="I683" s="11">
        <v>299.0</v>
      </c>
      <c r="J683" s="11">
        <v>599.0</v>
      </c>
      <c r="K683" s="12">
        <f t="shared" si="1"/>
        <v>0.5008347245</v>
      </c>
      <c r="L683" s="13">
        <f>IFERROR(__xludf.DUMMYFUNCTION("GOOGLEFINANCE(""CURRENCY:INRBRL"") * I683
"),17.60562063962)</f>
        <v>17.60562064</v>
      </c>
      <c r="M683" s="9">
        <v>4.51</v>
      </c>
      <c r="N683" s="9">
        <v>3066.0</v>
      </c>
      <c r="O683" s="9" t="s">
        <v>2705</v>
      </c>
      <c r="P683" s="14" t="s">
        <v>2706</v>
      </c>
      <c r="U683" s="17"/>
      <c r="V683" s="18"/>
      <c r="W683" s="16"/>
      <c r="X683" s="16"/>
      <c r="Y683" s="16"/>
    </row>
    <row r="684">
      <c r="A684" s="9" t="s">
        <v>2707</v>
      </c>
      <c r="B684" s="10" t="s">
        <v>2708</v>
      </c>
      <c r="C684" s="10" t="s">
        <v>2358</v>
      </c>
      <c r="D684" s="10" t="s">
        <v>19</v>
      </c>
      <c r="E684" s="10" t="s">
        <v>20</v>
      </c>
      <c r="F684" s="10" t="s">
        <v>2157</v>
      </c>
      <c r="G684" s="10" t="s">
        <v>2359</v>
      </c>
      <c r="H684" s="10"/>
      <c r="I684" s="11">
        <v>449.0</v>
      </c>
      <c r="J684" s="11">
        <v>999.0</v>
      </c>
      <c r="K684" s="12">
        <f t="shared" si="1"/>
        <v>0.5505505506</v>
      </c>
      <c r="L684" s="13">
        <f>IFERROR(__xludf.DUMMYFUNCTION("GOOGLEFINANCE(""CURRENCY:INRBRL"") * I684
"),26.437871796619998)</f>
        <v>26.4378718</v>
      </c>
      <c r="M684" s="9">
        <v>4.0</v>
      </c>
      <c r="N684" s="9">
        <v>2102.0</v>
      </c>
      <c r="O684" s="9" t="s">
        <v>2709</v>
      </c>
      <c r="P684" s="14" t="s">
        <v>2710</v>
      </c>
      <c r="U684" s="17"/>
      <c r="V684" s="18"/>
      <c r="W684" s="16"/>
      <c r="X684" s="16"/>
      <c r="Y684" s="16"/>
    </row>
    <row r="685">
      <c r="A685" s="9" t="s">
        <v>2711</v>
      </c>
      <c r="B685" s="10" t="s">
        <v>2712</v>
      </c>
      <c r="C685" s="10" t="s">
        <v>2341</v>
      </c>
      <c r="D685" s="10" t="s">
        <v>19</v>
      </c>
      <c r="E685" s="10" t="s">
        <v>20</v>
      </c>
      <c r="F685" s="10" t="s">
        <v>2342</v>
      </c>
      <c r="G685" s="10" t="s">
        <v>2343</v>
      </c>
      <c r="H685" s="10"/>
      <c r="I685" s="11">
        <v>799.0</v>
      </c>
      <c r="J685" s="11">
        <v>1295.0</v>
      </c>
      <c r="K685" s="12">
        <f t="shared" si="1"/>
        <v>0.383011583</v>
      </c>
      <c r="L685" s="13">
        <f>IFERROR(__xludf.DUMMYFUNCTION("GOOGLEFINANCE(""CURRENCY:INRBRL"") * I685
"),47.046457829619996)</f>
        <v>47.04645783</v>
      </c>
      <c r="M685" s="9">
        <v>4.5</v>
      </c>
      <c r="N685" s="9">
        <v>34852.0</v>
      </c>
      <c r="O685" s="9" t="s">
        <v>2713</v>
      </c>
      <c r="P685" s="14" t="s">
        <v>2714</v>
      </c>
      <c r="U685" s="17"/>
      <c r="V685" s="18"/>
      <c r="W685" s="16"/>
      <c r="X685" s="16"/>
      <c r="Y685" s="16"/>
    </row>
    <row r="686">
      <c r="A686" s="9" t="s">
        <v>74</v>
      </c>
      <c r="B686" s="10" t="s">
        <v>75</v>
      </c>
      <c r="C686" s="10" t="s">
        <v>76</v>
      </c>
      <c r="D686" s="10" t="s">
        <v>77</v>
      </c>
      <c r="E686" s="10" t="s">
        <v>78</v>
      </c>
      <c r="F686" s="10" t="s">
        <v>79</v>
      </c>
      <c r="G686" s="10" t="s">
        <v>22</v>
      </c>
      <c r="H686" s="10" t="s">
        <v>80</v>
      </c>
      <c r="I686" s="11">
        <v>219.0</v>
      </c>
      <c r="J686" s="11">
        <v>700.0</v>
      </c>
      <c r="K686" s="12">
        <f t="shared" si="1"/>
        <v>0.6871428571</v>
      </c>
      <c r="L686" s="13">
        <f>IFERROR(__xludf.DUMMYFUNCTION("GOOGLEFINANCE(""CURRENCY:INRBRL"") * I686
"),12.89508668922)</f>
        <v>12.89508669</v>
      </c>
      <c r="M686" s="9">
        <v>4.5</v>
      </c>
      <c r="N686" s="9">
        <v>426972.0</v>
      </c>
      <c r="O686" s="9" t="s">
        <v>81</v>
      </c>
      <c r="P686" s="14" t="s">
        <v>2715</v>
      </c>
      <c r="U686" s="17"/>
      <c r="V686" s="18"/>
      <c r="W686" s="16"/>
      <c r="X686" s="16"/>
      <c r="Y686" s="16"/>
    </row>
    <row r="687">
      <c r="A687" s="9" t="s">
        <v>2716</v>
      </c>
      <c r="B687" s="10" t="s">
        <v>2717</v>
      </c>
      <c r="C687" s="10" t="s">
        <v>2718</v>
      </c>
      <c r="D687" s="10" t="s">
        <v>2440</v>
      </c>
      <c r="E687" s="10" t="s">
        <v>2441</v>
      </c>
      <c r="F687" s="10" t="s">
        <v>2442</v>
      </c>
      <c r="G687" s="10" t="s">
        <v>2443</v>
      </c>
      <c r="H687" s="10" t="s">
        <v>2719</v>
      </c>
      <c r="I687" s="11">
        <v>157.0</v>
      </c>
      <c r="J687" s="11">
        <v>160.0</v>
      </c>
      <c r="K687" s="12">
        <f t="shared" si="1"/>
        <v>0.01875</v>
      </c>
      <c r="L687" s="13">
        <f>IFERROR(__xludf.DUMMYFUNCTION("GOOGLEFINANCE(""CURRENCY:INRBRL"") * I687
"),9.24442287766)</f>
        <v>9.244422878</v>
      </c>
      <c r="M687" s="9">
        <v>4.51</v>
      </c>
      <c r="N687" s="9">
        <v>8618.0</v>
      </c>
      <c r="O687" s="9" t="s">
        <v>2720</v>
      </c>
      <c r="P687" s="14" t="s">
        <v>2721</v>
      </c>
      <c r="U687" s="17"/>
      <c r="V687" s="18"/>
      <c r="W687" s="16"/>
      <c r="X687" s="16"/>
      <c r="Y687" s="16"/>
    </row>
    <row r="688">
      <c r="A688" s="9" t="s">
        <v>1771</v>
      </c>
      <c r="B688" s="10" t="s">
        <v>1772</v>
      </c>
      <c r="C688" s="10" t="s">
        <v>1433</v>
      </c>
      <c r="D688" s="10" t="s">
        <v>77</v>
      </c>
      <c r="E688" s="10" t="s">
        <v>79</v>
      </c>
      <c r="F688" s="10" t="s">
        <v>1434</v>
      </c>
      <c r="G688" s="10" t="s">
        <v>1435</v>
      </c>
      <c r="H688" s="10"/>
      <c r="I688" s="11">
        <v>369.0</v>
      </c>
      <c r="J688" s="11">
        <v>1599.0</v>
      </c>
      <c r="K688" s="12">
        <f t="shared" si="1"/>
        <v>0.7692307692</v>
      </c>
      <c r="L688" s="13">
        <f>IFERROR(__xludf.DUMMYFUNCTION("GOOGLEFINANCE(""CURRENCY:INRBRL"") * I688
"),21.72733784622)</f>
        <v>21.72733785</v>
      </c>
      <c r="M688" s="9">
        <v>4.0</v>
      </c>
      <c r="N688" s="9">
        <v>32625.0</v>
      </c>
      <c r="O688" s="9" t="s">
        <v>2722</v>
      </c>
      <c r="P688" s="14" t="s">
        <v>2723</v>
      </c>
      <c r="U688" s="17"/>
      <c r="V688" s="18"/>
      <c r="W688" s="16"/>
      <c r="X688" s="16"/>
      <c r="Y688" s="16"/>
    </row>
    <row r="689">
      <c r="A689" s="9" t="s">
        <v>2724</v>
      </c>
      <c r="B689" s="10" t="s">
        <v>2725</v>
      </c>
      <c r="C689" s="10" t="s">
        <v>2341</v>
      </c>
      <c r="D689" s="10" t="s">
        <v>19</v>
      </c>
      <c r="E689" s="10" t="s">
        <v>20</v>
      </c>
      <c r="F689" s="10" t="s">
        <v>2342</v>
      </c>
      <c r="G689" s="10" t="s">
        <v>2343</v>
      </c>
      <c r="H689" s="10"/>
      <c r="I689" s="11">
        <v>599.0</v>
      </c>
      <c r="J689" s="11">
        <v>899.0</v>
      </c>
      <c r="K689" s="12">
        <f t="shared" si="1"/>
        <v>0.3337041157</v>
      </c>
      <c r="L689" s="13">
        <f>IFERROR(__xludf.DUMMYFUNCTION("GOOGLEFINANCE(""CURRENCY:INRBRL"") * I689
"),35.270122953619996)</f>
        <v>35.27012295</v>
      </c>
      <c r="M689" s="9">
        <v>4.0</v>
      </c>
      <c r="N689" s="9">
        <v>4018.0</v>
      </c>
      <c r="O689" s="9" t="s">
        <v>2726</v>
      </c>
      <c r="P689" s="14" t="s">
        <v>2727</v>
      </c>
      <c r="U689" s="17"/>
      <c r="V689" s="18"/>
      <c r="W689" s="16"/>
      <c r="X689" s="16"/>
      <c r="Y689" s="16"/>
    </row>
    <row r="690">
      <c r="A690" s="9" t="s">
        <v>2728</v>
      </c>
      <c r="B690" s="10" t="s">
        <v>2729</v>
      </c>
      <c r="C690" s="10" t="s">
        <v>2730</v>
      </c>
      <c r="D690" s="10" t="s">
        <v>77</v>
      </c>
      <c r="E690" s="10" t="s">
        <v>2433</v>
      </c>
      <c r="F690" s="10" t="s">
        <v>2731</v>
      </c>
      <c r="G690" s="10"/>
      <c r="H690" s="10"/>
      <c r="I690" s="11">
        <v>479.0</v>
      </c>
      <c r="J690" s="11">
        <v>599.0</v>
      </c>
      <c r="K690" s="12">
        <f t="shared" si="1"/>
        <v>0.2003338898</v>
      </c>
      <c r="L690" s="13">
        <f>IFERROR(__xludf.DUMMYFUNCTION("GOOGLEFINANCE(""CURRENCY:INRBRL"") * I690
"),28.204322028019998)</f>
        <v>28.20432203</v>
      </c>
      <c r="M690" s="9">
        <v>4.5</v>
      </c>
      <c r="N690" s="9">
        <v>11687.0</v>
      </c>
      <c r="O690" s="9" t="s">
        <v>2732</v>
      </c>
      <c r="P690" s="14" t="s">
        <v>2733</v>
      </c>
      <c r="U690" s="17"/>
      <c r="V690" s="18"/>
      <c r="W690" s="16"/>
      <c r="X690" s="16"/>
      <c r="Y690" s="16"/>
    </row>
    <row r="691">
      <c r="A691" s="9" t="s">
        <v>83</v>
      </c>
      <c r="B691" s="10" t="s">
        <v>84</v>
      </c>
      <c r="C691" s="10" t="s">
        <v>18</v>
      </c>
      <c r="D691" s="10" t="s">
        <v>19</v>
      </c>
      <c r="E691" s="10" t="s">
        <v>20</v>
      </c>
      <c r="F691" s="10" t="s">
        <v>21</v>
      </c>
      <c r="G691" s="10" t="s">
        <v>22</v>
      </c>
      <c r="H691" s="10" t="s">
        <v>23</v>
      </c>
      <c r="I691" s="11">
        <v>350.0</v>
      </c>
      <c r="J691" s="11">
        <v>899.0</v>
      </c>
      <c r="K691" s="12">
        <f t="shared" si="1"/>
        <v>0.6106785317</v>
      </c>
      <c r="L691" s="13">
        <f>IFERROR(__xludf.DUMMYFUNCTION("GOOGLEFINANCE(""CURRENCY:INRBRL"") * I691
"),20.608586032999998)</f>
        <v>20.60858603</v>
      </c>
      <c r="M691" s="9">
        <v>4.5</v>
      </c>
      <c r="N691" s="9">
        <v>2262.0</v>
      </c>
      <c r="O691" s="9" t="s">
        <v>85</v>
      </c>
      <c r="P691" s="14" t="s">
        <v>2734</v>
      </c>
      <c r="U691" s="17"/>
      <c r="V691" s="18"/>
      <c r="W691" s="16"/>
      <c r="X691" s="16"/>
      <c r="Y691" s="16"/>
    </row>
    <row r="692">
      <c r="A692" s="9" t="s">
        <v>2735</v>
      </c>
      <c r="B692" s="10" t="s">
        <v>2736</v>
      </c>
      <c r="C692" s="10" t="s">
        <v>1454</v>
      </c>
      <c r="D692" s="10" t="s">
        <v>77</v>
      </c>
      <c r="E692" s="10" t="s">
        <v>1455</v>
      </c>
      <c r="F692" s="10" t="s">
        <v>1456</v>
      </c>
      <c r="G692" s="10" t="s">
        <v>1457</v>
      </c>
      <c r="H692" s="10"/>
      <c r="I692" s="11">
        <v>1598.0</v>
      </c>
      <c r="J692" s="11">
        <v>2990.0</v>
      </c>
      <c r="K692" s="12">
        <f t="shared" si="1"/>
        <v>0.4655518395</v>
      </c>
      <c r="L692" s="13">
        <f>IFERROR(__xludf.DUMMYFUNCTION("GOOGLEFINANCE(""CURRENCY:INRBRL"") * I692
"),94.09291565923999)</f>
        <v>94.09291566</v>
      </c>
      <c r="M692" s="9">
        <v>4.51</v>
      </c>
      <c r="N692" s="9">
        <v>11015.0</v>
      </c>
      <c r="O692" s="9" t="s">
        <v>2737</v>
      </c>
      <c r="P692" s="14" t="s">
        <v>2738</v>
      </c>
      <c r="U692" s="17"/>
      <c r="V692" s="18"/>
      <c r="W692" s="16"/>
      <c r="X692" s="16"/>
      <c r="Y692" s="16"/>
    </row>
    <row r="693">
      <c r="A693" s="9" t="s">
        <v>2739</v>
      </c>
      <c r="B693" s="10" t="s">
        <v>2740</v>
      </c>
      <c r="C693" s="10" t="s">
        <v>2741</v>
      </c>
      <c r="D693" s="10" t="s">
        <v>19</v>
      </c>
      <c r="E693" s="10" t="s">
        <v>57</v>
      </c>
      <c r="F693" s="10" t="s">
        <v>58</v>
      </c>
      <c r="G693" s="10" t="s">
        <v>2742</v>
      </c>
      <c r="H693" s="10"/>
      <c r="I693" s="11">
        <v>599.0</v>
      </c>
      <c r="J693" s="11">
        <v>899.0</v>
      </c>
      <c r="K693" s="12">
        <f t="shared" si="1"/>
        <v>0.3337041157</v>
      </c>
      <c r="L693" s="13">
        <f>IFERROR(__xludf.DUMMYFUNCTION("GOOGLEFINANCE(""CURRENCY:INRBRL"") * I693
"),35.270122953619996)</f>
        <v>35.27012295</v>
      </c>
      <c r="M693" s="9">
        <v>4.5</v>
      </c>
      <c r="N693" s="9">
        <v>95116.0</v>
      </c>
      <c r="O693" s="9" t="s">
        <v>2743</v>
      </c>
      <c r="P693" s="14" t="s">
        <v>2744</v>
      </c>
      <c r="U693" s="17"/>
      <c r="V693" s="18"/>
      <c r="W693" s="16"/>
      <c r="X693" s="16"/>
      <c r="Y693" s="16"/>
    </row>
    <row r="694">
      <c r="A694" s="9" t="s">
        <v>87</v>
      </c>
      <c r="B694" s="10" t="s">
        <v>88</v>
      </c>
      <c r="C694" s="10" t="s">
        <v>18</v>
      </c>
      <c r="D694" s="10" t="s">
        <v>19</v>
      </c>
      <c r="E694" s="10" t="s">
        <v>20</v>
      </c>
      <c r="F694" s="10" t="s">
        <v>21</v>
      </c>
      <c r="G694" s="10" t="s">
        <v>22</v>
      </c>
      <c r="H694" s="10" t="s">
        <v>23</v>
      </c>
      <c r="I694" s="11">
        <v>159.0</v>
      </c>
      <c r="J694" s="11">
        <v>399.0</v>
      </c>
      <c r="K694" s="12">
        <f t="shared" si="1"/>
        <v>0.6015037594</v>
      </c>
      <c r="L694" s="13">
        <f>IFERROR(__xludf.DUMMYFUNCTION("GOOGLEFINANCE(""CURRENCY:INRBRL"") * I694
"),9.36218622642)</f>
        <v>9.362186226</v>
      </c>
      <c r="M694" s="9">
        <v>4.49</v>
      </c>
      <c r="N694" s="9">
        <v>4768.0</v>
      </c>
      <c r="O694" s="9" t="s">
        <v>40</v>
      </c>
      <c r="P694" s="14" t="s">
        <v>2745</v>
      </c>
      <c r="U694" s="17"/>
      <c r="V694" s="18"/>
      <c r="W694" s="16"/>
      <c r="X694" s="16"/>
      <c r="Y694" s="16"/>
    </row>
    <row r="695">
      <c r="A695" s="9" t="s">
        <v>2746</v>
      </c>
      <c r="B695" s="10" t="s">
        <v>2747</v>
      </c>
      <c r="C695" s="10" t="s">
        <v>2334</v>
      </c>
      <c r="D695" s="10" t="s">
        <v>19</v>
      </c>
      <c r="E695" s="10" t="s">
        <v>2335</v>
      </c>
      <c r="F695" s="10" t="s">
        <v>2336</v>
      </c>
      <c r="G695" s="10"/>
      <c r="H695" s="10"/>
      <c r="I695" s="11">
        <v>1299.0</v>
      </c>
      <c r="J695" s="11">
        <v>2999.0</v>
      </c>
      <c r="K695" s="12">
        <f t="shared" si="1"/>
        <v>0.5668556185</v>
      </c>
      <c r="L695" s="13">
        <f>IFERROR(__xludf.DUMMYFUNCTION("GOOGLEFINANCE(""CURRENCY:INRBRL"") * I695
"),76.48729501961999)</f>
        <v>76.48729502</v>
      </c>
      <c r="M695" s="9">
        <v>4.5</v>
      </c>
      <c r="N695" s="9">
        <v>23022.0</v>
      </c>
      <c r="O695" s="9" t="s">
        <v>2748</v>
      </c>
      <c r="P695" s="14" t="s">
        <v>2749</v>
      </c>
      <c r="U695" s="17"/>
      <c r="V695" s="18"/>
      <c r="W695" s="16"/>
      <c r="X695" s="16"/>
      <c r="Y695" s="16"/>
    </row>
    <row r="696">
      <c r="A696" s="9" t="s">
        <v>1828</v>
      </c>
      <c r="B696" s="10" t="s">
        <v>1829</v>
      </c>
      <c r="C696" s="10" t="s">
        <v>1388</v>
      </c>
      <c r="D696" s="10" t="s">
        <v>77</v>
      </c>
      <c r="E696" s="10" t="s">
        <v>1389</v>
      </c>
      <c r="F696" s="10" t="s">
        <v>1390</v>
      </c>
      <c r="G696" s="10"/>
      <c r="H696" s="10"/>
      <c r="I696" s="11">
        <v>1599.0</v>
      </c>
      <c r="J696" s="11">
        <v>4999.0</v>
      </c>
      <c r="K696" s="12">
        <f t="shared" si="1"/>
        <v>0.6801360272</v>
      </c>
      <c r="L696" s="13">
        <f>IFERROR(__xludf.DUMMYFUNCTION("GOOGLEFINANCE(""CURRENCY:INRBRL"") * I696
"),94.15179733362)</f>
        <v>94.15179733</v>
      </c>
      <c r="M696" s="9">
        <v>4.0</v>
      </c>
      <c r="N696" s="9">
        <v>67951.0</v>
      </c>
      <c r="O696" s="9" t="s">
        <v>1830</v>
      </c>
      <c r="P696" s="14" t="s">
        <v>2750</v>
      </c>
      <c r="U696" s="17"/>
      <c r="V696" s="18"/>
      <c r="W696" s="16"/>
      <c r="X696" s="16"/>
      <c r="Y696" s="16"/>
    </row>
    <row r="697">
      <c r="A697" s="9" t="s">
        <v>2751</v>
      </c>
      <c r="B697" s="10" t="s">
        <v>2752</v>
      </c>
      <c r="C697" s="10" t="s">
        <v>2753</v>
      </c>
      <c r="D697" s="10" t="s">
        <v>19</v>
      </c>
      <c r="E697" s="10" t="s">
        <v>20</v>
      </c>
      <c r="F697" s="10" t="s">
        <v>916</v>
      </c>
      <c r="G697" s="10" t="s">
        <v>2754</v>
      </c>
      <c r="H697" s="10"/>
      <c r="I697" s="11">
        <v>294.0</v>
      </c>
      <c r="J697" s="11">
        <v>4999.0</v>
      </c>
      <c r="K697" s="12">
        <f t="shared" si="1"/>
        <v>0.9411882376</v>
      </c>
      <c r="L697" s="13">
        <f>IFERROR(__xludf.DUMMYFUNCTION("GOOGLEFINANCE(""CURRENCY:INRBRL"") * I697
"),17.31121226772)</f>
        <v>17.31121227</v>
      </c>
      <c r="M697" s="9">
        <v>4.5</v>
      </c>
      <c r="N697" s="9">
        <v>4426.0</v>
      </c>
      <c r="O697" s="9" t="s">
        <v>2755</v>
      </c>
      <c r="P697" s="14" t="s">
        <v>2756</v>
      </c>
      <c r="U697" s="17"/>
      <c r="V697" s="18"/>
      <c r="W697" s="16"/>
      <c r="X697" s="16"/>
      <c r="Y697" s="16"/>
    </row>
    <row r="698">
      <c r="A698" s="9" t="s">
        <v>2757</v>
      </c>
      <c r="B698" s="10" t="s">
        <v>2758</v>
      </c>
      <c r="C698" s="10" t="s">
        <v>2546</v>
      </c>
      <c r="D698" s="10" t="s">
        <v>19</v>
      </c>
      <c r="E698" s="10" t="s">
        <v>2547</v>
      </c>
      <c r="F698" s="10" t="s">
        <v>2548</v>
      </c>
      <c r="G698" s="10" t="s">
        <v>2549</v>
      </c>
      <c r="H698" s="10"/>
      <c r="I698" s="11">
        <v>828.0</v>
      </c>
      <c r="J698" s="11">
        <v>861.0</v>
      </c>
      <c r="K698" s="12">
        <f t="shared" si="1"/>
        <v>0.03832752613</v>
      </c>
      <c r="L698" s="13">
        <f>IFERROR(__xludf.DUMMYFUNCTION("GOOGLEFINANCE(""CURRENCY:INRBRL"") * I698
"),48.75402638664)</f>
        <v>48.75402639</v>
      </c>
      <c r="M698" s="9">
        <v>4.5</v>
      </c>
      <c r="N698" s="9">
        <v>4567.0</v>
      </c>
      <c r="O698" s="9" t="s">
        <v>2759</v>
      </c>
      <c r="P698" s="14" t="s">
        <v>2760</v>
      </c>
      <c r="U698" s="17"/>
      <c r="V698" s="18"/>
      <c r="W698" s="16"/>
      <c r="X698" s="16"/>
      <c r="Y698" s="16"/>
    </row>
    <row r="699">
      <c r="A699" s="9" t="s">
        <v>2761</v>
      </c>
      <c r="B699" s="10" t="s">
        <v>2762</v>
      </c>
      <c r="C699" s="10" t="s">
        <v>2142</v>
      </c>
      <c r="D699" s="10" t="s">
        <v>77</v>
      </c>
      <c r="E699" s="10" t="s">
        <v>1455</v>
      </c>
      <c r="F699" s="10" t="s">
        <v>1456</v>
      </c>
      <c r="G699" s="10" t="s">
        <v>2143</v>
      </c>
      <c r="H699" s="10"/>
      <c r="I699" s="11">
        <v>745.0</v>
      </c>
      <c r="J699" s="11">
        <v>795.0</v>
      </c>
      <c r="K699" s="12">
        <f t="shared" si="1"/>
        <v>0.06289308176</v>
      </c>
      <c r="L699" s="13">
        <f>IFERROR(__xludf.DUMMYFUNCTION("GOOGLEFINANCE(""CURRENCY:INRBRL"") * I699
"),43.8668474131)</f>
        <v>43.86684741</v>
      </c>
      <c r="M699" s="9">
        <v>4.0</v>
      </c>
      <c r="N699" s="9">
        <v>13797.0</v>
      </c>
      <c r="O699" s="9" t="s">
        <v>2763</v>
      </c>
      <c r="P699" s="14" t="s">
        <v>2764</v>
      </c>
      <c r="U699" s="17"/>
      <c r="V699" s="18"/>
      <c r="W699" s="16"/>
      <c r="X699" s="16"/>
      <c r="Y699" s="16"/>
    </row>
    <row r="700">
      <c r="A700" s="9" t="s">
        <v>2765</v>
      </c>
      <c r="B700" s="10" t="s">
        <v>2766</v>
      </c>
      <c r="C700" s="10" t="s">
        <v>2767</v>
      </c>
      <c r="D700" s="10" t="s">
        <v>77</v>
      </c>
      <c r="E700" s="10" t="s">
        <v>2483</v>
      </c>
      <c r="F700" s="10" t="s">
        <v>79</v>
      </c>
      <c r="G700" s="10" t="s">
        <v>2499</v>
      </c>
      <c r="H700" s="10" t="s">
        <v>2768</v>
      </c>
      <c r="I700" s="11">
        <v>1549.0</v>
      </c>
      <c r="J700" s="11">
        <v>2495.0</v>
      </c>
      <c r="K700" s="12">
        <f t="shared" si="1"/>
        <v>0.3791583166</v>
      </c>
      <c r="L700" s="13">
        <f>IFERROR(__xludf.DUMMYFUNCTION("GOOGLEFINANCE(""CURRENCY:INRBRL"") * I700
"),91.20771361462)</f>
        <v>91.20771361</v>
      </c>
      <c r="M700" s="9">
        <v>4.5</v>
      </c>
      <c r="N700" s="9">
        <v>15137.0</v>
      </c>
      <c r="O700" s="9" t="s">
        <v>2769</v>
      </c>
      <c r="P700" s="14" t="s">
        <v>2770</v>
      </c>
      <c r="U700" s="17"/>
      <c r="V700" s="18"/>
      <c r="W700" s="16"/>
      <c r="X700" s="16"/>
      <c r="Y700" s="16"/>
    </row>
    <row r="701">
      <c r="A701" s="9" t="s">
        <v>90</v>
      </c>
      <c r="B701" s="10" t="s">
        <v>91</v>
      </c>
      <c r="C701" s="10" t="s">
        <v>18</v>
      </c>
      <c r="D701" s="10" t="s">
        <v>19</v>
      </c>
      <c r="E701" s="10" t="s">
        <v>20</v>
      </c>
      <c r="F701" s="10" t="s">
        <v>21</v>
      </c>
      <c r="G701" s="10" t="s">
        <v>22</v>
      </c>
      <c r="H701" s="10" t="s">
        <v>23</v>
      </c>
      <c r="I701" s="11">
        <v>349.0</v>
      </c>
      <c r="J701" s="11">
        <v>399.0</v>
      </c>
      <c r="K701" s="12">
        <f t="shared" si="1"/>
        <v>0.1253132832</v>
      </c>
      <c r="L701" s="13">
        <f>IFERROR(__xludf.DUMMYFUNCTION("GOOGLEFINANCE(""CURRENCY:INRBRL"") * I701
"),20.549704358619998)</f>
        <v>20.54970436</v>
      </c>
      <c r="M701" s="9">
        <v>4.5</v>
      </c>
      <c r="N701" s="9">
        <v>18757.0</v>
      </c>
      <c r="O701" s="9" t="s">
        <v>2771</v>
      </c>
      <c r="P701" s="14" t="s">
        <v>2772</v>
      </c>
      <c r="U701" s="17"/>
      <c r="V701" s="18"/>
      <c r="W701" s="16"/>
      <c r="X701" s="16"/>
      <c r="Y701" s="16"/>
    </row>
    <row r="702">
      <c r="A702" s="9" t="s">
        <v>113</v>
      </c>
      <c r="B702" s="10" t="s">
        <v>114</v>
      </c>
      <c r="C702" s="10" t="s">
        <v>18</v>
      </c>
      <c r="D702" s="10" t="s">
        <v>19</v>
      </c>
      <c r="E702" s="10" t="s">
        <v>20</v>
      </c>
      <c r="F702" s="10" t="s">
        <v>21</v>
      </c>
      <c r="G702" s="10" t="s">
        <v>22</v>
      </c>
      <c r="H702" s="10" t="s">
        <v>23</v>
      </c>
      <c r="I702" s="11">
        <v>970.0</v>
      </c>
      <c r="J702" s="11">
        <v>1799.0</v>
      </c>
      <c r="K702" s="12">
        <f t="shared" si="1"/>
        <v>0.460811562</v>
      </c>
      <c r="L702" s="13">
        <f>IFERROR(__xludf.DUMMYFUNCTION("GOOGLEFINANCE(""CURRENCY:INRBRL"") * I702
"),57.1152241486)</f>
        <v>57.11522415</v>
      </c>
      <c r="M702" s="9">
        <v>4.51</v>
      </c>
      <c r="N702" s="9">
        <v>815.0</v>
      </c>
      <c r="O702" s="9" t="s">
        <v>115</v>
      </c>
      <c r="P702" s="14" t="s">
        <v>2773</v>
      </c>
      <c r="U702" s="17"/>
      <c r="V702" s="18"/>
      <c r="W702" s="16"/>
      <c r="X702" s="16"/>
      <c r="Y702" s="16"/>
    </row>
    <row r="703">
      <c r="A703" s="9" t="s">
        <v>2774</v>
      </c>
      <c r="B703" s="10" t="s">
        <v>2775</v>
      </c>
      <c r="C703" s="10" t="s">
        <v>2528</v>
      </c>
      <c r="D703" s="10" t="s">
        <v>19</v>
      </c>
      <c r="E703" s="10" t="s">
        <v>57</v>
      </c>
      <c r="F703" s="10" t="s">
        <v>2529</v>
      </c>
      <c r="G703" s="10"/>
      <c r="H703" s="10"/>
      <c r="I703" s="11">
        <v>1469.0</v>
      </c>
      <c r="J703" s="11">
        <v>2499.0</v>
      </c>
      <c r="K703" s="12">
        <f t="shared" si="1"/>
        <v>0.4121648659</v>
      </c>
      <c r="L703" s="13">
        <f>IFERROR(__xludf.DUMMYFUNCTION("GOOGLEFINANCE(""CURRENCY:INRBRL"") * I703
"),86.49717966422)</f>
        <v>86.49717966</v>
      </c>
      <c r="M703" s="9">
        <v>4.5</v>
      </c>
      <c r="N703" s="9">
        <v>156638.0</v>
      </c>
      <c r="O703" s="9" t="s">
        <v>2776</v>
      </c>
      <c r="P703" s="14" t="s">
        <v>2777</v>
      </c>
      <c r="U703" s="17"/>
      <c r="V703" s="18"/>
      <c r="W703" s="16"/>
      <c r="X703" s="16"/>
      <c r="Y703" s="16"/>
    </row>
    <row r="704">
      <c r="A704" s="9" t="s">
        <v>2778</v>
      </c>
      <c r="B704" s="10" t="s">
        <v>2779</v>
      </c>
      <c r="C704" s="10" t="s">
        <v>2780</v>
      </c>
      <c r="D704" s="10" t="s">
        <v>2440</v>
      </c>
      <c r="E704" s="10" t="s">
        <v>2441</v>
      </c>
      <c r="F704" s="10" t="s">
        <v>2442</v>
      </c>
      <c r="G704" s="10" t="s">
        <v>2443</v>
      </c>
      <c r="H704" s="10" t="s">
        <v>2719</v>
      </c>
      <c r="I704" s="11">
        <v>198.0</v>
      </c>
      <c r="J704" s="11">
        <v>800.0</v>
      </c>
      <c r="K704" s="12">
        <f t="shared" si="1"/>
        <v>0.7525</v>
      </c>
      <c r="L704" s="13">
        <f>IFERROR(__xludf.DUMMYFUNCTION("GOOGLEFINANCE(""CURRENCY:INRBRL"") * I704
"),11.65857152724)</f>
        <v>11.65857153</v>
      </c>
      <c r="M704" s="9">
        <v>4.49</v>
      </c>
      <c r="N704" s="9">
        <v>9344.0</v>
      </c>
      <c r="O704" s="9" t="s">
        <v>2781</v>
      </c>
      <c r="P704" s="14" t="s">
        <v>2782</v>
      </c>
      <c r="U704" s="17"/>
      <c r="V704" s="18"/>
      <c r="W704" s="16"/>
      <c r="X704" s="16"/>
      <c r="Y704" s="16"/>
    </row>
    <row r="705">
      <c r="A705" s="9" t="s">
        <v>2783</v>
      </c>
      <c r="B705" s="10" t="s">
        <v>2784</v>
      </c>
      <c r="C705" s="10" t="s">
        <v>2785</v>
      </c>
      <c r="D705" s="10" t="s">
        <v>77</v>
      </c>
      <c r="E705" s="10" t="s">
        <v>2483</v>
      </c>
      <c r="F705" s="10" t="s">
        <v>79</v>
      </c>
      <c r="G705" s="10" t="s">
        <v>2786</v>
      </c>
      <c r="H705" s="10"/>
      <c r="I705" s="11">
        <v>549.0</v>
      </c>
      <c r="J705" s="11">
        <v>549.0</v>
      </c>
      <c r="K705" s="12">
        <f t="shared" si="1"/>
        <v>0</v>
      </c>
      <c r="L705" s="13">
        <f>IFERROR(__xludf.DUMMYFUNCTION("GOOGLEFINANCE(""CURRENCY:INRBRL"") * I705
"),32.32603923462)</f>
        <v>32.32603923</v>
      </c>
      <c r="M705" s="9">
        <v>4.51</v>
      </c>
      <c r="N705" s="9">
        <v>4875.0</v>
      </c>
      <c r="O705" s="9" t="s">
        <v>2787</v>
      </c>
      <c r="P705" s="14" t="s">
        <v>2788</v>
      </c>
      <c r="U705" s="17"/>
      <c r="V705" s="18"/>
      <c r="W705" s="16"/>
      <c r="X705" s="16"/>
      <c r="Y705" s="16"/>
    </row>
    <row r="706">
      <c r="A706" s="9" t="s">
        <v>1913</v>
      </c>
      <c r="B706" s="10" t="s">
        <v>1914</v>
      </c>
      <c r="C706" s="10" t="s">
        <v>1388</v>
      </c>
      <c r="D706" s="10" t="s">
        <v>77</v>
      </c>
      <c r="E706" s="10" t="s">
        <v>1389</v>
      </c>
      <c r="F706" s="10" t="s">
        <v>1390</v>
      </c>
      <c r="G706" s="10"/>
      <c r="H706" s="10"/>
      <c r="I706" s="11">
        <v>2999.0</v>
      </c>
      <c r="J706" s="11">
        <v>9999.0</v>
      </c>
      <c r="K706" s="12">
        <f t="shared" si="1"/>
        <v>0.700070007</v>
      </c>
      <c r="L706" s="13">
        <f>IFERROR(__xludf.DUMMYFUNCTION("GOOGLEFINANCE(""CURRENCY:INRBRL"") * I706
"),176.58614146562)</f>
        <v>176.5861415</v>
      </c>
      <c r="M706" s="9">
        <v>4.5</v>
      </c>
      <c r="N706" s="9">
        <v>20881.0</v>
      </c>
      <c r="O706" s="9" t="s">
        <v>1915</v>
      </c>
      <c r="P706" s="14" t="s">
        <v>2789</v>
      </c>
      <c r="U706" s="17"/>
      <c r="V706" s="18"/>
      <c r="W706" s="16"/>
      <c r="X706" s="16"/>
      <c r="Y706" s="16"/>
    </row>
    <row r="707">
      <c r="A707" s="9" t="s">
        <v>2790</v>
      </c>
      <c r="B707" s="10" t="s">
        <v>2791</v>
      </c>
      <c r="C707" s="10" t="s">
        <v>1388</v>
      </c>
      <c r="D707" s="10" t="s">
        <v>77</v>
      </c>
      <c r="E707" s="10" t="s">
        <v>1389</v>
      </c>
      <c r="F707" s="10" t="s">
        <v>1390</v>
      </c>
      <c r="G707" s="10"/>
      <c r="H707" s="10"/>
      <c r="I707" s="11">
        <v>11999.0</v>
      </c>
      <c r="J707" s="11">
        <v>29999.0</v>
      </c>
      <c r="K707" s="12">
        <f t="shared" si="1"/>
        <v>0.6000200007</v>
      </c>
      <c r="L707" s="13">
        <f>IFERROR(__xludf.DUMMYFUNCTION("GOOGLEFINANCE(""CURRENCY:INRBRL"") * I707
"),706.52121088562)</f>
        <v>706.5212109</v>
      </c>
      <c r="M707" s="9">
        <v>4.5</v>
      </c>
      <c r="N707" s="9">
        <v>4744.0</v>
      </c>
      <c r="O707" s="9" t="s">
        <v>2792</v>
      </c>
      <c r="P707" s="14" t="s">
        <v>2793</v>
      </c>
      <c r="U707" s="17"/>
      <c r="V707" s="18"/>
      <c r="W707" s="16"/>
      <c r="X707" s="16"/>
      <c r="Y707" s="16"/>
    </row>
    <row r="708">
      <c r="A708" s="9" t="s">
        <v>2794</v>
      </c>
      <c r="B708" s="10" t="s">
        <v>2795</v>
      </c>
      <c r="C708" s="10" t="s">
        <v>1454</v>
      </c>
      <c r="D708" s="10" t="s">
        <v>77</v>
      </c>
      <c r="E708" s="10" t="s">
        <v>1455</v>
      </c>
      <c r="F708" s="10" t="s">
        <v>1456</v>
      </c>
      <c r="G708" s="10" t="s">
        <v>1457</v>
      </c>
      <c r="H708" s="10"/>
      <c r="I708" s="11">
        <v>1299.0</v>
      </c>
      <c r="J708" s="11">
        <v>3499.0</v>
      </c>
      <c r="K708" s="12">
        <f t="shared" si="1"/>
        <v>0.6287510717</v>
      </c>
      <c r="L708" s="13">
        <f>IFERROR(__xludf.DUMMYFUNCTION("GOOGLEFINANCE(""CURRENCY:INRBRL"") * I708
"),76.48729501961999)</f>
        <v>76.48729502</v>
      </c>
      <c r="M708" s="9">
        <v>4.52</v>
      </c>
      <c r="N708" s="9">
        <v>12452.0</v>
      </c>
      <c r="O708" s="9" t="s">
        <v>2796</v>
      </c>
      <c r="P708" s="14" t="s">
        <v>2797</v>
      </c>
      <c r="U708" s="17"/>
      <c r="V708" s="18"/>
      <c r="W708" s="16"/>
      <c r="X708" s="16"/>
      <c r="Y708" s="16"/>
    </row>
    <row r="709">
      <c r="A709" s="9" t="s">
        <v>2798</v>
      </c>
      <c r="B709" s="10" t="s">
        <v>2799</v>
      </c>
      <c r="C709" s="10" t="s">
        <v>2432</v>
      </c>
      <c r="D709" s="10" t="s">
        <v>77</v>
      </c>
      <c r="E709" s="10" t="s">
        <v>2433</v>
      </c>
      <c r="F709" s="10" t="s">
        <v>2434</v>
      </c>
      <c r="G709" s="10"/>
      <c r="H709" s="10"/>
      <c r="I709" s="11">
        <v>269.0</v>
      </c>
      <c r="J709" s="11">
        <v>315.0</v>
      </c>
      <c r="K709" s="12">
        <f t="shared" si="1"/>
        <v>0.146031746</v>
      </c>
      <c r="L709" s="13">
        <f>IFERROR(__xludf.DUMMYFUNCTION("GOOGLEFINANCE(""CURRENCY:INRBRL"") * I709
"),15.83917040822)</f>
        <v>15.83917041</v>
      </c>
      <c r="M709" s="9">
        <v>4.51</v>
      </c>
      <c r="N709" s="9">
        <v>1781.0</v>
      </c>
      <c r="O709" s="9" t="s">
        <v>2800</v>
      </c>
      <c r="P709" s="14" t="s">
        <v>2801</v>
      </c>
      <c r="U709" s="17"/>
      <c r="V709" s="18"/>
      <c r="W709" s="16"/>
      <c r="X709" s="16"/>
      <c r="Y709" s="16"/>
    </row>
    <row r="710">
      <c r="A710" s="9" t="s">
        <v>2802</v>
      </c>
      <c r="B710" s="10" t="s">
        <v>2803</v>
      </c>
      <c r="C710" s="10" t="s">
        <v>1454</v>
      </c>
      <c r="D710" s="10" t="s">
        <v>77</v>
      </c>
      <c r="E710" s="10" t="s">
        <v>1455</v>
      </c>
      <c r="F710" s="10" t="s">
        <v>1456</v>
      </c>
      <c r="G710" s="10" t="s">
        <v>1457</v>
      </c>
      <c r="H710" s="10"/>
      <c r="I710" s="11">
        <v>799.0</v>
      </c>
      <c r="J710" s="11">
        <v>1499.0</v>
      </c>
      <c r="K710" s="12">
        <f t="shared" si="1"/>
        <v>0.4669779853</v>
      </c>
      <c r="L710" s="13">
        <f>IFERROR(__xludf.DUMMYFUNCTION("GOOGLEFINANCE(""CURRENCY:INRBRL"") * I710
"),47.046457829619996)</f>
        <v>47.04645783</v>
      </c>
      <c r="M710" s="9">
        <v>4.49</v>
      </c>
      <c r="N710" s="9">
        <v>53648.0</v>
      </c>
      <c r="O710" s="9" t="s">
        <v>2804</v>
      </c>
      <c r="P710" s="14" t="s">
        <v>2805</v>
      </c>
      <c r="U710" s="17"/>
      <c r="V710" s="18"/>
      <c r="W710" s="16"/>
      <c r="X710" s="16"/>
      <c r="Y710" s="16"/>
    </row>
    <row r="711">
      <c r="A711" s="9" t="s">
        <v>2806</v>
      </c>
      <c r="B711" s="10" t="s">
        <v>2807</v>
      </c>
      <c r="C711" s="10" t="s">
        <v>2808</v>
      </c>
      <c r="D711" s="10" t="s">
        <v>19</v>
      </c>
      <c r="E711" s="10" t="s">
        <v>2809</v>
      </c>
      <c r="F711" s="10"/>
      <c r="G711" s="10"/>
      <c r="H711" s="10"/>
      <c r="I711" s="11">
        <v>6299.0</v>
      </c>
      <c r="J711" s="11">
        <v>13750.0</v>
      </c>
      <c r="K711" s="12">
        <f t="shared" si="1"/>
        <v>0.5418909091</v>
      </c>
      <c r="L711" s="13">
        <f>IFERROR(__xludf.DUMMYFUNCTION("GOOGLEFINANCE(""CURRENCY:INRBRL"") * I711
"),370.89566691962)</f>
        <v>370.8956669</v>
      </c>
      <c r="M711" s="9">
        <v>4.5</v>
      </c>
      <c r="N711" s="9">
        <v>2014.0</v>
      </c>
      <c r="O711" s="9" t="s">
        <v>2810</v>
      </c>
      <c r="P711" s="14" t="s">
        <v>2811</v>
      </c>
      <c r="U711" s="17"/>
      <c r="V711" s="18"/>
      <c r="W711" s="16"/>
      <c r="X711" s="16"/>
      <c r="Y711" s="16"/>
    </row>
    <row r="712">
      <c r="A712" s="9" t="s">
        <v>2812</v>
      </c>
      <c r="B712" s="10" t="s">
        <v>2813</v>
      </c>
      <c r="C712" s="10" t="s">
        <v>2814</v>
      </c>
      <c r="D712" s="10" t="s">
        <v>19</v>
      </c>
      <c r="E712" s="10" t="s">
        <v>20</v>
      </c>
      <c r="F712" s="10" t="s">
        <v>2815</v>
      </c>
      <c r="G712" s="10" t="s">
        <v>2816</v>
      </c>
      <c r="H712" s="10"/>
      <c r="I712" s="11">
        <v>59.0</v>
      </c>
      <c r="J712" s="11">
        <v>59.0</v>
      </c>
      <c r="K712" s="12">
        <f t="shared" si="1"/>
        <v>0</v>
      </c>
      <c r="L712" s="13">
        <f>IFERROR(__xludf.DUMMYFUNCTION("GOOGLEFINANCE(""CURRENCY:INRBRL"") * I712
"),3.47401878842)</f>
        <v>3.474018788</v>
      </c>
      <c r="M712" s="9">
        <v>4.51</v>
      </c>
      <c r="N712" s="9">
        <v>5958.0</v>
      </c>
      <c r="O712" s="9" t="s">
        <v>2817</v>
      </c>
      <c r="P712" s="14" t="s">
        <v>2818</v>
      </c>
      <c r="U712" s="17"/>
      <c r="V712" s="18"/>
      <c r="W712" s="16"/>
      <c r="X712" s="16"/>
      <c r="Y712" s="16"/>
    </row>
    <row r="713">
      <c r="A713" s="9" t="s">
        <v>2819</v>
      </c>
      <c r="B713" s="10" t="s">
        <v>2820</v>
      </c>
      <c r="C713" s="10" t="s">
        <v>1474</v>
      </c>
      <c r="D713" s="10" t="s">
        <v>77</v>
      </c>
      <c r="E713" s="10" t="s">
        <v>1404</v>
      </c>
      <c r="F713" s="10" t="s">
        <v>1405</v>
      </c>
      <c r="G713" s="10" t="s">
        <v>1406</v>
      </c>
      <c r="H713" s="10" t="s">
        <v>1475</v>
      </c>
      <c r="I713" s="11">
        <v>571.0</v>
      </c>
      <c r="J713" s="11">
        <v>999.0</v>
      </c>
      <c r="K713" s="12">
        <f t="shared" si="1"/>
        <v>0.4284284284</v>
      </c>
      <c r="L713" s="13">
        <f>IFERROR(__xludf.DUMMYFUNCTION("GOOGLEFINANCE(""CURRENCY:INRBRL"") * I713
"),33.621436070979996)</f>
        <v>33.62143607</v>
      </c>
      <c r="M713" s="9">
        <v>4.5</v>
      </c>
      <c r="N713" s="9">
        <v>38221.0</v>
      </c>
      <c r="O713" s="9" t="s">
        <v>2821</v>
      </c>
      <c r="P713" s="14" t="s">
        <v>2822</v>
      </c>
      <c r="U713" s="17"/>
      <c r="V713" s="18"/>
      <c r="W713" s="16"/>
      <c r="X713" s="16"/>
      <c r="Y713" s="16"/>
    </row>
    <row r="714">
      <c r="A714" s="9" t="s">
        <v>2823</v>
      </c>
      <c r="B714" s="10" t="s">
        <v>2824</v>
      </c>
      <c r="C714" s="10" t="s">
        <v>2671</v>
      </c>
      <c r="D714" s="10" t="s">
        <v>77</v>
      </c>
      <c r="E714" s="10" t="s">
        <v>569</v>
      </c>
      <c r="F714" s="10" t="s">
        <v>1129</v>
      </c>
      <c r="G714" s="10" t="s">
        <v>2672</v>
      </c>
      <c r="H714" s="10"/>
      <c r="I714" s="11">
        <v>549.0</v>
      </c>
      <c r="J714" s="11">
        <v>999.0</v>
      </c>
      <c r="K714" s="12">
        <f t="shared" si="1"/>
        <v>0.4504504505</v>
      </c>
      <c r="L714" s="13">
        <f>IFERROR(__xludf.DUMMYFUNCTION("GOOGLEFINANCE(""CURRENCY:INRBRL"") * I714
"),32.32603923462)</f>
        <v>32.32603923</v>
      </c>
      <c r="M714" s="9">
        <v>4.52</v>
      </c>
      <c r="N714" s="9">
        <v>64705.0</v>
      </c>
      <c r="O714" s="9" t="s">
        <v>2825</v>
      </c>
      <c r="P714" s="14" t="s">
        <v>2826</v>
      </c>
      <c r="U714" s="17"/>
      <c r="V714" s="18"/>
      <c r="W714" s="16"/>
      <c r="X714" s="16"/>
      <c r="Y714" s="16"/>
    </row>
    <row r="715">
      <c r="A715" s="9" t="s">
        <v>1867</v>
      </c>
      <c r="B715" s="10" t="s">
        <v>1868</v>
      </c>
      <c r="C715" s="10" t="s">
        <v>1869</v>
      </c>
      <c r="D715" s="10" t="s">
        <v>77</v>
      </c>
      <c r="E715" s="10" t="s">
        <v>1404</v>
      </c>
      <c r="F715" s="10" t="s">
        <v>1405</v>
      </c>
      <c r="G715" s="10" t="s">
        <v>1870</v>
      </c>
      <c r="H715" s="10"/>
      <c r="I715" s="11">
        <v>2099.0</v>
      </c>
      <c r="J715" s="11">
        <v>5999.0</v>
      </c>
      <c r="K715" s="12">
        <f t="shared" si="1"/>
        <v>0.6501083514</v>
      </c>
      <c r="L715" s="13">
        <f>IFERROR(__xludf.DUMMYFUNCTION("GOOGLEFINANCE(""CURRENCY:INRBRL"") * I715
"),123.59263452361999)</f>
        <v>123.5926345</v>
      </c>
      <c r="M715" s="9">
        <v>4.5</v>
      </c>
      <c r="N715" s="9">
        <v>17129.0</v>
      </c>
      <c r="O715" s="9" t="s">
        <v>1871</v>
      </c>
      <c r="P715" s="14" t="s">
        <v>2827</v>
      </c>
      <c r="U715" s="17"/>
      <c r="V715" s="18"/>
      <c r="W715" s="16"/>
      <c r="X715" s="16"/>
      <c r="Y715" s="16"/>
    </row>
    <row r="716">
      <c r="A716" s="9" t="s">
        <v>109</v>
      </c>
      <c r="B716" s="10" t="s">
        <v>110</v>
      </c>
      <c r="C716" s="10" t="s">
        <v>96</v>
      </c>
      <c r="D716" s="10" t="s">
        <v>77</v>
      </c>
      <c r="E716" s="10" t="s">
        <v>78</v>
      </c>
      <c r="F716" s="10" t="s">
        <v>97</v>
      </c>
      <c r="G716" s="10" t="s">
        <v>98</v>
      </c>
      <c r="H716" s="10"/>
      <c r="I716" s="11">
        <v>13490.0</v>
      </c>
      <c r="J716" s="11">
        <v>21999.0</v>
      </c>
      <c r="K716" s="12">
        <f t="shared" si="1"/>
        <v>0.3867903087</v>
      </c>
      <c r="L716" s="13">
        <f>IFERROR(__xludf.DUMMYFUNCTION("GOOGLEFINANCE(""CURRENCY:INRBRL"") * I716
"),794.3137873862)</f>
        <v>794.3137874</v>
      </c>
      <c r="M716" s="9">
        <v>4.5</v>
      </c>
      <c r="N716" s="9">
        <v>11976.0</v>
      </c>
      <c r="O716" s="9" t="s">
        <v>111</v>
      </c>
      <c r="P716" s="14" t="s">
        <v>2828</v>
      </c>
      <c r="U716" s="17"/>
      <c r="V716" s="18"/>
      <c r="W716" s="16"/>
      <c r="X716" s="16"/>
      <c r="Y716" s="16"/>
    </row>
    <row r="717">
      <c r="A717" s="9" t="s">
        <v>2829</v>
      </c>
      <c r="B717" s="10" t="s">
        <v>2830</v>
      </c>
      <c r="C717" s="10" t="s">
        <v>2467</v>
      </c>
      <c r="D717" s="10" t="s">
        <v>19</v>
      </c>
      <c r="E717" s="10" t="s">
        <v>20</v>
      </c>
      <c r="F717" s="10" t="s">
        <v>2342</v>
      </c>
      <c r="G717" s="10" t="s">
        <v>2468</v>
      </c>
      <c r="H717" s="10"/>
      <c r="I717" s="11">
        <v>448.0</v>
      </c>
      <c r="J717" s="11">
        <v>699.0</v>
      </c>
      <c r="K717" s="12">
        <f t="shared" si="1"/>
        <v>0.3590844063</v>
      </c>
      <c r="L717" s="13">
        <f>IFERROR(__xludf.DUMMYFUNCTION("GOOGLEFINANCE(""CURRENCY:INRBRL"") * I717
"),26.378990122239998)</f>
        <v>26.37899012</v>
      </c>
      <c r="M717" s="9">
        <v>4.52</v>
      </c>
      <c r="N717" s="9">
        <v>17348.0</v>
      </c>
      <c r="O717" s="9" t="s">
        <v>2831</v>
      </c>
      <c r="P717" s="14" t="s">
        <v>2832</v>
      </c>
      <c r="U717" s="17"/>
      <c r="V717" s="18"/>
      <c r="W717" s="16"/>
      <c r="X717" s="16"/>
      <c r="Y717" s="16"/>
    </row>
    <row r="718">
      <c r="A718" s="9" t="s">
        <v>2833</v>
      </c>
      <c r="B718" s="10" t="s">
        <v>2834</v>
      </c>
      <c r="C718" s="10" t="s">
        <v>1454</v>
      </c>
      <c r="D718" s="10" t="s">
        <v>77</v>
      </c>
      <c r="E718" s="10" t="s">
        <v>1455</v>
      </c>
      <c r="F718" s="10" t="s">
        <v>1456</v>
      </c>
      <c r="G718" s="10" t="s">
        <v>1457</v>
      </c>
      <c r="H718" s="10"/>
      <c r="I718" s="11">
        <v>1499.0</v>
      </c>
      <c r="J718" s="11">
        <v>2999.0</v>
      </c>
      <c r="K718" s="12">
        <f t="shared" si="1"/>
        <v>0.5001667222</v>
      </c>
      <c r="L718" s="13">
        <f>IFERROR(__xludf.DUMMYFUNCTION("GOOGLEFINANCE(""CURRENCY:INRBRL"") * I718
"),88.26362989562)</f>
        <v>88.2636299</v>
      </c>
      <c r="M718" s="9">
        <v>4.51</v>
      </c>
      <c r="N718" s="9">
        <v>87798.0</v>
      </c>
      <c r="O718" s="9" t="s">
        <v>2835</v>
      </c>
      <c r="P718" s="14" t="s">
        <v>2836</v>
      </c>
      <c r="U718" s="17"/>
      <c r="V718" s="18"/>
      <c r="W718" s="16"/>
      <c r="X718" s="16"/>
      <c r="Y718" s="16"/>
    </row>
    <row r="719">
      <c r="A719" s="9" t="s">
        <v>2837</v>
      </c>
      <c r="B719" s="10" t="s">
        <v>2838</v>
      </c>
      <c r="C719" s="10" t="s">
        <v>2839</v>
      </c>
      <c r="D719" s="10" t="s">
        <v>77</v>
      </c>
      <c r="E719" s="10" t="s">
        <v>2483</v>
      </c>
      <c r="F719" s="10" t="s">
        <v>79</v>
      </c>
      <c r="G719" s="10" t="s">
        <v>2840</v>
      </c>
      <c r="H719" s="10" t="s">
        <v>2841</v>
      </c>
      <c r="I719" s="11">
        <v>299.0</v>
      </c>
      <c r="J719" s="11">
        <v>499.0</v>
      </c>
      <c r="K719" s="12">
        <f t="shared" si="1"/>
        <v>0.4008016032</v>
      </c>
      <c r="L719" s="13">
        <f>IFERROR(__xludf.DUMMYFUNCTION("GOOGLEFINANCE(""CURRENCY:INRBRL"") * I719
"),17.60562063962)</f>
        <v>17.60562064</v>
      </c>
      <c r="M719" s="9">
        <v>4.5</v>
      </c>
      <c r="N719" s="9">
        <v>24432.0</v>
      </c>
      <c r="O719" s="9" t="s">
        <v>2842</v>
      </c>
      <c r="P719" s="14" t="s">
        <v>2843</v>
      </c>
      <c r="U719" s="17"/>
      <c r="V719" s="18"/>
      <c r="W719" s="16"/>
      <c r="X719" s="16"/>
      <c r="Y719" s="16"/>
    </row>
    <row r="720">
      <c r="A720" s="9" t="s">
        <v>2844</v>
      </c>
      <c r="B720" s="10" t="s">
        <v>2845</v>
      </c>
      <c r="C720" s="10" t="s">
        <v>2334</v>
      </c>
      <c r="D720" s="10" t="s">
        <v>19</v>
      </c>
      <c r="E720" s="10" t="s">
        <v>2335</v>
      </c>
      <c r="F720" s="10" t="s">
        <v>2336</v>
      </c>
      <c r="G720" s="10"/>
      <c r="H720" s="10"/>
      <c r="I720" s="11">
        <v>579.0</v>
      </c>
      <c r="J720" s="11">
        <v>1399.0</v>
      </c>
      <c r="K720" s="12">
        <f t="shared" si="1"/>
        <v>0.5861329521</v>
      </c>
      <c r="L720" s="13">
        <f>IFERROR(__xludf.DUMMYFUNCTION("GOOGLEFINANCE(""CURRENCY:INRBRL"") * I720
"),34.09248946602)</f>
        <v>34.09248947</v>
      </c>
      <c r="M720" s="9">
        <v>4.5</v>
      </c>
      <c r="N720" s="9">
        <v>189104.0</v>
      </c>
      <c r="O720" s="9" t="s">
        <v>2846</v>
      </c>
      <c r="P720" s="14" t="s">
        <v>2847</v>
      </c>
      <c r="U720" s="17"/>
      <c r="V720" s="18"/>
      <c r="W720" s="16"/>
      <c r="X720" s="16"/>
      <c r="Y720" s="16"/>
    </row>
    <row r="721">
      <c r="A721" s="9" t="s">
        <v>2848</v>
      </c>
      <c r="B721" s="10" t="s">
        <v>2849</v>
      </c>
      <c r="C721" s="10" t="s">
        <v>2850</v>
      </c>
      <c r="D721" s="10" t="s">
        <v>77</v>
      </c>
      <c r="E721" s="10" t="s">
        <v>2483</v>
      </c>
      <c r="F721" s="10" t="s">
        <v>2851</v>
      </c>
      <c r="G721" s="10" t="s">
        <v>2852</v>
      </c>
      <c r="H721" s="10"/>
      <c r="I721" s="11">
        <v>2499.0</v>
      </c>
      <c r="J721" s="11">
        <v>3299.0</v>
      </c>
      <c r="K721" s="12">
        <f t="shared" si="1"/>
        <v>0.2424977266</v>
      </c>
      <c r="L721" s="13">
        <f>IFERROR(__xludf.DUMMYFUNCTION("GOOGLEFINANCE(""CURRENCY:INRBRL"") * I721
"),147.14530427562)</f>
        <v>147.1453043</v>
      </c>
      <c r="M721" s="9">
        <v>4.5</v>
      </c>
      <c r="N721" s="9">
        <v>93112.0</v>
      </c>
      <c r="O721" s="9" t="s">
        <v>2853</v>
      </c>
      <c r="P721" s="14" t="s">
        <v>2854</v>
      </c>
      <c r="U721" s="17"/>
      <c r="V721" s="18"/>
      <c r="W721" s="16"/>
      <c r="X721" s="16"/>
      <c r="Y721" s="16"/>
    </row>
    <row r="722">
      <c r="A722" s="9" t="s">
        <v>2855</v>
      </c>
      <c r="B722" s="10" t="s">
        <v>2856</v>
      </c>
      <c r="C722" s="10" t="s">
        <v>1454</v>
      </c>
      <c r="D722" s="10" t="s">
        <v>77</v>
      </c>
      <c r="E722" s="10" t="s">
        <v>1455</v>
      </c>
      <c r="F722" s="10" t="s">
        <v>1456</v>
      </c>
      <c r="G722" s="10" t="s">
        <v>1457</v>
      </c>
      <c r="H722" s="10"/>
      <c r="I722" s="11">
        <v>1199.0</v>
      </c>
      <c r="J722" s="11">
        <v>5999.0</v>
      </c>
      <c r="K722" s="12">
        <f t="shared" si="1"/>
        <v>0.8001333556</v>
      </c>
      <c r="L722" s="13">
        <f>IFERROR(__xludf.DUMMYFUNCTION("GOOGLEFINANCE(""CURRENCY:INRBRL"") * I722
"),70.59912758162)</f>
        <v>70.59912758</v>
      </c>
      <c r="M722" s="9">
        <v>4.52</v>
      </c>
      <c r="N722" s="9">
        <v>47521.0</v>
      </c>
      <c r="O722" s="9" t="s">
        <v>2857</v>
      </c>
      <c r="P722" s="14" t="s">
        <v>2858</v>
      </c>
      <c r="U722" s="17"/>
      <c r="V722" s="18"/>
      <c r="W722" s="16"/>
      <c r="X722" s="16"/>
      <c r="Y722" s="16"/>
    </row>
    <row r="723">
      <c r="A723" s="9" t="s">
        <v>2859</v>
      </c>
      <c r="B723" s="10" t="s">
        <v>2860</v>
      </c>
      <c r="C723" s="10" t="s">
        <v>2730</v>
      </c>
      <c r="D723" s="10" t="s">
        <v>77</v>
      </c>
      <c r="E723" s="10" t="s">
        <v>2433</v>
      </c>
      <c r="F723" s="10" t="s">
        <v>2731</v>
      </c>
      <c r="G723" s="10"/>
      <c r="H723" s="10"/>
      <c r="I723" s="11">
        <v>399.0</v>
      </c>
      <c r="J723" s="11">
        <v>499.0</v>
      </c>
      <c r="K723" s="12">
        <f t="shared" si="1"/>
        <v>0.2004008016</v>
      </c>
      <c r="L723" s="13">
        <f>IFERROR(__xludf.DUMMYFUNCTION("GOOGLEFINANCE(""CURRENCY:INRBRL"") * I723
"),23.49378807762)</f>
        <v>23.49378808</v>
      </c>
      <c r="M723" s="9">
        <v>4.5</v>
      </c>
      <c r="N723" s="9">
        <v>27201.0</v>
      </c>
      <c r="O723" s="9" t="s">
        <v>2861</v>
      </c>
      <c r="P723" s="14" t="s">
        <v>2862</v>
      </c>
      <c r="U723" s="17"/>
      <c r="V723" s="18"/>
      <c r="W723" s="16"/>
      <c r="X723" s="16"/>
      <c r="Y723" s="16"/>
    </row>
    <row r="724">
      <c r="A724" s="9" t="s">
        <v>117</v>
      </c>
      <c r="B724" s="10" t="s">
        <v>118</v>
      </c>
      <c r="C724" s="10" t="s">
        <v>76</v>
      </c>
      <c r="D724" s="10" t="s">
        <v>77</v>
      </c>
      <c r="E724" s="10" t="s">
        <v>78</v>
      </c>
      <c r="F724" s="10" t="s">
        <v>79</v>
      </c>
      <c r="G724" s="10" t="s">
        <v>22</v>
      </c>
      <c r="H724" s="10" t="s">
        <v>80</v>
      </c>
      <c r="I724" s="11">
        <v>279.0</v>
      </c>
      <c r="J724" s="11">
        <v>499.0</v>
      </c>
      <c r="K724" s="12">
        <f t="shared" si="1"/>
        <v>0.4408817635</v>
      </c>
      <c r="L724" s="13">
        <f>IFERROR(__xludf.DUMMYFUNCTION("GOOGLEFINANCE(""CURRENCY:INRBRL"") * I724
"),16.42798715202)</f>
        <v>16.42798715</v>
      </c>
      <c r="M724" s="9">
        <v>4.51</v>
      </c>
      <c r="N724" s="9">
        <v>10962.0</v>
      </c>
      <c r="O724" s="9" t="s">
        <v>119</v>
      </c>
      <c r="P724" s="14" t="s">
        <v>2863</v>
      </c>
      <c r="U724" s="17"/>
      <c r="V724" s="18"/>
      <c r="W724" s="16"/>
      <c r="X724" s="16"/>
      <c r="Y724" s="16"/>
    </row>
    <row r="725">
      <c r="A725" s="9" t="s">
        <v>121</v>
      </c>
      <c r="B725" s="10" t="s">
        <v>122</v>
      </c>
      <c r="C725" s="10" t="s">
        <v>96</v>
      </c>
      <c r="D725" s="10" t="s">
        <v>77</v>
      </c>
      <c r="E725" s="10" t="s">
        <v>78</v>
      </c>
      <c r="F725" s="10" t="s">
        <v>97</v>
      </c>
      <c r="G725" s="10" t="s">
        <v>98</v>
      </c>
      <c r="H725" s="10"/>
      <c r="I725" s="11">
        <v>13490.0</v>
      </c>
      <c r="J725" s="11">
        <v>22899.0</v>
      </c>
      <c r="K725" s="12">
        <f t="shared" si="1"/>
        <v>0.4108913053</v>
      </c>
      <c r="L725" s="13">
        <f>IFERROR(__xludf.DUMMYFUNCTION("GOOGLEFINANCE(""CURRENCY:INRBRL"") * I725
"),794.3137873862)</f>
        <v>794.3137874</v>
      </c>
      <c r="M725" s="9">
        <v>4.5</v>
      </c>
      <c r="N725" s="9">
        <v>16299.0</v>
      </c>
      <c r="O725" s="9" t="s">
        <v>123</v>
      </c>
      <c r="P725" s="14" t="s">
        <v>2864</v>
      </c>
      <c r="U725" s="17"/>
      <c r="V725" s="18"/>
      <c r="W725" s="16"/>
      <c r="X725" s="16"/>
      <c r="Y725" s="16"/>
    </row>
    <row r="726">
      <c r="A726" s="9" t="s">
        <v>2865</v>
      </c>
      <c r="B726" s="10" t="s">
        <v>2866</v>
      </c>
      <c r="C726" s="10" t="s">
        <v>2341</v>
      </c>
      <c r="D726" s="10" t="s">
        <v>19</v>
      </c>
      <c r="E726" s="10" t="s">
        <v>20</v>
      </c>
      <c r="F726" s="10" t="s">
        <v>2342</v>
      </c>
      <c r="G726" s="10" t="s">
        <v>2343</v>
      </c>
      <c r="H726" s="10"/>
      <c r="I726" s="11">
        <v>279.0</v>
      </c>
      <c r="J726" s="11">
        <v>375.0</v>
      </c>
      <c r="K726" s="12">
        <f t="shared" si="1"/>
        <v>0.256</v>
      </c>
      <c r="L726" s="13">
        <f>IFERROR(__xludf.DUMMYFUNCTION("GOOGLEFINANCE(""CURRENCY:INRBRL"") * I726
"),16.42798715202)</f>
        <v>16.42798715</v>
      </c>
      <c r="M726" s="9">
        <v>4.5</v>
      </c>
      <c r="N726" s="9">
        <v>31534.0</v>
      </c>
      <c r="O726" s="9" t="s">
        <v>2867</v>
      </c>
      <c r="P726" s="14" t="s">
        <v>2868</v>
      </c>
      <c r="U726" s="17"/>
      <c r="V726" s="18"/>
      <c r="W726" s="16"/>
      <c r="X726" s="16"/>
      <c r="Y726" s="16"/>
    </row>
    <row r="727">
      <c r="A727" s="9" t="s">
        <v>2869</v>
      </c>
      <c r="B727" s="10" t="s">
        <v>2870</v>
      </c>
      <c r="C727" s="10" t="s">
        <v>1388</v>
      </c>
      <c r="D727" s="10" t="s">
        <v>77</v>
      </c>
      <c r="E727" s="10" t="s">
        <v>1389</v>
      </c>
      <c r="F727" s="10" t="s">
        <v>1390</v>
      </c>
      <c r="G727" s="10"/>
      <c r="H727" s="10"/>
      <c r="I727" s="11">
        <v>2499.0</v>
      </c>
      <c r="J727" s="11">
        <v>4999.0</v>
      </c>
      <c r="K727" s="12">
        <f t="shared" si="1"/>
        <v>0.50010002</v>
      </c>
      <c r="L727" s="13">
        <f>IFERROR(__xludf.DUMMYFUNCTION("GOOGLEFINANCE(""CURRENCY:INRBRL"") * I727
"),147.14530427562)</f>
        <v>147.1453043</v>
      </c>
      <c r="M727" s="9">
        <v>4.52</v>
      </c>
      <c r="N727" s="9">
        <v>7571.0</v>
      </c>
      <c r="O727" s="9" t="s">
        <v>2871</v>
      </c>
      <c r="P727" s="14" t="s">
        <v>2872</v>
      </c>
      <c r="U727" s="17"/>
      <c r="V727" s="18"/>
      <c r="W727" s="16"/>
      <c r="X727" s="16"/>
      <c r="Y727" s="16"/>
    </row>
    <row r="728">
      <c r="A728" s="9" t="s">
        <v>2873</v>
      </c>
      <c r="B728" s="10" t="s">
        <v>2874</v>
      </c>
      <c r="C728" s="10" t="s">
        <v>2718</v>
      </c>
      <c r="D728" s="10" t="s">
        <v>2440</v>
      </c>
      <c r="E728" s="10" t="s">
        <v>2441</v>
      </c>
      <c r="F728" s="10" t="s">
        <v>2442</v>
      </c>
      <c r="G728" s="10" t="s">
        <v>2443</v>
      </c>
      <c r="H728" s="10" t="s">
        <v>2719</v>
      </c>
      <c r="I728" s="11">
        <v>137.0</v>
      </c>
      <c r="J728" s="11">
        <v>160.0</v>
      </c>
      <c r="K728" s="12">
        <f t="shared" si="1"/>
        <v>0.14375</v>
      </c>
      <c r="L728" s="13">
        <f>IFERROR(__xludf.DUMMYFUNCTION("GOOGLEFINANCE(""CURRENCY:INRBRL"") * I728
"),8.06678939006)</f>
        <v>8.06678939</v>
      </c>
      <c r="M728" s="9">
        <v>4.5</v>
      </c>
      <c r="N728" s="9">
        <v>6537.0</v>
      </c>
      <c r="O728" s="9" t="s">
        <v>2875</v>
      </c>
      <c r="P728" s="14" t="s">
        <v>2876</v>
      </c>
      <c r="U728" s="17"/>
      <c r="V728" s="18"/>
      <c r="W728" s="16"/>
      <c r="X728" s="16"/>
      <c r="Y728" s="16"/>
    </row>
    <row r="729">
      <c r="A729" s="9" t="s">
        <v>125</v>
      </c>
      <c r="B729" s="10" t="s">
        <v>126</v>
      </c>
      <c r="C729" s="10" t="s">
        <v>18</v>
      </c>
      <c r="D729" s="10" t="s">
        <v>19</v>
      </c>
      <c r="E729" s="10" t="s">
        <v>20</v>
      </c>
      <c r="F729" s="10" t="s">
        <v>21</v>
      </c>
      <c r="G729" s="10" t="s">
        <v>22</v>
      </c>
      <c r="H729" s="10" t="s">
        <v>23</v>
      </c>
      <c r="I729" s="11">
        <v>59.0</v>
      </c>
      <c r="J729" s="11">
        <v>199.0</v>
      </c>
      <c r="K729" s="12">
        <f t="shared" si="1"/>
        <v>0.7035175879</v>
      </c>
      <c r="L729" s="13">
        <f>IFERROR(__xludf.DUMMYFUNCTION("GOOGLEFINANCE(""CURRENCY:INRBRL"") * I729
"),3.47401878842)</f>
        <v>3.474018788</v>
      </c>
      <c r="M729" s="9">
        <v>4.0</v>
      </c>
      <c r="N729" s="9">
        <v>9377.0</v>
      </c>
      <c r="O729" s="9" t="s">
        <v>127</v>
      </c>
      <c r="P729" s="14" t="s">
        <v>2877</v>
      </c>
      <c r="U729" s="17"/>
      <c r="V729" s="18"/>
      <c r="W729" s="16"/>
      <c r="X729" s="16"/>
      <c r="Y729" s="16"/>
    </row>
    <row r="730">
      <c r="A730" s="9" t="s">
        <v>2878</v>
      </c>
      <c r="B730" s="10" t="s">
        <v>2879</v>
      </c>
      <c r="C730" s="10" t="s">
        <v>2602</v>
      </c>
      <c r="D730" s="10" t="s">
        <v>19</v>
      </c>
      <c r="E730" s="10" t="s">
        <v>20</v>
      </c>
      <c r="F730" s="10" t="s">
        <v>2603</v>
      </c>
      <c r="G730" s="10"/>
      <c r="H730" s="10"/>
      <c r="I730" s="11">
        <v>299.0</v>
      </c>
      <c r="J730" s="11">
        <v>499.0</v>
      </c>
      <c r="K730" s="12">
        <f t="shared" si="1"/>
        <v>0.4008016032</v>
      </c>
      <c r="L730" s="13">
        <f>IFERROR(__xludf.DUMMYFUNCTION("GOOGLEFINANCE(""CURRENCY:INRBRL"") * I730
"),17.60562063962)</f>
        <v>17.60562064</v>
      </c>
      <c r="M730" s="9">
        <v>4.51</v>
      </c>
      <c r="N730" s="9">
        <v>2101.0</v>
      </c>
      <c r="O730" s="9" t="s">
        <v>2880</v>
      </c>
      <c r="P730" s="14" t="s">
        <v>2881</v>
      </c>
      <c r="U730" s="17"/>
      <c r="V730" s="18"/>
      <c r="W730" s="16"/>
      <c r="X730" s="16"/>
      <c r="Y730" s="16"/>
    </row>
    <row r="731">
      <c r="A731" s="9" t="s">
        <v>2882</v>
      </c>
      <c r="B731" s="10" t="s">
        <v>2883</v>
      </c>
      <c r="C731" s="10" t="s">
        <v>1454</v>
      </c>
      <c r="D731" s="10" t="s">
        <v>77</v>
      </c>
      <c r="E731" s="10" t="s">
        <v>1455</v>
      </c>
      <c r="F731" s="10" t="s">
        <v>1456</v>
      </c>
      <c r="G731" s="10" t="s">
        <v>1457</v>
      </c>
      <c r="H731" s="10"/>
      <c r="I731" s="11">
        <v>1799.0</v>
      </c>
      <c r="J731" s="11">
        <v>3999.0</v>
      </c>
      <c r="K731" s="12">
        <f t="shared" si="1"/>
        <v>0.5501375344</v>
      </c>
      <c r="L731" s="13">
        <f>IFERROR(__xludf.DUMMYFUNCTION("GOOGLEFINANCE(""CURRENCY:INRBRL"") * I731
"),105.92813220962)</f>
        <v>105.9281322</v>
      </c>
      <c r="M731" s="9">
        <v>4.52</v>
      </c>
      <c r="N731" s="9">
        <v>3517.0</v>
      </c>
      <c r="O731" s="9" t="s">
        <v>2884</v>
      </c>
      <c r="P731" s="14" t="s">
        <v>2885</v>
      </c>
      <c r="U731" s="17"/>
      <c r="V731" s="18"/>
      <c r="W731" s="16"/>
      <c r="X731" s="16"/>
      <c r="Y731" s="16"/>
    </row>
    <row r="732">
      <c r="A732" s="9" t="s">
        <v>2886</v>
      </c>
      <c r="B732" s="10" t="s">
        <v>2887</v>
      </c>
      <c r="C732" s="10" t="s">
        <v>2671</v>
      </c>
      <c r="D732" s="10" t="s">
        <v>77</v>
      </c>
      <c r="E732" s="10" t="s">
        <v>569</v>
      </c>
      <c r="F732" s="10" t="s">
        <v>1129</v>
      </c>
      <c r="G732" s="10" t="s">
        <v>2672</v>
      </c>
      <c r="H732" s="10"/>
      <c r="I732" s="11">
        <v>1999.0</v>
      </c>
      <c r="J732" s="11">
        <v>2999.0</v>
      </c>
      <c r="K732" s="12">
        <f t="shared" si="1"/>
        <v>0.3334444815</v>
      </c>
      <c r="L732" s="13">
        <f>IFERROR(__xludf.DUMMYFUNCTION("GOOGLEFINANCE(""CURRENCY:INRBRL"") * I732
"),117.70446708562)</f>
        <v>117.7044671</v>
      </c>
      <c r="M732" s="9">
        <v>4.5</v>
      </c>
      <c r="N732" s="9">
        <v>63899.0</v>
      </c>
      <c r="O732" s="9" t="s">
        <v>2888</v>
      </c>
      <c r="P732" s="14" t="s">
        <v>2889</v>
      </c>
      <c r="U732" s="17"/>
      <c r="V732" s="18"/>
      <c r="W732" s="16"/>
      <c r="X732" s="16"/>
      <c r="Y732" s="16"/>
    </row>
    <row r="733">
      <c r="A733" s="9" t="s">
        <v>133</v>
      </c>
      <c r="B733" s="10" t="s">
        <v>134</v>
      </c>
      <c r="C733" s="10" t="s">
        <v>76</v>
      </c>
      <c r="D733" s="10" t="s">
        <v>77</v>
      </c>
      <c r="E733" s="10" t="s">
        <v>78</v>
      </c>
      <c r="F733" s="10" t="s">
        <v>79</v>
      </c>
      <c r="G733" s="10" t="s">
        <v>22</v>
      </c>
      <c r="H733" s="10" t="s">
        <v>80</v>
      </c>
      <c r="I733" s="11">
        <v>199.0</v>
      </c>
      <c r="J733" s="11">
        <v>699.0</v>
      </c>
      <c r="K733" s="12">
        <f t="shared" si="1"/>
        <v>0.7153075823</v>
      </c>
      <c r="L733" s="13">
        <f>IFERROR(__xludf.DUMMYFUNCTION("GOOGLEFINANCE(""CURRENCY:INRBRL"") * I733
"),11.71745320162)</f>
        <v>11.7174532</v>
      </c>
      <c r="M733" s="9">
        <v>4.5</v>
      </c>
      <c r="N733" s="9">
        <v>12153.0</v>
      </c>
      <c r="O733" s="9" t="s">
        <v>135</v>
      </c>
      <c r="P733" s="14" t="s">
        <v>2890</v>
      </c>
      <c r="U733" s="17"/>
      <c r="V733" s="18"/>
      <c r="W733" s="16"/>
      <c r="X733" s="16"/>
      <c r="Y733" s="16"/>
    </row>
    <row r="734">
      <c r="A734" s="9" t="s">
        <v>2891</v>
      </c>
      <c r="B734" s="10" t="s">
        <v>2892</v>
      </c>
      <c r="C734" s="10" t="s">
        <v>2893</v>
      </c>
      <c r="D734" s="10" t="s">
        <v>19</v>
      </c>
      <c r="E734" s="10" t="s">
        <v>20</v>
      </c>
      <c r="F734" s="10" t="s">
        <v>2894</v>
      </c>
      <c r="G734" s="10" t="s">
        <v>1825</v>
      </c>
      <c r="H734" s="10"/>
      <c r="I734" s="11">
        <v>399.0</v>
      </c>
      <c r="J734" s="11">
        <v>1499.0</v>
      </c>
      <c r="K734" s="12">
        <f t="shared" si="1"/>
        <v>0.7338225484</v>
      </c>
      <c r="L734" s="13">
        <f>IFERROR(__xludf.DUMMYFUNCTION("GOOGLEFINANCE(""CURRENCY:INRBRL"") * I734
"),23.49378807762)</f>
        <v>23.49378808</v>
      </c>
      <c r="M734" s="9">
        <v>4.49</v>
      </c>
      <c r="N734" s="9">
        <v>573.0</v>
      </c>
      <c r="O734" s="9" t="s">
        <v>2895</v>
      </c>
      <c r="P734" s="14" t="s">
        <v>2896</v>
      </c>
      <c r="U734" s="17"/>
      <c r="V734" s="18"/>
      <c r="W734" s="16"/>
      <c r="X734" s="16"/>
      <c r="Y734" s="16"/>
    </row>
    <row r="735">
      <c r="A735" s="9" t="s">
        <v>2897</v>
      </c>
      <c r="B735" s="10" t="s">
        <v>2898</v>
      </c>
      <c r="C735" s="10" t="s">
        <v>2899</v>
      </c>
      <c r="D735" s="10" t="s">
        <v>19</v>
      </c>
      <c r="E735" s="10" t="s">
        <v>20</v>
      </c>
      <c r="F735" s="10" t="s">
        <v>2583</v>
      </c>
      <c r="G735" s="10" t="s">
        <v>2900</v>
      </c>
      <c r="H735" s="10"/>
      <c r="I735" s="11">
        <v>1699.0</v>
      </c>
      <c r="J735" s="11">
        <v>3999.0</v>
      </c>
      <c r="K735" s="12">
        <f t="shared" si="1"/>
        <v>0.5751437859</v>
      </c>
      <c r="L735" s="13">
        <f>IFERROR(__xludf.DUMMYFUNCTION("GOOGLEFINANCE(""CURRENCY:INRBRL"") * I735
"),100.03996477161999)</f>
        <v>100.0399648</v>
      </c>
      <c r="M735" s="9">
        <v>4.5</v>
      </c>
      <c r="N735" s="9">
        <v>25488.0</v>
      </c>
      <c r="O735" s="9" t="s">
        <v>2901</v>
      </c>
      <c r="P735" s="14" t="s">
        <v>2902</v>
      </c>
      <c r="U735" s="17"/>
      <c r="V735" s="18"/>
      <c r="W735" s="16"/>
      <c r="X735" s="16"/>
      <c r="Y735" s="16"/>
    </row>
    <row r="736">
      <c r="A736" s="9" t="s">
        <v>2903</v>
      </c>
      <c r="B736" s="10" t="s">
        <v>2904</v>
      </c>
      <c r="C736" s="10" t="s">
        <v>2341</v>
      </c>
      <c r="D736" s="10" t="s">
        <v>19</v>
      </c>
      <c r="E736" s="10" t="s">
        <v>20</v>
      </c>
      <c r="F736" s="10" t="s">
        <v>2342</v>
      </c>
      <c r="G736" s="10" t="s">
        <v>2343</v>
      </c>
      <c r="H736" s="10"/>
      <c r="I736" s="11">
        <v>699.0</v>
      </c>
      <c r="J736" s="11">
        <v>995.0</v>
      </c>
      <c r="K736" s="12">
        <f t="shared" si="1"/>
        <v>0.2974874372</v>
      </c>
      <c r="L736" s="13">
        <f>IFERROR(__xludf.DUMMYFUNCTION("GOOGLEFINANCE(""CURRENCY:INRBRL"") * I736
"),41.15829039162)</f>
        <v>41.15829039</v>
      </c>
      <c r="M736" s="9">
        <v>4.51</v>
      </c>
      <c r="N736" s="9">
        <v>54405.0</v>
      </c>
      <c r="O736" s="9" t="s">
        <v>2905</v>
      </c>
      <c r="P736" s="14" t="s">
        <v>2906</v>
      </c>
      <c r="U736" s="17"/>
      <c r="V736" s="18"/>
      <c r="W736" s="16"/>
      <c r="X736" s="16"/>
      <c r="Y736" s="16"/>
    </row>
    <row r="737">
      <c r="A737" s="9" t="s">
        <v>1954</v>
      </c>
      <c r="B737" s="10" t="s">
        <v>1955</v>
      </c>
      <c r="C737" s="10" t="s">
        <v>1746</v>
      </c>
      <c r="D737" s="10" t="s">
        <v>77</v>
      </c>
      <c r="E737" s="10" t="s">
        <v>1404</v>
      </c>
      <c r="F737" s="10" t="s">
        <v>1405</v>
      </c>
      <c r="G737" s="10" t="s">
        <v>1747</v>
      </c>
      <c r="H737" s="10"/>
      <c r="I737" s="11">
        <v>95.0</v>
      </c>
      <c r="J737" s="11">
        <v>499.0</v>
      </c>
      <c r="K737" s="12">
        <f t="shared" si="1"/>
        <v>0.8096192385</v>
      </c>
      <c r="L737" s="13">
        <f>IFERROR(__xludf.DUMMYFUNCTION("GOOGLEFINANCE(""CURRENCY:INRBRL"") * I737
"),5.5937590661)</f>
        <v>5.593759066</v>
      </c>
      <c r="M737" s="9">
        <v>4.5</v>
      </c>
      <c r="N737" s="9">
        <v>1949.0</v>
      </c>
      <c r="O737" s="9" t="s">
        <v>1956</v>
      </c>
      <c r="P737" s="14" t="s">
        <v>2907</v>
      </c>
      <c r="U737" s="17"/>
      <c r="V737" s="18"/>
      <c r="W737" s="16"/>
      <c r="X737" s="16"/>
      <c r="Y737" s="16"/>
    </row>
    <row r="738">
      <c r="A738" s="9" t="s">
        <v>2908</v>
      </c>
      <c r="B738" s="10" t="s">
        <v>2909</v>
      </c>
      <c r="C738" s="10" t="s">
        <v>2638</v>
      </c>
      <c r="D738" s="10" t="s">
        <v>19</v>
      </c>
      <c r="E738" s="10" t="s">
        <v>57</v>
      </c>
      <c r="F738" s="10" t="s">
        <v>2639</v>
      </c>
      <c r="G738" s="10"/>
      <c r="H738" s="10"/>
      <c r="I738" s="11">
        <v>1149.0</v>
      </c>
      <c r="J738" s="11">
        <v>1699.0</v>
      </c>
      <c r="K738" s="12">
        <f t="shared" si="1"/>
        <v>0.3237198352</v>
      </c>
      <c r="L738" s="13">
        <f>IFERROR(__xludf.DUMMYFUNCTION("GOOGLEFINANCE(""CURRENCY:INRBRL"") * I738
"),67.65504386262)</f>
        <v>67.65504386</v>
      </c>
      <c r="M738" s="9">
        <v>4.5</v>
      </c>
      <c r="N738" s="9">
        <v>122478.0</v>
      </c>
      <c r="O738" s="9" t="s">
        <v>2910</v>
      </c>
      <c r="P738" s="14" t="s">
        <v>2911</v>
      </c>
      <c r="U738" s="17"/>
      <c r="V738" s="18"/>
      <c r="W738" s="16"/>
      <c r="X738" s="16"/>
      <c r="Y738" s="16"/>
    </row>
    <row r="739">
      <c r="A739" s="9" t="s">
        <v>2912</v>
      </c>
      <c r="B739" s="10" t="s">
        <v>2913</v>
      </c>
      <c r="C739" s="10" t="s">
        <v>2467</v>
      </c>
      <c r="D739" s="10" t="s">
        <v>19</v>
      </c>
      <c r="E739" s="10" t="s">
        <v>20</v>
      </c>
      <c r="F739" s="10" t="s">
        <v>2342</v>
      </c>
      <c r="G739" s="10" t="s">
        <v>2468</v>
      </c>
      <c r="H739" s="10"/>
      <c r="I739" s="11">
        <v>1495.0</v>
      </c>
      <c r="J739" s="11">
        <v>1995.0</v>
      </c>
      <c r="K739" s="12">
        <f t="shared" si="1"/>
        <v>0.2506265664</v>
      </c>
      <c r="L739" s="13">
        <f>IFERROR(__xludf.DUMMYFUNCTION("GOOGLEFINANCE(""CURRENCY:INRBRL"") * I739
"),88.0281031981)</f>
        <v>88.0281032</v>
      </c>
      <c r="M739" s="9">
        <v>4.5</v>
      </c>
      <c r="N739" s="9">
        <v>7241.0</v>
      </c>
      <c r="O739" s="9" t="s">
        <v>2914</v>
      </c>
      <c r="P739" s="14" t="s">
        <v>2915</v>
      </c>
      <c r="U739" s="17"/>
      <c r="V739" s="18"/>
      <c r="W739" s="16"/>
      <c r="X739" s="16"/>
      <c r="Y739" s="16"/>
    </row>
    <row r="740">
      <c r="A740" s="9" t="s">
        <v>2916</v>
      </c>
      <c r="B740" s="10" t="s">
        <v>2917</v>
      </c>
      <c r="C740" s="10" t="s">
        <v>2358</v>
      </c>
      <c r="D740" s="10" t="s">
        <v>19</v>
      </c>
      <c r="E740" s="10" t="s">
        <v>20</v>
      </c>
      <c r="F740" s="10" t="s">
        <v>2157</v>
      </c>
      <c r="G740" s="10" t="s">
        <v>2359</v>
      </c>
      <c r="H740" s="10"/>
      <c r="I740" s="11">
        <v>849.0</v>
      </c>
      <c r="J740" s="11">
        <v>4999.0</v>
      </c>
      <c r="K740" s="12">
        <f t="shared" si="1"/>
        <v>0.8301660332</v>
      </c>
      <c r="L740" s="13">
        <f>IFERROR(__xludf.DUMMYFUNCTION("GOOGLEFINANCE(""CURRENCY:INRBRL"") * I740
"),49.99054154862)</f>
        <v>49.99054155</v>
      </c>
      <c r="M740" s="9">
        <v>4.0</v>
      </c>
      <c r="N740" s="9">
        <v>20457.0</v>
      </c>
      <c r="O740" s="9" t="s">
        <v>2918</v>
      </c>
      <c r="P740" s="14" t="s">
        <v>2919</v>
      </c>
      <c r="U740" s="17"/>
      <c r="V740" s="18"/>
      <c r="W740" s="16"/>
      <c r="X740" s="16"/>
      <c r="Y740" s="16"/>
    </row>
    <row r="741">
      <c r="A741" s="9" t="s">
        <v>2920</v>
      </c>
      <c r="B741" s="10" t="s">
        <v>2921</v>
      </c>
      <c r="C741" s="10" t="s">
        <v>2922</v>
      </c>
      <c r="D741" s="10" t="s">
        <v>2440</v>
      </c>
      <c r="E741" s="10" t="s">
        <v>2521</v>
      </c>
      <c r="F741" s="10" t="s">
        <v>2522</v>
      </c>
      <c r="G741" s="10" t="s">
        <v>2923</v>
      </c>
      <c r="H741" s="10"/>
      <c r="I741" s="11">
        <v>440.0</v>
      </c>
      <c r="J741" s="11">
        <v>440.0</v>
      </c>
      <c r="K741" s="12">
        <f t="shared" si="1"/>
        <v>0</v>
      </c>
      <c r="L741" s="13">
        <f>IFERROR(__xludf.DUMMYFUNCTION("GOOGLEFINANCE(""CURRENCY:INRBRL"") * I741
"),25.9079367272)</f>
        <v>25.90793673</v>
      </c>
      <c r="M741" s="9">
        <v>4.51</v>
      </c>
      <c r="N741" s="9">
        <v>861.0</v>
      </c>
      <c r="O741" s="9" t="s">
        <v>2924</v>
      </c>
      <c r="P741" s="14" t="s">
        <v>2925</v>
      </c>
      <c r="U741" s="17"/>
      <c r="V741" s="18"/>
      <c r="W741" s="16"/>
      <c r="X741" s="16"/>
      <c r="Y741" s="16"/>
    </row>
    <row r="742">
      <c r="A742" s="9" t="s">
        <v>1937</v>
      </c>
      <c r="B742" s="10" t="s">
        <v>1938</v>
      </c>
      <c r="C742" s="10" t="s">
        <v>1869</v>
      </c>
      <c r="D742" s="10" t="s">
        <v>77</v>
      </c>
      <c r="E742" s="10" t="s">
        <v>1404</v>
      </c>
      <c r="F742" s="10" t="s">
        <v>1405</v>
      </c>
      <c r="G742" s="10" t="s">
        <v>1870</v>
      </c>
      <c r="H742" s="10"/>
      <c r="I742" s="11">
        <v>349.0</v>
      </c>
      <c r="J742" s="11">
        <v>999.0</v>
      </c>
      <c r="K742" s="12">
        <f t="shared" si="1"/>
        <v>0.6506506507</v>
      </c>
      <c r="L742" s="13">
        <f>IFERROR(__xludf.DUMMYFUNCTION("GOOGLEFINANCE(""CURRENCY:INRBRL"") * I742
"),20.549704358619998)</f>
        <v>20.54970436</v>
      </c>
      <c r="M742" s="9">
        <v>4.51</v>
      </c>
      <c r="N742" s="9">
        <v>16557.0</v>
      </c>
      <c r="O742" s="9" t="s">
        <v>1939</v>
      </c>
      <c r="P742" s="14" t="s">
        <v>2926</v>
      </c>
      <c r="U742" s="17"/>
      <c r="V742" s="18"/>
      <c r="W742" s="16"/>
      <c r="X742" s="16"/>
      <c r="Y742" s="16"/>
    </row>
    <row r="743">
      <c r="A743" s="9" t="s">
        <v>2927</v>
      </c>
      <c r="B743" s="10" t="s">
        <v>2928</v>
      </c>
      <c r="C743" s="10" t="s">
        <v>2358</v>
      </c>
      <c r="D743" s="10" t="s">
        <v>19</v>
      </c>
      <c r="E743" s="10" t="s">
        <v>20</v>
      </c>
      <c r="F743" s="10" t="s">
        <v>2157</v>
      </c>
      <c r="G743" s="10" t="s">
        <v>2359</v>
      </c>
      <c r="H743" s="10"/>
      <c r="I743" s="11">
        <v>599.0</v>
      </c>
      <c r="J743" s="11">
        <v>3999.0</v>
      </c>
      <c r="K743" s="12">
        <f t="shared" si="1"/>
        <v>0.8502125531</v>
      </c>
      <c r="L743" s="13">
        <f>IFERROR(__xludf.DUMMYFUNCTION("GOOGLEFINANCE(""CURRENCY:INRBRL"") * I743
"),35.270122953619996)</f>
        <v>35.27012295</v>
      </c>
      <c r="M743" s="9">
        <v>4.52</v>
      </c>
      <c r="N743" s="9">
        <v>1087.0</v>
      </c>
      <c r="O743" s="9" t="s">
        <v>2929</v>
      </c>
      <c r="P743" s="14" t="s">
        <v>2930</v>
      </c>
      <c r="U743" s="17"/>
      <c r="V743" s="18"/>
      <c r="W743" s="16"/>
      <c r="X743" s="16"/>
      <c r="Y743" s="16"/>
    </row>
    <row r="744">
      <c r="A744" s="9" t="s">
        <v>2931</v>
      </c>
      <c r="B744" s="10" t="s">
        <v>2932</v>
      </c>
      <c r="C744" s="10" t="s">
        <v>2753</v>
      </c>
      <c r="D744" s="10" t="s">
        <v>19</v>
      </c>
      <c r="E744" s="10" t="s">
        <v>20</v>
      </c>
      <c r="F744" s="10" t="s">
        <v>916</v>
      </c>
      <c r="G744" s="10" t="s">
        <v>2754</v>
      </c>
      <c r="H744" s="10"/>
      <c r="I744" s="11">
        <v>149.0</v>
      </c>
      <c r="J744" s="11">
        <v>399.0</v>
      </c>
      <c r="K744" s="12">
        <f t="shared" si="1"/>
        <v>0.626566416</v>
      </c>
      <c r="L744" s="13">
        <f>IFERROR(__xludf.DUMMYFUNCTION("GOOGLEFINANCE(""CURRENCY:INRBRL"") * I744
"),8.77336948262)</f>
        <v>8.773369483</v>
      </c>
      <c r="M744" s="9">
        <v>4.0</v>
      </c>
      <c r="N744" s="9">
        <v>154.0</v>
      </c>
      <c r="O744" s="9" t="s">
        <v>2933</v>
      </c>
      <c r="P744" s="14" t="s">
        <v>2934</v>
      </c>
      <c r="U744" s="17"/>
      <c r="V744" s="18"/>
      <c r="W744" s="16"/>
      <c r="X744" s="16"/>
      <c r="Y744" s="16"/>
    </row>
    <row r="745">
      <c r="A745" s="9" t="s">
        <v>2935</v>
      </c>
      <c r="B745" s="10" t="s">
        <v>2936</v>
      </c>
      <c r="C745" s="10" t="s">
        <v>2348</v>
      </c>
      <c r="D745" s="10" t="s">
        <v>19</v>
      </c>
      <c r="E745" s="10" t="s">
        <v>20</v>
      </c>
      <c r="F745" s="10" t="s">
        <v>2342</v>
      </c>
      <c r="G745" s="10" t="s">
        <v>2349</v>
      </c>
      <c r="H745" s="10"/>
      <c r="I745" s="11">
        <v>289.0</v>
      </c>
      <c r="J745" s="11">
        <v>999.0</v>
      </c>
      <c r="K745" s="12">
        <f t="shared" si="1"/>
        <v>0.7107107107</v>
      </c>
      <c r="L745" s="13">
        <f>IFERROR(__xludf.DUMMYFUNCTION("GOOGLEFINANCE(""CURRENCY:INRBRL"") * I745
"),17.01680389582)</f>
        <v>17.0168039</v>
      </c>
      <c r="M745" s="9">
        <v>4.49</v>
      </c>
      <c r="N745" s="9">
        <v>401.0</v>
      </c>
      <c r="O745" s="9" t="s">
        <v>2937</v>
      </c>
      <c r="P745" s="14" t="s">
        <v>2938</v>
      </c>
      <c r="U745" s="17"/>
      <c r="V745" s="18"/>
      <c r="W745" s="16"/>
      <c r="X745" s="16"/>
      <c r="Y745" s="16"/>
    </row>
    <row r="746">
      <c r="A746" s="9" t="s">
        <v>2939</v>
      </c>
      <c r="B746" s="10" t="s">
        <v>2940</v>
      </c>
      <c r="C746" s="10" t="s">
        <v>2941</v>
      </c>
      <c r="D746" s="10" t="s">
        <v>19</v>
      </c>
      <c r="E746" s="10" t="s">
        <v>20</v>
      </c>
      <c r="F746" s="10" t="s">
        <v>2942</v>
      </c>
      <c r="G746" s="10"/>
      <c r="H746" s="10"/>
      <c r="I746" s="11">
        <v>179.0</v>
      </c>
      <c r="J746" s="11">
        <v>499.0</v>
      </c>
      <c r="K746" s="12">
        <f t="shared" si="1"/>
        <v>0.6412825651</v>
      </c>
      <c r="L746" s="13">
        <f>IFERROR(__xludf.DUMMYFUNCTION("GOOGLEFINANCE(""CURRENCY:INRBRL"") * I746
"),10.53981971402)</f>
        <v>10.53981971</v>
      </c>
      <c r="M746" s="9">
        <v>4.5</v>
      </c>
      <c r="N746" s="9">
        <v>9385.0</v>
      </c>
      <c r="O746" s="9" t="s">
        <v>2943</v>
      </c>
      <c r="P746" s="14" t="s">
        <v>2944</v>
      </c>
      <c r="U746" s="17"/>
      <c r="V746" s="18"/>
      <c r="W746" s="16"/>
      <c r="X746" s="16"/>
      <c r="Y746" s="16"/>
    </row>
    <row r="747">
      <c r="A747" s="9" t="s">
        <v>2945</v>
      </c>
      <c r="B747" s="10" t="s">
        <v>2946</v>
      </c>
      <c r="C747" s="10" t="s">
        <v>1388</v>
      </c>
      <c r="D747" s="10" t="s">
        <v>77</v>
      </c>
      <c r="E747" s="10" t="s">
        <v>1389</v>
      </c>
      <c r="F747" s="10" t="s">
        <v>1390</v>
      </c>
      <c r="G747" s="10"/>
      <c r="H747" s="10"/>
      <c r="I747" s="11">
        <v>1499.0</v>
      </c>
      <c r="J747" s="11">
        <v>4999.0</v>
      </c>
      <c r="K747" s="12">
        <f t="shared" si="1"/>
        <v>0.700140028</v>
      </c>
      <c r="L747" s="13">
        <f>IFERROR(__xludf.DUMMYFUNCTION("GOOGLEFINANCE(""CURRENCY:INRBRL"") * I747
"),88.26362989562)</f>
        <v>88.2636299</v>
      </c>
      <c r="M747" s="9">
        <v>4.0</v>
      </c>
      <c r="N747" s="9">
        <v>92588.0</v>
      </c>
      <c r="O747" s="9" t="s">
        <v>2947</v>
      </c>
      <c r="P747" s="14" t="s">
        <v>2948</v>
      </c>
      <c r="U747" s="17"/>
      <c r="V747" s="18"/>
      <c r="W747" s="16"/>
      <c r="X747" s="16"/>
      <c r="Y747" s="16"/>
    </row>
    <row r="748">
      <c r="A748" s="9" t="s">
        <v>2949</v>
      </c>
      <c r="B748" s="10" t="s">
        <v>2950</v>
      </c>
      <c r="C748" s="10" t="s">
        <v>1454</v>
      </c>
      <c r="D748" s="10" t="s">
        <v>77</v>
      </c>
      <c r="E748" s="10" t="s">
        <v>1455</v>
      </c>
      <c r="F748" s="10" t="s">
        <v>1456</v>
      </c>
      <c r="G748" s="10" t="s">
        <v>1457</v>
      </c>
      <c r="H748" s="10"/>
      <c r="I748" s="11">
        <v>399.0</v>
      </c>
      <c r="J748" s="11">
        <v>699.0</v>
      </c>
      <c r="K748" s="12">
        <f t="shared" si="1"/>
        <v>0.4291845494</v>
      </c>
      <c r="L748" s="13">
        <f>IFERROR(__xludf.DUMMYFUNCTION("GOOGLEFINANCE(""CURRENCY:INRBRL"") * I748
"),23.49378807762)</f>
        <v>23.49378808</v>
      </c>
      <c r="M748" s="9">
        <v>4.5</v>
      </c>
      <c r="N748" s="9">
        <v>3454.0</v>
      </c>
      <c r="O748" s="9" t="s">
        <v>2951</v>
      </c>
      <c r="P748" s="14" t="s">
        <v>2952</v>
      </c>
      <c r="U748" s="17"/>
      <c r="V748" s="18"/>
      <c r="W748" s="16"/>
      <c r="X748" s="16"/>
      <c r="Y748" s="16"/>
    </row>
    <row r="749">
      <c r="A749" s="9" t="s">
        <v>2953</v>
      </c>
      <c r="B749" s="10" t="s">
        <v>2954</v>
      </c>
      <c r="C749" s="10" t="s">
        <v>2582</v>
      </c>
      <c r="D749" s="10" t="s">
        <v>19</v>
      </c>
      <c r="E749" s="10" t="s">
        <v>20</v>
      </c>
      <c r="F749" s="10" t="s">
        <v>2583</v>
      </c>
      <c r="G749" s="10" t="s">
        <v>2584</v>
      </c>
      <c r="H749" s="10"/>
      <c r="I749" s="11">
        <v>599.0</v>
      </c>
      <c r="J749" s="11">
        <v>799.0</v>
      </c>
      <c r="K749" s="12">
        <f t="shared" si="1"/>
        <v>0.2503128911</v>
      </c>
      <c r="L749" s="13">
        <f>IFERROR(__xludf.DUMMYFUNCTION("GOOGLEFINANCE(""CURRENCY:INRBRL"") * I749
"),35.270122953619996)</f>
        <v>35.27012295</v>
      </c>
      <c r="M749" s="9">
        <v>4.5</v>
      </c>
      <c r="N749" s="9">
        <v>1579.0</v>
      </c>
      <c r="O749" s="9" t="s">
        <v>2955</v>
      </c>
      <c r="P749" s="14" t="s">
        <v>2956</v>
      </c>
      <c r="U749" s="17"/>
      <c r="V749" s="18"/>
      <c r="W749" s="16"/>
      <c r="X749" s="16"/>
      <c r="Y749" s="16"/>
    </row>
    <row r="750">
      <c r="A750" s="9" t="s">
        <v>2957</v>
      </c>
      <c r="B750" s="10" t="s">
        <v>2958</v>
      </c>
      <c r="C750" s="10" t="s">
        <v>2959</v>
      </c>
      <c r="D750" s="10" t="s">
        <v>19</v>
      </c>
      <c r="E750" s="10" t="s">
        <v>20</v>
      </c>
      <c r="F750" s="10" t="s">
        <v>2960</v>
      </c>
      <c r="G750" s="10" t="s">
        <v>2961</v>
      </c>
      <c r="H750" s="10"/>
      <c r="I750" s="11">
        <v>949.0</v>
      </c>
      <c r="J750" s="11">
        <v>1999.0</v>
      </c>
      <c r="K750" s="12">
        <f t="shared" si="1"/>
        <v>0.5252626313</v>
      </c>
      <c r="L750" s="13">
        <f>IFERROR(__xludf.DUMMYFUNCTION("GOOGLEFINANCE(""CURRENCY:INRBRL"") * I750
"),55.87870898662)</f>
        <v>55.87870899</v>
      </c>
      <c r="M750" s="9">
        <v>4.52</v>
      </c>
      <c r="N750" s="9">
        <v>14969.0</v>
      </c>
      <c r="O750" s="9" t="s">
        <v>2962</v>
      </c>
      <c r="P750" s="14" t="s">
        <v>2963</v>
      </c>
      <c r="U750" s="17"/>
      <c r="V750" s="18"/>
      <c r="W750" s="16"/>
      <c r="X750" s="16"/>
      <c r="Y750" s="16"/>
    </row>
    <row r="751">
      <c r="A751" s="9" t="s">
        <v>2964</v>
      </c>
      <c r="B751" s="10" t="s">
        <v>2965</v>
      </c>
      <c r="C751" s="10" t="s">
        <v>1388</v>
      </c>
      <c r="D751" s="10" t="s">
        <v>77</v>
      </c>
      <c r="E751" s="10" t="s">
        <v>1389</v>
      </c>
      <c r="F751" s="10" t="s">
        <v>1390</v>
      </c>
      <c r="G751" s="10"/>
      <c r="H751" s="10"/>
      <c r="I751" s="11">
        <v>2499.0</v>
      </c>
      <c r="J751" s="11">
        <v>9999.0</v>
      </c>
      <c r="K751" s="12">
        <f t="shared" si="1"/>
        <v>0.7500750075</v>
      </c>
      <c r="L751" s="13">
        <f>IFERROR(__xludf.DUMMYFUNCTION("GOOGLEFINANCE(""CURRENCY:INRBRL"") * I751
"),147.14530427562)</f>
        <v>147.1453043</v>
      </c>
      <c r="M751" s="9">
        <v>4.49</v>
      </c>
      <c r="N751" s="9">
        <v>42139.0</v>
      </c>
      <c r="O751" s="9" t="s">
        <v>2966</v>
      </c>
      <c r="P751" s="14" t="s">
        <v>2967</v>
      </c>
      <c r="U751" s="17"/>
      <c r="V751" s="18"/>
      <c r="W751" s="16"/>
      <c r="X751" s="16"/>
      <c r="Y751" s="16"/>
    </row>
    <row r="752">
      <c r="A752" s="9" t="s">
        <v>2968</v>
      </c>
      <c r="B752" s="10" t="s">
        <v>2969</v>
      </c>
      <c r="C752" s="10" t="s">
        <v>2432</v>
      </c>
      <c r="D752" s="10" t="s">
        <v>77</v>
      </c>
      <c r="E752" s="10" t="s">
        <v>2433</v>
      </c>
      <c r="F752" s="10" t="s">
        <v>2434</v>
      </c>
      <c r="G752" s="10"/>
      <c r="H752" s="10"/>
      <c r="I752" s="11">
        <v>159.0</v>
      </c>
      <c r="J752" s="11">
        <v>180.0</v>
      </c>
      <c r="K752" s="12">
        <f t="shared" si="1"/>
        <v>0.1166666667</v>
      </c>
      <c r="L752" s="13">
        <f>IFERROR(__xludf.DUMMYFUNCTION("GOOGLEFINANCE(""CURRENCY:INRBRL"") * I752
"),9.36218622642)</f>
        <v>9.362186226</v>
      </c>
      <c r="M752" s="9">
        <v>4.5</v>
      </c>
      <c r="N752" s="9">
        <v>989.0</v>
      </c>
      <c r="O752" s="9" t="s">
        <v>2970</v>
      </c>
      <c r="P752" s="14" t="s">
        <v>2971</v>
      </c>
      <c r="U752" s="17"/>
      <c r="V752" s="18"/>
      <c r="W752" s="16"/>
      <c r="X752" s="16"/>
      <c r="Y752" s="16"/>
    </row>
    <row r="753">
      <c r="A753" s="9" t="s">
        <v>2972</v>
      </c>
      <c r="B753" s="10" t="s">
        <v>2973</v>
      </c>
      <c r="C753" s="10" t="s">
        <v>1433</v>
      </c>
      <c r="D753" s="10" t="s">
        <v>77</v>
      </c>
      <c r="E753" s="10" t="s">
        <v>79</v>
      </c>
      <c r="F753" s="10" t="s">
        <v>1434</v>
      </c>
      <c r="G753" s="10" t="s">
        <v>1435</v>
      </c>
      <c r="H753" s="10"/>
      <c r="I753" s="11">
        <v>1329.0</v>
      </c>
      <c r="J753" s="11">
        <v>2899.0</v>
      </c>
      <c r="K753" s="12">
        <f t="shared" si="1"/>
        <v>0.5415660573</v>
      </c>
      <c r="L753" s="13">
        <f>IFERROR(__xludf.DUMMYFUNCTION("GOOGLEFINANCE(""CURRENCY:INRBRL"") * I753
"),78.25374525101999)</f>
        <v>78.25374525</v>
      </c>
      <c r="M753" s="9">
        <v>4.51</v>
      </c>
      <c r="N753" s="9">
        <v>19624.0</v>
      </c>
      <c r="O753" s="9" t="s">
        <v>2974</v>
      </c>
      <c r="P753" s="14" t="s">
        <v>2975</v>
      </c>
      <c r="U753" s="17"/>
      <c r="V753" s="18"/>
      <c r="W753" s="16"/>
      <c r="X753" s="16"/>
      <c r="Y753" s="16"/>
    </row>
    <row r="754">
      <c r="A754" s="9" t="s">
        <v>2976</v>
      </c>
      <c r="B754" s="10" t="s">
        <v>2977</v>
      </c>
      <c r="C754" s="10" t="s">
        <v>2941</v>
      </c>
      <c r="D754" s="10" t="s">
        <v>19</v>
      </c>
      <c r="E754" s="10" t="s">
        <v>20</v>
      </c>
      <c r="F754" s="10" t="s">
        <v>2942</v>
      </c>
      <c r="G754" s="10"/>
      <c r="H754" s="10"/>
      <c r="I754" s="11">
        <v>570.0</v>
      </c>
      <c r="J754" s="11">
        <v>999.0</v>
      </c>
      <c r="K754" s="12">
        <f t="shared" si="1"/>
        <v>0.4294294294</v>
      </c>
      <c r="L754" s="13">
        <f>IFERROR(__xludf.DUMMYFUNCTION("GOOGLEFINANCE(""CURRENCY:INRBRL"") * I754
"),33.5625543966)</f>
        <v>33.5625544</v>
      </c>
      <c r="M754" s="9">
        <v>4.5</v>
      </c>
      <c r="N754" s="9">
        <v>3201.0</v>
      </c>
      <c r="O754" s="9" t="s">
        <v>2978</v>
      </c>
      <c r="P754" s="14" t="s">
        <v>2979</v>
      </c>
      <c r="U754" s="17"/>
      <c r="V754" s="18"/>
      <c r="W754" s="16"/>
      <c r="X754" s="16"/>
      <c r="Y754" s="16"/>
    </row>
    <row r="755">
      <c r="A755" s="9" t="s">
        <v>2980</v>
      </c>
      <c r="B755" s="10" t="s">
        <v>2981</v>
      </c>
      <c r="C755" s="10" t="s">
        <v>2982</v>
      </c>
      <c r="D755" s="10" t="s">
        <v>77</v>
      </c>
      <c r="E755" s="10" t="s">
        <v>569</v>
      </c>
      <c r="F755" s="10" t="s">
        <v>1129</v>
      </c>
      <c r="G755" s="10" t="s">
        <v>2983</v>
      </c>
      <c r="H755" s="10"/>
      <c r="I755" s="11">
        <v>899.0</v>
      </c>
      <c r="J755" s="11">
        <v>1999.0</v>
      </c>
      <c r="K755" s="12">
        <f t="shared" si="1"/>
        <v>0.5502751376</v>
      </c>
      <c r="L755" s="13">
        <f>IFERROR(__xludf.DUMMYFUNCTION("GOOGLEFINANCE(""CURRENCY:INRBRL"") * I755
"),52.93462526762)</f>
        <v>52.93462527</v>
      </c>
      <c r="M755" s="9">
        <v>4.49</v>
      </c>
      <c r="N755" s="9">
        <v>30469.0</v>
      </c>
      <c r="O755" s="9" t="s">
        <v>2984</v>
      </c>
      <c r="P755" s="14" t="s">
        <v>2985</v>
      </c>
      <c r="U755" s="17"/>
      <c r="V755" s="18"/>
      <c r="W755" s="16"/>
      <c r="X755" s="16"/>
      <c r="Y755" s="16"/>
    </row>
    <row r="756">
      <c r="A756" s="9" t="s">
        <v>2986</v>
      </c>
      <c r="B756" s="10" t="s">
        <v>2987</v>
      </c>
      <c r="C756" s="10" t="s">
        <v>2988</v>
      </c>
      <c r="D756" s="10" t="s">
        <v>19</v>
      </c>
      <c r="E756" s="10" t="s">
        <v>20</v>
      </c>
      <c r="F756" s="10" t="s">
        <v>2157</v>
      </c>
      <c r="G756" s="10" t="s">
        <v>2989</v>
      </c>
      <c r="H756" s="10" t="s">
        <v>2990</v>
      </c>
      <c r="I756" s="11">
        <v>449.0</v>
      </c>
      <c r="J756" s="11">
        <v>999.0</v>
      </c>
      <c r="K756" s="12">
        <f t="shared" si="1"/>
        <v>0.5505505506</v>
      </c>
      <c r="L756" s="13">
        <f>IFERROR(__xludf.DUMMYFUNCTION("GOOGLEFINANCE(""CURRENCY:INRBRL"") * I756
"),26.437871796619998)</f>
        <v>26.4378718</v>
      </c>
      <c r="M756" s="9">
        <v>4.5</v>
      </c>
      <c r="N756" s="9">
        <v>994.0</v>
      </c>
      <c r="O756" s="9" t="s">
        <v>2991</v>
      </c>
      <c r="P756" s="14" t="s">
        <v>2992</v>
      </c>
      <c r="U756" s="17"/>
      <c r="V756" s="18"/>
      <c r="W756" s="16"/>
      <c r="X756" s="16"/>
      <c r="Y756" s="16"/>
    </row>
    <row r="757">
      <c r="A757" s="9" t="s">
        <v>2993</v>
      </c>
      <c r="B757" s="10" t="s">
        <v>2994</v>
      </c>
      <c r="C757" s="10" t="s">
        <v>2995</v>
      </c>
      <c r="D757" s="10" t="s">
        <v>19</v>
      </c>
      <c r="E757" s="10" t="s">
        <v>2335</v>
      </c>
      <c r="F757" s="10" t="s">
        <v>2996</v>
      </c>
      <c r="G757" s="10"/>
      <c r="H757" s="10"/>
      <c r="I757" s="11">
        <v>549.0</v>
      </c>
      <c r="J757" s="11">
        <v>999.0</v>
      </c>
      <c r="K757" s="12">
        <f t="shared" si="1"/>
        <v>0.4504504505</v>
      </c>
      <c r="L757" s="13">
        <f>IFERROR(__xludf.DUMMYFUNCTION("GOOGLEFINANCE(""CURRENCY:INRBRL"") * I757
"),32.32603923462)</f>
        <v>32.32603923</v>
      </c>
      <c r="M757" s="9">
        <v>4.5</v>
      </c>
      <c r="N757" s="9">
        <v>7758.0</v>
      </c>
      <c r="O757" s="9" t="s">
        <v>2997</v>
      </c>
      <c r="P757" s="14" t="s">
        <v>2998</v>
      </c>
      <c r="U757" s="17"/>
      <c r="V757" s="18"/>
      <c r="W757" s="16"/>
      <c r="X757" s="16"/>
      <c r="Y757" s="16"/>
    </row>
    <row r="758">
      <c r="A758" s="9" t="s">
        <v>2999</v>
      </c>
      <c r="B758" s="10" t="s">
        <v>3000</v>
      </c>
      <c r="C758" s="10" t="s">
        <v>2638</v>
      </c>
      <c r="D758" s="10" t="s">
        <v>19</v>
      </c>
      <c r="E758" s="10" t="s">
        <v>57</v>
      </c>
      <c r="F758" s="10" t="s">
        <v>2639</v>
      </c>
      <c r="G758" s="10"/>
      <c r="H758" s="10"/>
      <c r="I758" s="11">
        <v>1529.0</v>
      </c>
      <c r="J758" s="11">
        <v>2399.0</v>
      </c>
      <c r="K758" s="12">
        <f t="shared" si="1"/>
        <v>0.3626511046</v>
      </c>
      <c r="L758" s="13">
        <f>IFERROR(__xludf.DUMMYFUNCTION("GOOGLEFINANCE(""CURRENCY:INRBRL"") * I758
"),90.03008012702)</f>
        <v>90.03008013</v>
      </c>
      <c r="M758" s="9">
        <v>4.5</v>
      </c>
      <c r="N758" s="9">
        <v>68409.0</v>
      </c>
      <c r="O758" s="9" t="s">
        <v>3001</v>
      </c>
      <c r="P758" s="14" t="s">
        <v>3002</v>
      </c>
      <c r="U758" s="17"/>
      <c r="V758" s="18"/>
      <c r="W758" s="16"/>
      <c r="X758" s="16"/>
      <c r="Y758" s="16"/>
    </row>
    <row r="759">
      <c r="A759" s="9" t="s">
        <v>3003</v>
      </c>
      <c r="B759" s="10" t="s">
        <v>3004</v>
      </c>
      <c r="C759" s="10" t="s">
        <v>3005</v>
      </c>
      <c r="D759" s="10" t="s">
        <v>2440</v>
      </c>
      <c r="E759" s="10" t="s">
        <v>2441</v>
      </c>
      <c r="F759" s="10" t="s">
        <v>2442</v>
      </c>
      <c r="G759" s="10" t="s">
        <v>2443</v>
      </c>
      <c r="H759" s="10" t="s">
        <v>2444</v>
      </c>
      <c r="I759" s="11">
        <v>100.0</v>
      </c>
      <c r="J759" s="11">
        <v>100.0</v>
      </c>
      <c r="K759" s="12">
        <f t="shared" si="1"/>
        <v>0</v>
      </c>
      <c r="L759" s="13">
        <f>IFERROR(__xludf.DUMMYFUNCTION("GOOGLEFINANCE(""CURRENCY:INRBRL"") * I759
"),5.888167438)</f>
        <v>5.888167438</v>
      </c>
      <c r="M759" s="9">
        <v>4.5</v>
      </c>
      <c r="N759" s="9">
        <v>3095.0</v>
      </c>
      <c r="O759" s="9" t="s">
        <v>3006</v>
      </c>
      <c r="P759" s="14" t="s">
        <v>3007</v>
      </c>
      <c r="U759" s="17"/>
      <c r="V759" s="18"/>
      <c r="W759" s="16"/>
      <c r="X759" s="16"/>
      <c r="Y759" s="16"/>
    </row>
    <row r="760">
      <c r="A760" s="9" t="s">
        <v>3008</v>
      </c>
      <c r="B760" s="10" t="s">
        <v>3009</v>
      </c>
      <c r="C760" s="10" t="s">
        <v>2370</v>
      </c>
      <c r="D760" s="10" t="s">
        <v>19</v>
      </c>
      <c r="E760" s="10" t="s">
        <v>20</v>
      </c>
      <c r="F760" s="10" t="s">
        <v>2157</v>
      </c>
      <c r="G760" s="10" t="s">
        <v>2371</v>
      </c>
      <c r="H760" s="10"/>
      <c r="I760" s="11">
        <v>299.0</v>
      </c>
      <c r="J760" s="11">
        <v>1499.0</v>
      </c>
      <c r="K760" s="12">
        <f t="shared" si="1"/>
        <v>0.8005336891</v>
      </c>
      <c r="L760" s="13">
        <f>IFERROR(__xludf.DUMMYFUNCTION("GOOGLEFINANCE(""CURRENCY:INRBRL"") * I760
"),17.60562063962)</f>
        <v>17.60562064</v>
      </c>
      <c r="M760" s="9">
        <v>4.5</v>
      </c>
      <c r="N760" s="9">
        <v>903.0</v>
      </c>
      <c r="O760" s="9" t="s">
        <v>3010</v>
      </c>
      <c r="P760" s="14" t="s">
        <v>3011</v>
      </c>
      <c r="U760" s="17"/>
      <c r="V760" s="18"/>
      <c r="W760" s="16"/>
      <c r="X760" s="16"/>
      <c r="Y760" s="16"/>
    </row>
    <row r="761">
      <c r="A761" s="9" t="s">
        <v>3012</v>
      </c>
      <c r="B761" s="10" t="s">
        <v>3013</v>
      </c>
      <c r="C761" s="10" t="s">
        <v>2467</v>
      </c>
      <c r="D761" s="10" t="s">
        <v>19</v>
      </c>
      <c r="E761" s="10" t="s">
        <v>20</v>
      </c>
      <c r="F761" s="10" t="s">
        <v>2342</v>
      </c>
      <c r="G761" s="10" t="s">
        <v>2468</v>
      </c>
      <c r="H761" s="10"/>
      <c r="I761" s="11">
        <v>1295.0</v>
      </c>
      <c r="J761" s="11">
        <v>1795.0</v>
      </c>
      <c r="K761" s="12">
        <f t="shared" si="1"/>
        <v>0.278551532</v>
      </c>
      <c r="L761" s="13">
        <f>IFERROR(__xludf.DUMMYFUNCTION("GOOGLEFINANCE(""CURRENCY:INRBRL"") * I761
"),76.25176832209999)</f>
        <v>76.25176832</v>
      </c>
      <c r="M761" s="9">
        <v>4.49</v>
      </c>
      <c r="N761" s="9">
        <v>25771.0</v>
      </c>
      <c r="O761" s="9" t="s">
        <v>3014</v>
      </c>
      <c r="P761" s="14" t="s">
        <v>3015</v>
      </c>
      <c r="U761" s="17"/>
      <c r="V761" s="18"/>
      <c r="W761" s="16"/>
      <c r="X761" s="16"/>
      <c r="Y761" s="16"/>
    </row>
    <row r="762">
      <c r="A762" s="9" t="s">
        <v>3016</v>
      </c>
      <c r="B762" s="10" t="s">
        <v>3017</v>
      </c>
      <c r="C762" s="10" t="s">
        <v>1454</v>
      </c>
      <c r="D762" s="10" t="s">
        <v>77</v>
      </c>
      <c r="E762" s="10" t="s">
        <v>1455</v>
      </c>
      <c r="F762" s="10" t="s">
        <v>1456</v>
      </c>
      <c r="G762" s="10" t="s">
        <v>1457</v>
      </c>
      <c r="H762" s="10"/>
      <c r="I762" s="11">
        <v>699.0</v>
      </c>
      <c r="J762" s="11">
        <v>999.0</v>
      </c>
      <c r="K762" s="12">
        <f t="shared" si="1"/>
        <v>0.3003003003</v>
      </c>
      <c r="L762" s="13">
        <f>IFERROR(__xludf.DUMMYFUNCTION("GOOGLEFINANCE(""CURRENCY:INRBRL"") * I762
"),41.15829039162)</f>
        <v>41.15829039</v>
      </c>
      <c r="M762" s="9">
        <v>4.49</v>
      </c>
      <c r="N762" s="9">
        <v>273189.0</v>
      </c>
      <c r="O762" s="9" t="s">
        <v>3018</v>
      </c>
      <c r="P762" s="14" t="s">
        <v>3019</v>
      </c>
      <c r="U762" s="17"/>
      <c r="V762" s="18"/>
      <c r="W762" s="16"/>
      <c r="X762" s="16"/>
      <c r="Y762" s="16"/>
    </row>
    <row r="763">
      <c r="A763" s="9" t="s">
        <v>3020</v>
      </c>
      <c r="B763" s="10" t="s">
        <v>3021</v>
      </c>
      <c r="C763" s="10" t="s">
        <v>3022</v>
      </c>
      <c r="D763" s="10" t="s">
        <v>2440</v>
      </c>
      <c r="E763" s="10" t="s">
        <v>2441</v>
      </c>
      <c r="F763" s="10" t="s">
        <v>2442</v>
      </c>
      <c r="G763" s="10" t="s">
        <v>2443</v>
      </c>
      <c r="H763" s="10" t="s">
        <v>2719</v>
      </c>
      <c r="I763" s="11">
        <v>252.0</v>
      </c>
      <c r="J763" s="11">
        <v>315.0</v>
      </c>
      <c r="K763" s="12">
        <f t="shared" si="1"/>
        <v>0.2</v>
      </c>
      <c r="L763" s="13">
        <f>IFERROR(__xludf.DUMMYFUNCTION("GOOGLEFINANCE(""CURRENCY:INRBRL"") * I763
"),14.83818194376)</f>
        <v>14.83818194</v>
      </c>
      <c r="M763" s="9">
        <v>4.51</v>
      </c>
      <c r="N763" s="9">
        <v>3785.0</v>
      </c>
      <c r="O763" s="9" t="s">
        <v>3023</v>
      </c>
      <c r="P763" s="14" t="s">
        <v>3024</v>
      </c>
      <c r="U763" s="17"/>
      <c r="V763" s="18"/>
      <c r="W763" s="16"/>
      <c r="X763" s="16"/>
      <c r="Y763" s="16"/>
    </row>
    <row r="764">
      <c r="A764" s="9" t="s">
        <v>3025</v>
      </c>
      <c r="B764" s="10" t="s">
        <v>3026</v>
      </c>
      <c r="C764" s="10" t="s">
        <v>2432</v>
      </c>
      <c r="D764" s="10" t="s">
        <v>77</v>
      </c>
      <c r="E764" s="10" t="s">
        <v>2433</v>
      </c>
      <c r="F764" s="10" t="s">
        <v>2434</v>
      </c>
      <c r="G764" s="10"/>
      <c r="H764" s="10"/>
      <c r="I764" s="11">
        <v>190.0</v>
      </c>
      <c r="J764" s="11">
        <v>220.0</v>
      </c>
      <c r="K764" s="12">
        <f t="shared" si="1"/>
        <v>0.1363636364</v>
      </c>
      <c r="L764" s="13">
        <f>IFERROR(__xludf.DUMMYFUNCTION("GOOGLEFINANCE(""CURRENCY:INRBRL"") * I764
"),11.1875181322)</f>
        <v>11.18751813</v>
      </c>
      <c r="M764" s="9">
        <v>4.5</v>
      </c>
      <c r="N764" s="9">
        <v>2866.0</v>
      </c>
      <c r="O764" s="9" t="s">
        <v>3027</v>
      </c>
      <c r="P764" s="14" t="s">
        <v>3028</v>
      </c>
      <c r="U764" s="17"/>
      <c r="V764" s="18"/>
      <c r="W764" s="16"/>
      <c r="X764" s="16"/>
      <c r="Y764" s="16"/>
    </row>
    <row r="765">
      <c r="A765" s="9" t="s">
        <v>3029</v>
      </c>
      <c r="B765" s="10" t="s">
        <v>3030</v>
      </c>
      <c r="C765" s="10" t="s">
        <v>2467</v>
      </c>
      <c r="D765" s="10" t="s">
        <v>19</v>
      </c>
      <c r="E765" s="10" t="s">
        <v>20</v>
      </c>
      <c r="F765" s="10" t="s">
        <v>2342</v>
      </c>
      <c r="G765" s="10" t="s">
        <v>2468</v>
      </c>
      <c r="H765" s="10"/>
      <c r="I765" s="11">
        <v>1299.0</v>
      </c>
      <c r="J765" s="11">
        <v>1599.0</v>
      </c>
      <c r="K765" s="12">
        <f t="shared" si="1"/>
        <v>0.1876172608</v>
      </c>
      <c r="L765" s="13">
        <f>IFERROR(__xludf.DUMMYFUNCTION("GOOGLEFINANCE(""CURRENCY:INRBRL"") * I765
"),76.48729501961999)</f>
        <v>76.48729502</v>
      </c>
      <c r="M765" s="9">
        <v>4.5</v>
      </c>
      <c r="N765" s="9">
        <v>27223.0</v>
      </c>
      <c r="O765" s="9" t="s">
        <v>3031</v>
      </c>
      <c r="P765" s="14" t="s">
        <v>3032</v>
      </c>
      <c r="U765" s="17"/>
      <c r="V765" s="18"/>
      <c r="W765" s="16"/>
      <c r="X765" s="16"/>
      <c r="Y765" s="16"/>
    </row>
    <row r="766">
      <c r="A766" s="9" t="s">
        <v>3033</v>
      </c>
      <c r="B766" s="10" t="s">
        <v>3034</v>
      </c>
      <c r="C766" s="10" t="s">
        <v>2334</v>
      </c>
      <c r="D766" s="10" t="s">
        <v>19</v>
      </c>
      <c r="E766" s="10" t="s">
        <v>2335</v>
      </c>
      <c r="F766" s="10" t="s">
        <v>2336</v>
      </c>
      <c r="G766" s="10"/>
      <c r="H766" s="10"/>
      <c r="I766" s="11">
        <v>729.0</v>
      </c>
      <c r="J766" s="11">
        <v>1650.0</v>
      </c>
      <c r="K766" s="12">
        <f t="shared" si="1"/>
        <v>0.5581818182</v>
      </c>
      <c r="L766" s="13">
        <f>IFERROR(__xludf.DUMMYFUNCTION("GOOGLEFINANCE(""CURRENCY:INRBRL"") * I766
"),42.92474062302)</f>
        <v>42.92474062</v>
      </c>
      <c r="M766" s="9">
        <v>4.5</v>
      </c>
      <c r="N766" s="9">
        <v>82356.0</v>
      </c>
      <c r="O766" s="9" t="s">
        <v>3035</v>
      </c>
      <c r="P766" s="14" t="s">
        <v>3036</v>
      </c>
      <c r="U766" s="17"/>
      <c r="V766" s="18"/>
      <c r="W766" s="16"/>
      <c r="X766" s="16"/>
      <c r="Y766" s="16"/>
    </row>
    <row r="767">
      <c r="A767" s="9" t="s">
        <v>3037</v>
      </c>
      <c r="B767" s="10" t="s">
        <v>3038</v>
      </c>
      <c r="C767" s="10" t="s">
        <v>3039</v>
      </c>
      <c r="D767" s="10" t="s">
        <v>2440</v>
      </c>
      <c r="E767" s="10" t="s">
        <v>2441</v>
      </c>
      <c r="F767" s="10" t="s">
        <v>2442</v>
      </c>
      <c r="G767" s="10" t="s">
        <v>2443</v>
      </c>
      <c r="H767" s="10" t="s">
        <v>2444</v>
      </c>
      <c r="I767" s="11">
        <v>480.0</v>
      </c>
      <c r="J767" s="11">
        <v>600.0</v>
      </c>
      <c r="K767" s="12">
        <f t="shared" si="1"/>
        <v>0.2</v>
      </c>
      <c r="L767" s="13">
        <f>IFERROR(__xludf.DUMMYFUNCTION("GOOGLEFINANCE(""CURRENCY:INRBRL"") * I767
"),28.2632037024)</f>
        <v>28.2632037</v>
      </c>
      <c r="M767" s="9">
        <v>4.5</v>
      </c>
      <c r="N767" s="9">
        <v>5719.0</v>
      </c>
      <c r="O767" s="9" t="s">
        <v>3040</v>
      </c>
      <c r="P767" s="14" t="s">
        <v>3041</v>
      </c>
      <c r="U767" s="17"/>
      <c r="V767" s="18"/>
      <c r="W767" s="16"/>
      <c r="X767" s="16"/>
      <c r="Y767" s="16"/>
    </row>
    <row r="768">
      <c r="A768" s="9" t="s">
        <v>1992</v>
      </c>
      <c r="B768" s="10" t="s">
        <v>1993</v>
      </c>
      <c r="C768" s="10" t="s">
        <v>1388</v>
      </c>
      <c r="D768" s="10" t="s">
        <v>77</v>
      </c>
      <c r="E768" s="10" t="s">
        <v>1389</v>
      </c>
      <c r="F768" s="10" t="s">
        <v>1390</v>
      </c>
      <c r="G768" s="10"/>
      <c r="H768" s="10"/>
      <c r="I768" s="11">
        <v>1799.0</v>
      </c>
      <c r="J768" s="11">
        <v>6999.0</v>
      </c>
      <c r="K768" s="12">
        <f t="shared" si="1"/>
        <v>0.7429632805</v>
      </c>
      <c r="L768" s="13">
        <f>IFERROR(__xludf.DUMMYFUNCTION("GOOGLEFINANCE(""CURRENCY:INRBRL"") * I768
"),105.92813220962)</f>
        <v>105.9281322</v>
      </c>
      <c r="M768" s="9">
        <v>4.0</v>
      </c>
      <c r="N768" s="9">
        <v>2688.0</v>
      </c>
      <c r="O768" s="9" t="s">
        <v>1994</v>
      </c>
      <c r="P768" s="14" t="s">
        <v>3042</v>
      </c>
      <c r="U768" s="17"/>
      <c r="V768" s="18"/>
      <c r="W768" s="16"/>
      <c r="X768" s="16"/>
      <c r="Y768" s="16"/>
    </row>
    <row r="769">
      <c r="A769" s="9" t="s">
        <v>3043</v>
      </c>
      <c r="B769" s="10" t="s">
        <v>3044</v>
      </c>
      <c r="C769" s="10" t="s">
        <v>2358</v>
      </c>
      <c r="D769" s="10" t="s">
        <v>19</v>
      </c>
      <c r="E769" s="10" t="s">
        <v>20</v>
      </c>
      <c r="F769" s="10" t="s">
        <v>2157</v>
      </c>
      <c r="G769" s="10" t="s">
        <v>2359</v>
      </c>
      <c r="H769" s="10"/>
      <c r="I769" s="11">
        <v>999.0</v>
      </c>
      <c r="J769" s="11">
        <v>2499.0</v>
      </c>
      <c r="K769" s="12">
        <f t="shared" si="1"/>
        <v>0.600240096</v>
      </c>
      <c r="L769" s="13">
        <f>IFERROR(__xludf.DUMMYFUNCTION("GOOGLEFINANCE(""CURRENCY:INRBRL"") * I769
"),58.822792705619996)</f>
        <v>58.82279271</v>
      </c>
      <c r="M769" s="9">
        <v>4.5</v>
      </c>
      <c r="N769" s="9">
        <v>169.0</v>
      </c>
      <c r="O769" s="9" t="s">
        <v>3045</v>
      </c>
      <c r="P769" s="14" t="s">
        <v>3046</v>
      </c>
      <c r="U769" s="17"/>
      <c r="V769" s="18"/>
      <c r="W769" s="16"/>
      <c r="X769" s="16"/>
      <c r="Y769" s="16"/>
    </row>
    <row r="770">
      <c r="A770" s="9" t="s">
        <v>141</v>
      </c>
      <c r="B770" s="10" t="s">
        <v>142</v>
      </c>
      <c r="C770" s="10" t="s">
        <v>18</v>
      </c>
      <c r="D770" s="10" t="s">
        <v>19</v>
      </c>
      <c r="E770" s="10" t="s">
        <v>20</v>
      </c>
      <c r="F770" s="10" t="s">
        <v>21</v>
      </c>
      <c r="G770" s="10" t="s">
        <v>22</v>
      </c>
      <c r="H770" s="10" t="s">
        <v>23</v>
      </c>
      <c r="I770" s="11">
        <v>299.0</v>
      </c>
      <c r="J770" s="11">
        <v>399.0</v>
      </c>
      <c r="K770" s="12">
        <f t="shared" si="1"/>
        <v>0.2506265664</v>
      </c>
      <c r="L770" s="13">
        <f>IFERROR(__xludf.DUMMYFUNCTION("GOOGLEFINANCE(""CURRENCY:INRBRL"") * I770
"),17.60562063962)</f>
        <v>17.60562064</v>
      </c>
      <c r="M770" s="9">
        <v>4.0</v>
      </c>
      <c r="N770" s="9">
        <v>2766.0</v>
      </c>
      <c r="O770" s="9" t="s">
        <v>143</v>
      </c>
      <c r="P770" s="14" t="s">
        <v>3047</v>
      </c>
      <c r="U770" s="17"/>
      <c r="V770" s="18"/>
      <c r="W770" s="16"/>
      <c r="X770" s="16"/>
      <c r="Y770" s="16"/>
    </row>
    <row r="771">
      <c r="A771" s="9" t="s">
        <v>3048</v>
      </c>
      <c r="B771" s="10" t="s">
        <v>3049</v>
      </c>
      <c r="C771" s="10" t="s">
        <v>3050</v>
      </c>
      <c r="D771" s="10" t="s">
        <v>19</v>
      </c>
      <c r="E771" s="10" t="s">
        <v>20</v>
      </c>
      <c r="F771" s="10" t="s">
        <v>21</v>
      </c>
      <c r="G771" s="10" t="s">
        <v>22</v>
      </c>
      <c r="H771" s="10" t="s">
        <v>3051</v>
      </c>
      <c r="I771" s="11">
        <v>238.0</v>
      </c>
      <c r="J771" s="11">
        <v>699.0</v>
      </c>
      <c r="K771" s="12">
        <f t="shared" si="1"/>
        <v>0.6595135908</v>
      </c>
      <c r="L771" s="13">
        <f>IFERROR(__xludf.DUMMYFUNCTION("GOOGLEFINANCE(""CURRENCY:INRBRL"") * I771
"),14.01383850244)</f>
        <v>14.0138385</v>
      </c>
      <c r="M771" s="9">
        <v>4.5</v>
      </c>
      <c r="N771" s="9">
        <v>8372.0</v>
      </c>
      <c r="O771" s="9" t="s">
        <v>3052</v>
      </c>
      <c r="P771" s="14" t="s">
        <v>3053</v>
      </c>
      <c r="U771" s="17"/>
      <c r="V771" s="18"/>
      <c r="W771" s="16"/>
      <c r="X771" s="16"/>
      <c r="Y771" s="16"/>
    </row>
    <row r="772">
      <c r="A772" s="9" t="s">
        <v>3054</v>
      </c>
      <c r="B772" s="10" t="s">
        <v>3055</v>
      </c>
      <c r="C772" s="10" t="s">
        <v>2467</v>
      </c>
      <c r="D772" s="10" t="s">
        <v>19</v>
      </c>
      <c r="E772" s="10" t="s">
        <v>20</v>
      </c>
      <c r="F772" s="10" t="s">
        <v>2342</v>
      </c>
      <c r="G772" s="10" t="s">
        <v>2468</v>
      </c>
      <c r="H772" s="10"/>
      <c r="I772" s="11">
        <v>1349.0</v>
      </c>
      <c r="J772" s="11">
        <v>2198.0</v>
      </c>
      <c r="K772" s="12">
        <f t="shared" si="1"/>
        <v>0.3862602366</v>
      </c>
      <c r="L772" s="13">
        <f>IFERROR(__xludf.DUMMYFUNCTION("GOOGLEFINANCE(""CURRENCY:INRBRL"") * I772
"),79.43137873862)</f>
        <v>79.43137874</v>
      </c>
      <c r="M772" s="9">
        <v>4.0</v>
      </c>
      <c r="N772" s="9">
        <v>7113.0</v>
      </c>
      <c r="O772" s="9" t="s">
        <v>3056</v>
      </c>
      <c r="P772" s="14" t="s">
        <v>3057</v>
      </c>
      <c r="U772" s="17"/>
      <c r="V772" s="18"/>
      <c r="W772" s="16"/>
      <c r="X772" s="16"/>
      <c r="Y772" s="16"/>
    </row>
    <row r="773">
      <c r="A773" s="9" t="s">
        <v>149</v>
      </c>
      <c r="B773" s="10" t="s">
        <v>150</v>
      </c>
      <c r="C773" s="10" t="s">
        <v>18</v>
      </c>
      <c r="D773" s="10" t="s">
        <v>19</v>
      </c>
      <c r="E773" s="10" t="s">
        <v>20</v>
      </c>
      <c r="F773" s="10" t="s">
        <v>21</v>
      </c>
      <c r="G773" s="10" t="s">
        <v>22</v>
      </c>
      <c r="H773" s="10" t="s">
        <v>23</v>
      </c>
      <c r="I773" s="11">
        <v>299.0</v>
      </c>
      <c r="J773" s="11">
        <v>999.0</v>
      </c>
      <c r="K773" s="12">
        <f t="shared" si="1"/>
        <v>0.7007007007</v>
      </c>
      <c r="L773" s="13">
        <f>IFERROR(__xludf.DUMMYFUNCTION("GOOGLEFINANCE(""CURRENCY:INRBRL"") * I773
"),17.60562063962)</f>
        <v>17.60562064</v>
      </c>
      <c r="M773" s="9">
        <v>4.5</v>
      </c>
      <c r="N773" s="9">
        <v>2085.0</v>
      </c>
      <c r="O773" s="9" t="s">
        <v>151</v>
      </c>
      <c r="P773" s="14" t="s">
        <v>3058</v>
      </c>
      <c r="U773" s="17"/>
      <c r="V773" s="18"/>
      <c r="W773" s="16"/>
      <c r="X773" s="16"/>
      <c r="Y773" s="16"/>
    </row>
    <row r="774">
      <c r="A774" s="9" t="s">
        <v>3059</v>
      </c>
      <c r="B774" s="10" t="s">
        <v>3060</v>
      </c>
      <c r="C774" s="10" t="s">
        <v>2959</v>
      </c>
      <c r="D774" s="10" t="s">
        <v>19</v>
      </c>
      <c r="E774" s="10" t="s">
        <v>20</v>
      </c>
      <c r="F774" s="10" t="s">
        <v>2960</v>
      </c>
      <c r="G774" s="10" t="s">
        <v>2961</v>
      </c>
      <c r="H774" s="10"/>
      <c r="I774" s="11">
        <v>199.0</v>
      </c>
      <c r="J774" s="11">
        <v>499.0</v>
      </c>
      <c r="K774" s="12">
        <f t="shared" si="1"/>
        <v>0.6012024048</v>
      </c>
      <c r="L774" s="13">
        <f>IFERROR(__xludf.DUMMYFUNCTION("GOOGLEFINANCE(""CURRENCY:INRBRL"") * I774
"),11.71745320162)</f>
        <v>11.7174532</v>
      </c>
      <c r="M774" s="9">
        <v>4.5</v>
      </c>
      <c r="N774" s="9">
        <v>2804.0</v>
      </c>
      <c r="O774" s="9" t="s">
        <v>3061</v>
      </c>
      <c r="P774" s="14" t="s">
        <v>3062</v>
      </c>
      <c r="U774" s="17"/>
      <c r="V774" s="18"/>
      <c r="W774" s="16"/>
      <c r="X774" s="16"/>
      <c r="Y774" s="16"/>
    </row>
    <row r="775">
      <c r="A775" s="9" t="s">
        <v>3063</v>
      </c>
      <c r="B775" s="10" t="s">
        <v>3064</v>
      </c>
      <c r="C775" s="10" t="s">
        <v>1454</v>
      </c>
      <c r="D775" s="10" t="s">
        <v>77</v>
      </c>
      <c r="E775" s="10" t="s">
        <v>1455</v>
      </c>
      <c r="F775" s="10" t="s">
        <v>1456</v>
      </c>
      <c r="G775" s="10" t="s">
        <v>1457</v>
      </c>
      <c r="H775" s="10"/>
      <c r="I775" s="11">
        <v>1999.0</v>
      </c>
      <c r="J775" s="11">
        <v>9999.0</v>
      </c>
      <c r="K775" s="12">
        <f t="shared" si="1"/>
        <v>0.800080008</v>
      </c>
      <c r="L775" s="13">
        <f>IFERROR(__xludf.DUMMYFUNCTION("GOOGLEFINANCE(""CURRENCY:INRBRL"") * I775
"),117.70446708562)</f>
        <v>117.7044671</v>
      </c>
      <c r="M775" s="9">
        <v>4.51</v>
      </c>
      <c r="N775" s="9">
        <v>1986.0</v>
      </c>
      <c r="O775" s="9" t="s">
        <v>2566</v>
      </c>
      <c r="P775" s="14" t="s">
        <v>3065</v>
      </c>
      <c r="U775" s="17"/>
      <c r="V775" s="18"/>
      <c r="W775" s="16"/>
      <c r="X775" s="16"/>
      <c r="Y775" s="16"/>
    </row>
    <row r="776">
      <c r="A776" s="9" t="s">
        <v>3066</v>
      </c>
      <c r="B776" s="10" t="s">
        <v>3067</v>
      </c>
      <c r="C776" s="10" t="s">
        <v>1672</v>
      </c>
      <c r="D776" s="10" t="s">
        <v>77</v>
      </c>
      <c r="E776" s="10" t="s">
        <v>1404</v>
      </c>
      <c r="F776" s="10" t="s">
        <v>1405</v>
      </c>
      <c r="G776" s="10" t="s">
        <v>1673</v>
      </c>
      <c r="H776" s="10"/>
      <c r="I776" s="11">
        <v>99.0</v>
      </c>
      <c r="J776" s="11">
        <v>499.0</v>
      </c>
      <c r="K776" s="12">
        <f t="shared" si="1"/>
        <v>0.8016032064</v>
      </c>
      <c r="L776" s="13">
        <f>IFERROR(__xludf.DUMMYFUNCTION("GOOGLEFINANCE(""CURRENCY:INRBRL"") * I776
"),5.82928576362)</f>
        <v>5.829285764</v>
      </c>
      <c r="M776" s="9">
        <v>4.49</v>
      </c>
      <c r="N776" s="9">
        <v>2451.0</v>
      </c>
      <c r="O776" s="9" t="s">
        <v>1674</v>
      </c>
      <c r="P776" s="14" t="s">
        <v>3068</v>
      </c>
      <c r="U776" s="17"/>
      <c r="V776" s="18"/>
      <c r="W776" s="16"/>
      <c r="X776" s="16"/>
      <c r="Y776" s="16"/>
    </row>
    <row r="777">
      <c r="A777" s="9" t="s">
        <v>3069</v>
      </c>
      <c r="B777" s="10" t="s">
        <v>3070</v>
      </c>
      <c r="C777" s="10" t="s">
        <v>2341</v>
      </c>
      <c r="D777" s="10" t="s">
        <v>19</v>
      </c>
      <c r="E777" s="10" t="s">
        <v>20</v>
      </c>
      <c r="F777" s="10" t="s">
        <v>2342</v>
      </c>
      <c r="G777" s="10" t="s">
        <v>2343</v>
      </c>
      <c r="H777" s="10"/>
      <c r="I777" s="11">
        <v>499.0</v>
      </c>
      <c r="J777" s="11">
        <v>999.0</v>
      </c>
      <c r="K777" s="12">
        <f t="shared" si="1"/>
        <v>0.5005005005</v>
      </c>
      <c r="L777" s="13">
        <f>IFERROR(__xludf.DUMMYFUNCTION("GOOGLEFINANCE(""CURRENCY:INRBRL"") * I777
"),29.38195551562)</f>
        <v>29.38195552</v>
      </c>
      <c r="M777" s="9">
        <v>5.0</v>
      </c>
      <c r="N777" s="9">
        <v>23.0</v>
      </c>
      <c r="O777" s="9" t="s">
        <v>3071</v>
      </c>
      <c r="P777" s="14" t="s">
        <v>3072</v>
      </c>
      <c r="U777" s="17"/>
      <c r="V777" s="18"/>
      <c r="W777" s="16"/>
      <c r="X777" s="16"/>
      <c r="Y777" s="16"/>
    </row>
    <row r="778">
      <c r="A778" s="9" t="s">
        <v>3073</v>
      </c>
      <c r="B778" s="10" t="s">
        <v>3074</v>
      </c>
      <c r="C778" s="10" t="s">
        <v>3075</v>
      </c>
      <c r="D778" s="10" t="s">
        <v>19</v>
      </c>
      <c r="E778" s="10" t="s">
        <v>3076</v>
      </c>
      <c r="F778" s="10" t="s">
        <v>3077</v>
      </c>
      <c r="G778" s="10"/>
      <c r="H778" s="10"/>
      <c r="I778" s="11">
        <v>1792.0</v>
      </c>
      <c r="J778" s="11">
        <v>3499.0</v>
      </c>
      <c r="K778" s="12">
        <f t="shared" si="1"/>
        <v>0.4878536725</v>
      </c>
      <c r="L778" s="13">
        <f>IFERROR(__xludf.DUMMYFUNCTION("GOOGLEFINANCE(""CURRENCY:INRBRL"") * I778
"),105.51596048895999)</f>
        <v>105.5159605</v>
      </c>
      <c r="M778" s="9">
        <v>4.51</v>
      </c>
      <c r="N778" s="9">
        <v>26194.0</v>
      </c>
      <c r="O778" s="9" t="s">
        <v>3078</v>
      </c>
      <c r="P778" s="14" t="s">
        <v>3079</v>
      </c>
      <c r="U778" s="17"/>
      <c r="V778" s="18"/>
      <c r="W778" s="16"/>
      <c r="X778" s="16"/>
      <c r="Y778" s="16"/>
    </row>
    <row r="779">
      <c r="A779" s="9" t="s">
        <v>3080</v>
      </c>
      <c r="B779" s="10" t="s">
        <v>3081</v>
      </c>
      <c r="C779" s="10" t="s">
        <v>3082</v>
      </c>
      <c r="D779" s="10" t="s">
        <v>19</v>
      </c>
      <c r="E779" s="10" t="s">
        <v>20</v>
      </c>
      <c r="F779" s="10" t="s">
        <v>3083</v>
      </c>
      <c r="G779" s="10"/>
      <c r="H779" s="10"/>
      <c r="I779" s="11">
        <v>3299.0</v>
      </c>
      <c r="J779" s="11">
        <v>4099.0</v>
      </c>
      <c r="K779" s="12">
        <f t="shared" si="1"/>
        <v>0.1951695535</v>
      </c>
      <c r="L779" s="13">
        <f>IFERROR(__xludf.DUMMYFUNCTION("GOOGLEFINANCE(""CURRENCY:INRBRL"") * I779
"),194.25064377962)</f>
        <v>194.2506438</v>
      </c>
      <c r="M779" s="9">
        <v>4.52</v>
      </c>
      <c r="N779" s="9">
        <v>15783.0</v>
      </c>
      <c r="O779" s="9" t="s">
        <v>3084</v>
      </c>
      <c r="P779" s="14" t="s">
        <v>3085</v>
      </c>
      <c r="U779" s="17"/>
      <c r="V779" s="18"/>
      <c r="W779" s="16"/>
      <c r="X779" s="16"/>
      <c r="Y779" s="16"/>
    </row>
    <row r="780">
      <c r="A780" s="9" t="s">
        <v>3086</v>
      </c>
      <c r="B780" s="10" t="s">
        <v>3087</v>
      </c>
      <c r="C780" s="10" t="s">
        <v>3022</v>
      </c>
      <c r="D780" s="10" t="s">
        <v>2440</v>
      </c>
      <c r="E780" s="10" t="s">
        <v>2441</v>
      </c>
      <c r="F780" s="10" t="s">
        <v>2442</v>
      </c>
      <c r="G780" s="10" t="s">
        <v>2443</v>
      </c>
      <c r="H780" s="10" t="s">
        <v>2719</v>
      </c>
      <c r="I780" s="11">
        <v>125.0</v>
      </c>
      <c r="J780" s="11">
        <v>180.0</v>
      </c>
      <c r="K780" s="12">
        <f t="shared" si="1"/>
        <v>0.3055555556</v>
      </c>
      <c r="L780" s="13">
        <f>IFERROR(__xludf.DUMMYFUNCTION("GOOGLEFINANCE(""CURRENCY:INRBRL"") * I780
"),7.3602092975)</f>
        <v>7.360209298</v>
      </c>
      <c r="M780" s="9">
        <v>4.5</v>
      </c>
      <c r="N780" s="9">
        <v>8053.0</v>
      </c>
      <c r="O780" s="9" t="s">
        <v>3088</v>
      </c>
      <c r="P780" s="14" t="s">
        <v>3089</v>
      </c>
      <c r="U780" s="17"/>
      <c r="V780" s="18"/>
      <c r="W780" s="16"/>
      <c r="X780" s="16"/>
      <c r="Y780" s="16"/>
    </row>
    <row r="781">
      <c r="A781" s="9" t="s">
        <v>3090</v>
      </c>
      <c r="B781" s="10" t="s">
        <v>3091</v>
      </c>
      <c r="C781" s="10" t="s">
        <v>2341</v>
      </c>
      <c r="D781" s="10" t="s">
        <v>19</v>
      </c>
      <c r="E781" s="10" t="s">
        <v>20</v>
      </c>
      <c r="F781" s="10" t="s">
        <v>2342</v>
      </c>
      <c r="G781" s="10" t="s">
        <v>2343</v>
      </c>
      <c r="H781" s="10"/>
      <c r="I781" s="11">
        <v>399.0</v>
      </c>
      <c r="J781" s="11">
        <v>1199.0</v>
      </c>
      <c r="K781" s="12">
        <f t="shared" si="1"/>
        <v>0.6672226856</v>
      </c>
      <c r="L781" s="13">
        <f>IFERROR(__xludf.DUMMYFUNCTION("GOOGLEFINANCE(""CURRENCY:INRBRL"") * I781
"),23.49378807762)</f>
        <v>23.49378808</v>
      </c>
      <c r="M781" s="9">
        <v>4.49</v>
      </c>
      <c r="N781" s="9">
        <v>2809.0</v>
      </c>
      <c r="O781" s="9" t="s">
        <v>3092</v>
      </c>
      <c r="P781" s="14" t="s">
        <v>3093</v>
      </c>
      <c r="U781" s="17"/>
      <c r="V781" s="18"/>
      <c r="W781" s="16"/>
      <c r="X781" s="16"/>
      <c r="Y781" s="16"/>
    </row>
    <row r="782">
      <c r="A782" s="9" t="s">
        <v>3094</v>
      </c>
      <c r="B782" s="10" t="s">
        <v>3095</v>
      </c>
      <c r="C782" s="10" t="s">
        <v>1454</v>
      </c>
      <c r="D782" s="10" t="s">
        <v>77</v>
      </c>
      <c r="E782" s="10" t="s">
        <v>1455</v>
      </c>
      <c r="F782" s="10" t="s">
        <v>1456</v>
      </c>
      <c r="G782" s="10" t="s">
        <v>1457</v>
      </c>
      <c r="H782" s="10"/>
      <c r="I782" s="11">
        <v>1199.0</v>
      </c>
      <c r="J782" s="11">
        <v>7999.0</v>
      </c>
      <c r="K782" s="12">
        <f t="shared" si="1"/>
        <v>0.8501062633</v>
      </c>
      <c r="L782" s="13">
        <f>IFERROR(__xludf.DUMMYFUNCTION("GOOGLEFINANCE(""CURRENCY:INRBRL"") * I782
"),70.59912758162)</f>
        <v>70.59912758</v>
      </c>
      <c r="M782" s="9">
        <v>4.51</v>
      </c>
      <c r="N782" s="9">
        <v>2591.0</v>
      </c>
      <c r="O782" s="9" t="s">
        <v>3096</v>
      </c>
      <c r="P782" s="14" t="s">
        <v>3097</v>
      </c>
      <c r="U782" s="17"/>
      <c r="V782" s="18"/>
      <c r="W782" s="16"/>
      <c r="X782" s="16"/>
      <c r="Y782" s="16"/>
    </row>
    <row r="783">
      <c r="A783" s="9" t="s">
        <v>3098</v>
      </c>
      <c r="B783" s="10" t="s">
        <v>3099</v>
      </c>
      <c r="C783" s="10" t="s">
        <v>2348</v>
      </c>
      <c r="D783" s="10" t="s">
        <v>19</v>
      </c>
      <c r="E783" s="10" t="s">
        <v>20</v>
      </c>
      <c r="F783" s="10" t="s">
        <v>2342</v>
      </c>
      <c r="G783" s="10" t="s">
        <v>2349</v>
      </c>
      <c r="H783" s="10"/>
      <c r="I783" s="11">
        <v>235.0</v>
      </c>
      <c r="J783" s="11">
        <v>1599.0</v>
      </c>
      <c r="K783" s="12">
        <f t="shared" si="1"/>
        <v>0.8530331457</v>
      </c>
      <c r="L783" s="13">
        <f>IFERROR(__xludf.DUMMYFUNCTION("GOOGLEFINANCE(""CURRENCY:INRBRL"") * I783
"),13.8371934793)</f>
        <v>13.83719348</v>
      </c>
      <c r="M783" s="9">
        <v>4.51</v>
      </c>
      <c r="N783" s="9">
        <v>1173.0</v>
      </c>
      <c r="O783" s="9" t="s">
        <v>3100</v>
      </c>
      <c r="P783" s="14" t="s">
        <v>3101</v>
      </c>
      <c r="U783" s="17"/>
      <c r="V783" s="18"/>
      <c r="W783" s="16"/>
      <c r="X783" s="16"/>
      <c r="Y783" s="16"/>
    </row>
    <row r="784">
      <c r="A784" s="9" t="s">
        <v>3102</v>
      </c>
      <c r="B784" s="10" t="s">
        <v>3103</v>
      </c>
      <c r="C784" s="10" t="s">
        <v>2358</v>
      </c>
      <c r="D784" s="10" t="s">
        <v>19</v>
      </c>
      <c r="E784" s="10" t="s">
        <v>20</v>
      </c>
      <c r="F784" s="10" t="s">
        <v>2157</v>
      </c>
      <c r="G784" s="10" t="s">
        <v>2359</v>
      </c>
      <c r="H784" s="10"/>
      <c r="I784" s="11">
        <v>549.0</v>
      </c>
      <c r="J784" s="11">
        <v>1999.0</v>
      </c>
      <c r="K784" s="12">
        <f t="shared" si="1"/>
        <v>0.7253626813</v>
      </c>
      <c r="L784" s="13">
        <f>IFERROR(__xludf.DUMMYFUNCTION("GOOGLEFINANCE(""CURRENCY:INRBRL"") * I784
"),32.32603923462)</f>
        <v>32.32603923</v>
      </c>
      <c r="M784" s="9">
        <v>4.51</v>
      </c>
      <c r="N784" s="9">
        <v>6422.0</v>
      </c>
      <c r="O784" s="9" t="s">
        <v>3104</v>
      </c>
      <c r="P784" s="14" t="s">
        <v>3105</v>
      </c>
      <c r="U784" s="17"/>
      <c r="V784" s="18"/>
      <c r="W784" s="16"/>
      <c r="X784" s="16"/>
      <c r="Y784" s="16"/>
    </row>
    <row r="785">
      <c r="A785" s="9" t="s">
        <v>3106</v>
      </c>
      <c r="B785" s="10" t="s">
        <v>3107</v>
      </c>
      <c r="C785" s="10" t="s">
        <v>2814</v>
      </c>
      <c r="D785" s="10" t="s">
        <v>19</v>
      </c>
      <c r="E785" s="10" t="s">
        <v>20</v>
      </c>
      <c r="F785" s="10" t="s">
        <v>2815</v>
      </c>
      <c r="G785" s="10" t="s">
        <v>2816</v>
      </c>
      <c r="H785" s="10"/>
      <c r="I785" s="11">
        <v>89.0</v>
      </c>
      <c r="J785" s="11">
        <v>99.0</v>
      </c>
      <c r="K785" s="12">
        <f t="shared" si="1"/>
        <v>0.101010101</v>
      </c>
      <c r="L785" s="13">
        <f>IFERROR(__xludf.DUMMYFUNCTION("GOOGLEFINANCE(""CURRENCY:INRBRL"") * I785
"),5.24046901982)</f>
        <v>5.24046902</v>
      </c>
      <c r="M785" s="9">
        <v>4.5</v>
      </c>
      <c r="N785" s="9">
        <v>241.0</v>
      </c>
      <c r="O785" s="9" t="s">
        <v>3108</v>
      </c>
      <c r="P785" s="14" t="s">
        <v>3109</v>
      </c>
      <c r="U785" s="17"/>
      <c r="V785" s="18"/>
      <c r="W785" s="16"/>
      <c r="X785" s="16"/>
      <c r="Y785" s="16"/>
    </row>
    <row r="786">
      <c r="A786" s="9" t="s">
        <v>145</v>
      </c>
      <c r="B786" s="10" t="s">
        <v>146</v>
      </c>
      <c r="C786" s="10" t="s">
        <v>18</v>
      </c>
      <c r="D786" s="10" t="s">
        <v>19</v>
      </c>
      <c r="E786" s="10" t="s">
        <v>20</v>
      </c>
      <c r="F786" s="10" t="s">
        <v>21</v>
      </c>
      <c r="G786" s="10" t="s">
        <v>22</v>
      </c>
      <c r="H786" s="10" t="s">
        <v>23</v>
      </c>
      <c r="I786" s="11">
        <v>970.0</v>
      </c>
      <c r="J786" s="11">
        <v>1999.0</v>
      </c>
      <c r="K786" s="12">
        <f t="shared" si="1"/>
        <v>0.5147573787</v>
      </c>
      <c r="L786" s="13">
        <f>IFERROR(__xludf.DUMMYFUNCTION("GOOGLEFINANCE(""CURRENCY:INRBRL"") * I786
"),57.1152241486)</f>
        <v>57.11522415</v>
      </c>
      <c r="M786" s="9">
        <v>4.5</v>
      </c>
      <c r="N786" s="9">
        <v>184.0</v>
      </c>
      <c r="O786" s="9" t="s">
        <v>147</v>
      </c>
      <c r="P786" s="14" t="s">
        <v>3110</v>
      </c>
      <c r="U786" s="17"/>
      <c r="V786" s="18"/>
      <c r="W786" s="16"/>
      <c r="X786" s="16"/>
      <c r="Y786" s="16"/>
    </row>
    <row r="787">
      <c r="A787" s="9" t="s">
        <v>3111</v>
      </c>
      <c r="B787" s="10" t="s">
        <v>3112</v>
      </c>
      <c r="C787" s="10" t="s">
        <v>1454</v>
      </c>
      <c r="D787" s="10" t="s">
        <v>77</v>
      </c>
      <c r="E787" s="10" t="s">
        <v>1455</v>
      </c>
      <c r="F787" s="10" t="s">
        <v>1456</v>
      </c>
      <c r="G787" s="10" t="s">
        <v>1457</v>
      </c>
      <c r="H787" s="10"/>
      <c r="I787" s="11">
        <v>1299.0</v>
      </c>
      <c r="J787" s="11">
        <v>2999.0</v>
      </c>
      <c r="K787" s="12">
        <f t="shared" si="1"/>
        <v>0.5668556185</v>
      </c>
      <c r="L787" s="13">
        <f>IFERROR(__xludf.DUMMYFUNCTION("GOOGLEFINANCE(""CURRENCY:INRBRL"") * I787
"),76.48729501961999)</f>
        <v>76.48729502</v>
      </c>
      <c r="M787" s="9">
        <v>4.51</v>
      </c>
      <c r="N787" s="9">
        <v>14629.0</v>
      </c>
      <c r="O787" s="9" t="s">
        <v>3113</v>
      </c>
      <c r="P787" s="14" t="s">
        <v>3114</v>
      </c>
      <c r="U787" s="17"/>
      <c r="V787" s="18"/>
      <c r="W787" s="16"/>
      <c r="X787" s="16"/>
      <c r="Y787" s="16"/>
    </row>
    <row r="788">
      <c r="A788" s="9" t="s">
        <v>3115</v>
      </c>
      <c r="B788" s="10" t="s">
        <v>3116</v>
      </c>
      <c r="C788" s="10" t="s">
        <v>2596</v>
      </c>
      <c r="D788" s="10" t="s">
        <v>19</v>
      </c>
      <c r="E788" s="10" t="s">
        <v>20</v>
      </c>
      <c r="F788" s="10" t="s">
        <v>2342</v>
      </c>
      <c r="G788" s="10" t="s">
        <v>2556</v>
      </c>
      <c r="H788" s="10" t="s">
        <v>2597</v>
      </c>
      <c r="I788" s="11">
        <v>230.0</v>
      </c>
      <c r="J788" s="11">
        <v>999.0</v>
      </c>
      <c r="K788" s="12">
        <f t="shared" si="1"/>
        <v>0.7697697698</v>
      </c>
      <c r="L788" s="13">
        <f>IFERROR(__xludf.DUMMYFUNCTION("GOOGLEFINANCE(""CURRENCY:INRBRL"") * I788
"),13.5427851074)</f>
        <v>13.54278511</v>
      </c>
      <c r="M788" s="9">
        <v>4.5</v>
      </c>
      <c r="N788" s="9">
        <v>1528.0</v>
      </c>
      <c r="O788" s="9" t="s">
        <v>3117</v>
      </c>
      <c r="P788" s="14" t="s">
        <v>3118</v>
      </c>
      <c r="U788" s="17"/>
      <c r="V788" s="18"/>
      <c r="W788" s="16"/>
      <c r="X788" s="16"/>
      <c r="Y788" s="16"/>
    </row>
    <row r="789">
      <c r="A789" s="9" t="s">
        <v>3119</v>
      </c>
      <c r="B789" s="10" t="s">
        <v>3120</v>
      </c>
      <c r="C789" s="10" t="s">
        <v>3121</v>
      </c>
      <c r="D789" s="10" t="s">
        <v>77</v>
      </c>
      <c r="E789" s="10" t="s">
        <v>1455</v>
      </c>
      <c r="F789" s="10" t="s">
        <v>3122</v>
      </c>
      <c r="G789" s="10"/>
      <c r="H789" s="10"/>
      <c r="I789" s="11">
        <v>119.0</v>
      </c>
      <c r="J789" s="11">
        <v>499.0</v>
      </c>
      <c r="K789" s="12">
        <f t="shared" si="1"/>
        <v>0.7615230461</v>
      </c>
      <c r="L789" s="13">
        <f>IFERROR(__xludf.DUMMYFUNCTION("GOOGLEFINANCE(""CURRENCY:INRBRL"") * I789
"),7.00691925122)</f>
        <v>7.006919251</v>
      </c>
      <c r="M789" s="9">
        <v>4.5</v>
      </c>
      <c r="N789" s="9">
        <v>15032.0</v>
      </c>
      <c r="O789" s="9" t="s">
        <v>3123</v>
      </c>
      <c r="P789" s="14" t="s">
        <v>3124</v>
      </c>
      <c r="U789" s="17"/>
      <c r="V789" s="18"/>
      <c r="W789" s="16"/>
      <c r="X789" s="16"/>
      <c r="Y789" s="16"/>
    </row>
    <row r="790">
      <c r="A790" s="9" t="s">
        <v>3125</v>
      </c>
      <c r="B790" s="10" t="s">
        <v>3126</v>
      </c>
      <c r="C790" s="10" t="s">
        <v>3127</v>
      </c>
      <c r="D790" s="10" t="s">
        <v>77</v>
      </c>
      <c r="E790" s="10" t="s">
        <v>79</v>
      </c>
      <c r="F790" s="10" t="s">
        <v>1434</v>
      </c>
      <c r="G790" s="10" t="s">
        <v>3128</v>
      </c>
      <c r="H790" s="10"/>
      <c r="I790" s="11">
        <v>449.0</v>
      </c>
      <c r="J790" s="11">
        <v>800.0</v>
      </c>
      <c r="K790" s="12">
        <f t="shared" si="1"/>
        <v>0.43875</v>
      </c>
      <c r="L790" s="13">
        <f>IFERROR(__xludf.DUMMYFUNCTION("GOOGLEFINANCE(""CURRENCY:INRBRL"") * I790
"),26.437871796619998)</f>
        <v>26.4378718</v>
      </c>
      <c r="M790" s="9">
        <v>4.5</v>
      </c>
      <c r="N790" s="9">
        <v>69585.0</v>
      </c>
      <c r="O790" s="9" t="s">
        <v>3129</v>
      </c>
      <c r="P790" s="14" t="s">
        <v>3130</v>
      </c>
      <c r="U790" s="17"/>
      <c r="V790" s="18"/>
      <c r="W790" s="16"/>
      <c r="X790" s="16"/>
      <c r="Y790" s="16"/>
    </row>
    <row r="791">
      <c r="A791" s="9" t="s">
        <v>3131</v>
      </c>
      <c r="B791" s="10" t="s">
        <v>3132</v>
      </c>
      <c r="C791" s="10" t="s">
        <v>3133</v>
      </c>
      <c r="D791" s="10" t="s">
        <v>77</v>
      </c>
      <c r="E791" s="10" t="s">
        <v>1404</v>
      </c>
      <c r="F791" s="10" t="s">
        <v>1405</v>
      </c>
      <c r="G791" s="10" t="s">
        <v>1599</v>
      </c>
      <c r="H791" s="10" t="s">
        <v>3134</v>
      </c>
      <c r="I791" s="11">
        <v>1699.0</v>
      </c>
      <c r="J791" s="11">
        <v>3495.0</v>
      </c>
      <c r="K791" s="12">
        <f t="shared" si="1"/>
        <v>0.5138769671</v>
      </c>
      <c r="L791" s="13">
        <f>IFERROR(__xludf.DUMMYFUNCTION("GOOGLEFINANCE(""CURRENCY:INRBRL"") * I791
"),100.03996477161999)</f>
        <v>100.0399648</v>
      </c>
      <c r="M791" s="9">
        <v>4.49</v>
      </c>
      <c r="N791" s="9">
        <v>14371.0</v>
      </c>
      <c r="O791" s="9" t="s">
        <v>3135</v>
      </c>
      <c r="P791" s="14" t="s">
        <v>3136</v>
      </c>
      <c r="U791" s="17"/>
      <c r="V791" s="18"/>
      <c r="W791" s="16"/>
      <c r="X791" s="16"/>
      <c r="Y791" s="16"/>
    </row>
    <row r="792">
      <c r="A792" s="9" t="s">
        <v>3137</v>
      </c>
      <c r="B792" s="10" t="s">
        <v>3138</v>
      </c>
      <c r="C792" s="10" t="s">
        <v>3022</v>
      </c>
      <c r="D792" s="10" t="s">
        <v>2440</v>
      </c>
      <c r="E792" s="10" t="s">
        <v>2441</v>
      </c>
      <c r="F792" s="10" t="s">
        <v>2442</v>
      </c>
      <c r="G792" s="10" t="s">
        <v>2443</v>
      </c>
      <c r="H792" s="10" t="s">
        <v>2719</v>
      </c>
      <c r="I792" s="11">
        <v>561.0</v>
      </c>
      <c r="J792" s="11">
        <v>720.0</v>
      </c>
      <c r="K792" s="12">
        <f t="shared" si="1"/>
        <v>0.2208333333</v>
      </c>
      <c r="L792" s="13">
        <f>IFERROR(__xludf.DUMMYFUNCTION("GOOGLEFINANCE(""CURRENCY:INRBRL"") * I792
"),33.03261932718)</f>
        <v>33.03261933</v>
      </c>
      <c r="M792" s="9">
        <v>4.5</v>
      </c>
      <c r="N792" s="9">
        <v>3182.0</v>
      </c>
      <c r="O792" s="9" t="s">
        <v>3139</v>
      </c>
      <c r="P792" s="14" t="s">
        <v>3140</v>
      </c>
      <c r="U792" s="17"/>
      <c r="V792" s="18"/>
      <c r="W792" s="16"/>
      <c r="X792" s="16"/>
      <c r="Y792" s="16"/>
    </row>
    <row r="793">
      <c r="A793" s="9" t="s">
        <v>3141</v>
      </c>
      <c r="B793" s="10" t="s">
        <v>3142</v>
      </c>
      <c r="C793" s="10" t="s">
        <v>2341</v>
      </c>
      <c r="D793" s="10" t="s">
        <v>19</v>
      </c>
      <c r="E793" s="10" t="s">
        <v>20</v>
      </c>
      <c r="F793" s="10" t="s">
        <v>2342</v>
      </c>
      <c r="G793" s="10" t="s">
        <v>2343</v>
      </c>
      <c r="H793" s="10"/>
      <c r="I793" s="11">
        <v>289.0</v>
      </c>
      <c r="J793" s="11">
        <v>590.0</v>
      </c>
      <c r="K793" s="12">
        <f t="shared" si="1"/>
        <v>0.5101694915</v>
      </c>
      <c r="L793" s="13">
        <f>IFERROR(__xludf.DUMMYFUNCTION("GOOGLEFINANCE(""CURRENCY:INRBRL"") * I793
"),17.01680389582)</f>
        <v>17.0168039</v>
      </c>
      <c r="M793" s="9">
        <v>4.5</v>
      </c>
      <c r="N793" s="9">
        <v>25886.0</v>
      </c>
      <c r="O793" s="9" t="s">
        <v>3143</v>
      </c>
      <c r="P793" s="14" t="s">
        <v>3144</v>
      </c>
      <c r="U793" s="17"/>
      <c r="V793" s="18"/>
      <c r="W793" s="16"/>
      <c r="X793" s="16"/>
      <c r="Y793" s="16"/>
    </row>
    <row r="794">
      <c r="A794" s="9" t="s">
        <v>3145</v>
      </c>
      <c r="B794" s="10" t="s">
        <v>3146</v>
      </c>
      <c r="C794" s="10" t="s">
        <v>2370</v>
      </c>
      <c r="D794" s="10" t="s">
        <v>19</v>
      </c>
      <c r="E794" s="10" t="s">
        <v>20</v>
      </c>
      <c r="F794" s="10" t="s">
        <v>2157</v>
      </c>
      <c r="G794" s="10" t="s">
        <v>2371</v>
      </c>
      <c r="H794" s="10"/>
      <c r="I794" s="11">
        <v>599.0</v>
      </c>
      <c r="J794" s="11">
        <v>1999.0</v>
      </c>
      <c r="K794" s="12">
        <f t="shared" si="1"/>
        <v>0.7003501751</v>
      </c>
      <c r="L794" s="13">
        <f>IFERROR(__xludf.DUMMYFUNCTION("GOOGLEFINANCE(""CURRENCY:INRBRL"") * I794
"),35.270122953619996)</f>
        <v>35.27012295</v>
      </c>
      <c r="M794" s="9">
        <v>4.5</v>
      </c>
      <c r="N794" s="9">
        <v>4736.0</v>
      </c>
      <c r="O794" s="9" t="s">
        <v>3147</v>
      </c>
      <c r="P794" s="14" t="s">
        <v>3148</v>
      </c>
      <c r="U794" s="17"/>
      <c r="V794" s="18"/>
      <c r="W794" s="16"/>
      <c r="X794" s="16"/>
      <c r="Y794" s="16"/>
    </row>
    <row r="795">
      <c r="A795" s="9" t="s">
        <v>3149</v>
      </c>
      <c r="B795" s="10" t="s">
        <v>3150</v>
      </c>
      <c r="C795" s="10" t="s">
        <v>2476</v>
      </c>
      <c r="D795" s="10" t="s">
        <v>19</v>
      </c>
      <c r="E795" s="10" t="s">
        <v>2335</v>
      </c>
      <c r="F795" s="10" t="s">
        <v>2477</v>
      </c>
      <c r="G795" s="10"/>
      <c r="H795" s="10"/>
      <c r="I795" s="11">
        <v>5599.0</v>
      </c>
      <c r="J795" s="11">
        <v>7350.0</v>
      </c>
      <c r="K795" s="12">
        <f t="shared" si="1"/>
        <v>0.2382312925</v>
      </c>
      <c r="L795" s="13">
        <f>IFERROR(__xludf.DUMMYFUNCTION("GOOGLEFINANCE(""CURRENCY:INRBRL"") * I795
"),329.67849485362)</f>
        <v>329.6784949</v>
      </c>
      <c r="M795" s="9">
        <v>4.5</v>
      </c>
      <c r="N795" s="9">
        <v>73005.0</v>
      </c>
      <c r="O795" s="9" t="s">
        <v>3151</v>
      </c>
      <c r="P795" s="14" t="s">
        <v>3152</v>
      </c>
      <c r="U795" s="17"/>
      <c r="V795" s="18"/>
      <c r="W795" s="16"/>
      <c r="X795" s="16"/>
      <c r="Y795" s="16"/>
    </row>
    <row r="796">
      <c r="A796" s="9" t="s">
        <v>3153</v>
      </c>
      <c r="B796" s="10" t="s">
        <v>3154</v>
      </c>
      <c r="C796" s="10" t="s">
        <v>3155</v>
      </c>
      <c r="D796" s="10" t="s">
        <v>19</v>
      </c>
      <c r="E796" s="10" t="s">
        <v>20</v>
      </c>
      <c r="F796" s="10" t="s">
        <v>2960</v>
      </c>
      <c r="G796" s="10" t="s">
        <v>3156</v>
      </c>
      <c r="H796" s="10" t="s">
        <v>3157</v>
      </c>
      <c r="I796" s="11">
        <v>1999.0</v>
      </c>
      <c r="J796" s="11">
        <v>2595.0</v>
      </c>
      <c r="K796" s="12">
        <f t="shared" si="1"/>
        <v>0.229672447</v>
      </c>
      <c r="L796" s="13">
        <f>IFERROR(__xludf.DUMMYFUNCTION("GOOGLEFINANCE(""CURRENCY:INRBRL"") * I796
"),117.70446708562)</f>
        <v>117.7044671</v>
      </c>
      <c r="M796" s="9">
        <v>4.5</v>
      </c>
      <c r="N796" s="9">
        <v>20398.0</v>
      </c>
      <c r="O796" s="9" t="s">
        <v>3158</v>
      </c>
      <c r="P796" s="14" t="s">
        <v>3159</v>
      </c>
      <c r="U796" s="17"/>
      <c r="V796" s="18"/>
      <c r="W796" s="16"/>
      <c r="X796" s="16"/>
      <c r="Y796" s="16"/>
    </row>
    <row r="797">
      <c r="A797" s="9" t="s">
        <v>3160</v>
      </c>
      <c r="B797" s="10" t="s">
        <v>3161</v>
      </c>
      <c r="C797" s="10" t="s">
        <v>2941</v>
      </c>
      <c r="D797" s="10" t="s">
        <v>19</v>
      </c>
      <c r="E797" s="10" t="s">
        <v>20</v>
      </c>
      <c r="F797" s="10" t="s">
        <v>2942</v>
      </c>
      <c r="G797" s="10"/>
      <c r="H797" s="10"/>
      <c r="I797" s="11">
        <v>499.0</v>
      </c>
      <c r="J797" s="11">
        <v>799.0</v>
      </c>
      <c r="K797" s="12">
        <f t="shared" si="1"/>
        <v>0.3754693367</v>
      </c>
      <c r="L797" s="13">
        <f>IFERROR(__xludf.DUMMYFUNCTION("GOOGLEFINANCE(""CURRENCY:INRBRL"") * I797
"),29.38195551562)</f>
        <v>29.38195552</v>
      </c>
      <c r="M797" s="9">
        <v>4.5</v>
      </c>
      <c r="N797" s="9">
        <v>2125.0</v>
      </c>
      <c r="O797" s="9" t="s">
        <v>3162</v>
      </c>
      <c r="P797" s="14" t="s">
        <v>3163</v>
      </c>
      <c r="U797" s="17"/>
      <c r="V797" s="18"/>
      <c r="W797" s="16"/>
      <c r="X797" s="16"/>
      <c r="Y797" s="16"/>
    </row>
    <row r="798">
      <c r="A798" s="9" t="s">
        <v>3164</v>
      </c>
      <c r="B798" s="10" t="s">
        <v>3165</v>
      </c>
      <c r="C798" s="10" t="s">
        <v>2988</v>
      </c>
      <c r="D798" s="10" t="s">
        <v>19</v>
      </c>
      <c r="E798" s="10" t="s">
        <v>20</v>
      </c>
      <c r="F798" s="10" t="s">
        <v>2157</v>
      </c>
      <c r="G798" s="10" t="s">
        <v>2989</v>
      </c>
      <c r="H798" s="10" t="s">
        <v>2990</v>
      </c>
      <c r="I798" s="11">
        <v>449.0</v>
      </c>
      <c r="J798" s="11">
        <v>999.0</v>
      </c>
      <c r="K798" s="12">
        <f t="shared" si="1"/>
        <v>0.5505505506</v>
      </c>
      <c r="L798" s="13">
        <f>IFERROR(__xludf.DUMMYFUNCTION("GOOGLEFINANCE(""CURRENCY:INRBRL"") * I798
"),26.437871796619998)</f>
        <v>26.4378718</v>
      </c>
      <c r="M798" s="9">
        <v>4.5</v>
      </c>
      <c r="N798" s="9">
        <v>1133.0</v>
      </c>
      <c r="O798" s="9" t="s">
        <v>3166</v>
      </c>
      <c r="P798" s="14" t="s">
        <v>3167</v>
      </c>
      <c r="U798" s="17"/>
      <c r="V798" s="18"/>
      <c r="W798" s="16"/>
      <c r="X798" s="16"/>
      <c r="Y798" s="16"/>
    </row>
    <row r="799">
      <c r="A799" s="9" t="s">
        <v>3168</v>
      </c>
      <c r="B799" s="10" t="s">
        <v>3169</v>
      </c>
      <c r="C799" s="10" t="s">
        <v>3170</v>
      </c>
      <c r="D799" s="10" t="s">
        <v>19</v>
      </c>
      <c r="E799" s="10" t="s">
        <v>20</v>
      </c>
      <c r="F799" s="10" t="s">
        <v>2157</v>
      </c>
      <c r="G799" s="10" t="s">
        <v>3171</v>
      </c>
      <c r="H799" s="10"/>
      <c r="I799" s="11">
        <v>999.0</v>
      </c>
      <c r="J799" s="11">
        <v>1999.0</v>
      </c>
      <c r="K799" s="12">
        <f t="shared" si="1"/>
        <v>0.5002501251</v>
      </c>
      <c r="L799" s="13">
        <f>IFERROR(__xludf.DUMMYFUNCTION("GOOGLEFINANCE(""CURRENCY:INRBRL"") * I799
"),58.822792705619996)</f>
        <v>58.82279271</v>
      </c>
      <c r="M799" s="9">
        <v>4.5</v>
      </c>
      <c r="N799" s="9">
        <v>27441.0</v>
      </c>
      <c r="O799" s="9" t="s">
        <v>3172</v>
      </c>
      <c r="P799" s="14" t="s">
        <v>3173</v>
      </c>
      <c r="U799" s="17"/>
      <c r="V799" s="18"/>
      <c r="W799" s="16"/>
      <c r="X799" s="16"/>
      <c r="Y799" s="16"/>
    </row>
    <row r="800">
      <c r="A800" s="9" t="s">
        <v>3174</v>
      </c>
      <c r="B800" s="10" t="s">
        <v>3175</v>
      </c>
      <c r="C800" s="10" t="s">
        <v>2156</v>
      </c>
      <c r="D800" s="10" t="s">
        <v>19</v>
      </c>
      <c r="E800" s="10" t="s">
        <v>20</v>
      </c>
      <c r="F800" s="10" t="s">
        <v>2157</v>
      </c>
      <c r="G800" s="10" t="s">
        <v>2158</v>
      </c>
      <c r="H800" s="10"/>
      <c r="I800" s="11">
        <v>69.0</v>
      </c>
      <c r="J800" s="11">
        <v>299.0</v>
      </c>
      <c r="K800" s="12">
        <f t="shared" si="1"/>
        <v>0.7692307692</v>
      </c>
      <c r="L800" s="13">
        <f>IFERROR(__xludf.DUMMYFUNCTION("GOOGLEFINANCE(""CURRENCY:INRBRL"") * I800
"),4.06283553222)</f>
        <v>4.062835532</v>
      </c>
      <c r="M800" s="9">
        <v>4.5</v>
      </c>
      <c r="N800" s="9">
        <v>255.0</v>
      </c>
      <c r="O800" s="9" t="s">
        <v>3176</v>
      </c>
      <c r="P800" s="14" t="s">
        <v>3177</v>
      </c>
      <c r="U800" s="17"/>
      <c r="V800" s="18"/>
      <c r="W800" s="16"/>
      <c r="X800" s="16"/>
      <c r="Y800" s="16"/>
    </row>
    <row r="801">
      <c r="A801" s="9" t="s">
        <v>3178</v>
      </c>
      <c r="B801" s="10" t="s">
        <v>3179</v>
      </c>
      <c r="C801" s="10" t="s">
        <v>2341</v>
      </c>
      <c r="D801" s="10" t="s">
        <v>19</v>
      </c>
      <c r="E801" s="10" t="s">
        <v>20</v>
      </c>
      <c r="F801" s="10" t="s">
        <v>2342</v>
      </c>
      <c r="G801" s="10" t="s">
        <v>2343</v>
      </c>
      <c r="H801" s="10"/>
      <c r="I801" s="11">
        <v>899.0</v>
      </c>
      <c r="J801" s="11">
        <v>1499.0</v>
      </c>
      <c r="K801" s="12">
        <f t="shared" si="1"/>
        <v>0.4002668446</v>
      </c>
      <c r="L801" s="13">
        <f>IFERROR(__xludf.DUMMYFUNCTION("GOOGLEFINANCE(""CURRENCY:INRBRL"") * I801
"),52.93462526762)</f>
        <v>52.93462527</v>
      </c>
      <c r="M801" s="9">
        <v>4.5</v>
      </c>
      <c r="N801" s="9">
        <v>23174.0</v>
      </c>
      <c r="O801" s="9" t="s">
        <v>3180</v>
      </c>
      <c r="P801" s="14" t="s">
        <v>3181</v>
      </c>
      <c r="U801" s="17"/>
      <c r="V801" s="18"/>
      <c r="W801" s="16"/>
      <c r="X801" s="16"/>
      <c r="Y801" s="16"/>
    </row>
    <row r="802">
      <c r="A802" s="9" t="s">
        <v>3182</v>
      </c>
      <c r="B802" s="10" t="s">
        <v>3183</v>
      </c>
      <c r="C802" s="10" t="s">
        <v>2423</v>
      </c>
      <c r="D802" s="10" t="s">
        <v>2424</v>
      </c>
      <c r="E802" s="10" t="s">
        <v>2425</v>
      </c>
      <c r="F802" s="10" t="s">
        <v>2426</v>
      </c>
      <c r="G802" s="10"/>
      <c r="H802" s="10"/>
      <c r="I802" s="11">
        <v>478.0</v>
      </c>
      <c r="J802" s="11">
        <v>699.0</v>
      </c>
      <c r="K802" s="12">
        <f t="shared" si="1"/>
        <v>0.3161659514</v>
      </c>
      <c r="L802" s="13">
        <f>IFERROR(__xludf.DUMMYFUNCTION("GOOGLEFINANCE(""CURRENCY:INRBRL"") * I802
"),28.145440353639998)</f>
        <v>28.14544035</v>
      </c>
      <c r="M802" s="9">
        <v>4.51</v>
      </c>
      <c r="N802" s="9">
        <v>20218.0</v>
      </c>
      <c r="O802" s="9" t="s">
        <v>3184</v>
      </c>
      <c r="P802" s="14" t="s">
        <v>3185</v>
      </c>
      <c r="U802" s="17"/>
      <c r="V802" s="18"/>
      <c r="W802" s="16"/>
      <c r="X802" s="16"/>
      <c r="Y802" s="16"/>
    </row>
    <row r="803">
      <c r="A803" s="9" t="s">
        <v>3186</v>
      </c>
      <c r="B803" s="10" t="s">
        <v>3187</v>
      </c>
      <c r="C803" s="10" t="s">
        <v>3188</v>
      </c>
      <c r="D803" s="10" t="s">
        <v>19</v>
      </c>
      <c r="E803" s="10" t="s">
        <v>20</v>
      </c>
      <c r="F803" s="10" t="s">
        <v>2157</v>
      </c>
      <c r="G803" s="10"/>
      <c r="H803" s="10"/>
      <c r="I803" s="11">
        <v>1399.0</v>
      </c>
      <c r="J803" s="11">
        <v>2499.0</v>
      </c>
      <c r="K803" s="12">
        <f t="shared" si="1"/>
        <v>0.4401760704</v>
      </c>
      <c r="L803" s="13">
        <f>IFERROR(__xludf.DUMMYFUNCTION("GOOGLEFINANCE(""CURRENCY:INRBRL"") * I803
"),82.37546245762)</f>
        <v>82.37546246</v>
      </c>
      <c r="M803" s="9">
        <v>4.5</v>
      </c>
      <c r="N803" s="9">
        <v>11074.0</v>
      </c>
      <c r="O803" s="9" t="s">
        <v>3189</v>
      </c>
      <c r="P803" s="14" t="s">
        <v>3190</v>
      </c>
      <c r="U803" s="17"/>
      <c r="V803" s="18"/>
      <c r="W803" s="16"/>
      <c r="X803" s="16"/>
      <c r="Y803" s="16"/>
    </row>
    <row r="804">
      <c r="A804" s="9" t="s">
        <v>153</v>
      </c>
      <c r="B804" s="10" t="s">
        <v>154</v>
      </c>
      <c r="C804" s="10" t="s">
        <v>18</v>
      </c>
      <c r="D804" s="10" t="s">
        <v>19</v>
      </c>
      <c r="E804" s="10" t="s">
        <v>20</v>
      </c>
      <c r="F804" s="10" t="s">
        <v>21</v>
      </c>
      <c r="G804" s="10" t="s">
        <v>22</v>
      </c>
      <c r="H804" s="10" t="s">
        <v>23</v>
      </c>
      <c r="I804" s="11">
        <v>199.0</v>
      </c>
      <c r="J804" s="11">
        <v>750.0</v>
      </c>
      <c r="K804" s="12">
        <f t="shared" si="1"/>
        <v>0.7346666667</v>
      </c>
      <c r="L804" s="13">
        <f>IFERROR(__xludf.DUMMYFUNCTION("GOOGLEFINANCE(""CURRENCY:INRBRL"") * I804
"),11.71745320162)</f>
        <v>11.7174532</v>
      </c>
      <c r="M804" s="9">
        <v>4.51</v>
      </c>
      <c r="N804" s="9">
        <v>74976.0</v>
      </c>
      <c r="O804" s="9" t="s">
        <v>155</v>
      </c>
      <c r="P804" s="14" t="s">
        <v>3191</v>
      </c>
      <c r="U804" s="17"/>
      <c r="V804" s="18"/>
      <c r="W804" s="16"/>
      <c r="X804" s="16"/>
      <c r="Y804" s="16"/>
    </row>
    <row r="805">
      <c r="A805" s="9" t="s">
        <v>3192</v>
      </c>
      <c r="B805" s="10" t="s">
        <v>3193</v>
      </c>
      <c r="C805" s="10" t="s">
        <v>3194</v>
      </c>
      <c r="D805" s="10" t="s">
        <v>19</v>
      </c>
      <c r="E805" s="10" t="s">
        <v>20</v>
      </c>
      <c r="F805" s="10" t="s">
        <v>2894</v>
      </c>
      <c r="G805" s="10" t="s">
        <v>1673</v>
      </c>
      <c r="H805" s="10"/>
      <c r="I805" s="11">
        <v>149.0</v>
      </c>
      <c r="J805" s="11">
        <v>499.0</v>
      </c>
      <c r="K805" s="12">
        <f t="shared" si="1"/>
        <v>0.7014028056</v>
      </c>
      <c r="L805" s="13">
        <f>IFERROR(__xludf.DUMMYFUNCTION("GOOGLEFINANCE(""CURRENCY:INRBRL"") * I805
"),8.77336948262)</f>
        <v>8.773369483</v>
      </c>
      <c r="M805" s="9">
        <v>4.49</v>
      </c>
      <c r="N805" s="9">
        <v>25607.0</v>
      </c>
      <c r="O805" s="9" t="s">
        <v>3195</v>
      </c>
      <c r="P805" s="14" t="s">
        <v>3196</v>
      </c>
      <c r="U805" s="17"/>
      <c r="V805" s="18"/>
      <c r="W805" s="16"/>
      <c r="X805" s="16"/>
      <c r="Y805" s="16"/>
    </row>
    <row r="806">
      <c r="A806" s="9" t="s">
        <v>3197</v>
      </c>
      <c r="B806" s="10" t="s">
        <v>3198</v>
      </c>
      <c r="C806" s="10" t="s">
        <v>2671</v>
      </c>
      <c r="D806" s="10" t="s">
        <v>77</v>
      </c>
      <c r="E806" s="10" t="s">
        <v>569</v>
      </c>
      <c r="F806" s="10" t="s">
        <v>1129</v>
      </c>
      <c r="G806" s="10" t="s">
        <v>2672</v>
      </c>
      <c r="H806" s="10"/>
      <c r="I806" s="11">
        <v>1799.0</v>
      </c>
      <c r="J806" s="11">
        <v>4999.0</v>
      </c>
      <c r="K806" s="12">
        <f t="shared" si="1"/>
        <v>0.6401280256</v>
      </c>
      <c r="L806" s="13">
        <f>IFERROR(__xludf.DUMMYFUNCTION("GOOGLEFINANCE(""CURRENCY:INRBRL"") * I806
"),105.92813220962)</f>
        <v>105.9281322</v>
      </c>
      <c r="M806" s="9">
        <v>4.5</v>
      </c>
      <c r="N806" s="9">
        <v>41226.0</v>
      </c>
      <c r="O806" s="9" t="s">
        <v>3199</v>
      </c>
      <c r="P806" s="14" t="s">
        <v>3200</v>
      </c>
      <c r="U806" s="17"/>
      <c r="V806" s="18"/>
      <c r="W806" s="16"/>
      <c r="X806" s="16"/>
      <c r="Y806" s="16"/>
    </row>
    <row r="807">
      <c r="A807" s="9" t="s">
        <v>3201</v>
      </c>
      <c r="B807" s="10" t="s">
        <v>3202</v>
      </c>
      <c r="C807" s="10" t="s">
        <v>3203</v>
      </c>
      <c r="D807" s="10" t="s">
        <v>3204</v>
      </c>
      <c r="E807" s="10" t="s">
        <v>3205</v>
      </c>
      <c r="F807" s="10" t="s">
        <v>3206</v>
      </c>
      <c r="G807" s="10"/>
      <c r="H807" s="10"/>
      <c r="I807" s="11">
        <v>425.0</v>
      </c>
      <c r="J807" s="11">
        <v>999.0</v>
      </c>
      <c r="K807" s="12">
        <f t="shared" si="1"/>
        <v>0.5745745746</v>
      </c>
      <c r="L807" s="13">
        <f>IFERROR(__xludf.DUMMYFUNCTION("GOOGLEFINANCE(""CURRENCY:INRBRL"") * I807
"),25.0247116115)</f>
        <v>25.02471161</v>
      </c>
      <c r="M807" s="9">
        <v>4.0</v>
      </c>
      <c r="N807" s="9">
        <v>2581.0</v>
      </c>
      <c r="O807" s="9" t="s">
        <v>3207</v>
      </c>
      <c r="P807" s="14" t="s">
        <v>3208</v>
      </c>
      <c r="U807" s="17"/>
      <c r="V807" s="18"/>
      <c r="W807" s="16"/>
      <c r="X807" s="16"/>
      <c r="Y807" s="16"/>
    </row>
    <row r="808">
      <c r="A808" s="9" t="s">
        <v>3209</v>
      </c>
      <c r="B808" s="10" t="s">
        <v>3210</v>
      </c>
      <c r="C808" s="10" t="s">
        <v>2982</v>
      </c>
      <c r="D808" s="10" t="s">
        <v>77</v>
      </c>
      <c r="E808" s="10" t="s">
        <v>569</v>
      </c>
      <c r="F808" s="10" t="s">
        <v>1129</v>
      </c>
      <c r="G808" s="10" t="s">
        <v>2983</v>
      </c>
      <c r="H808" s="10"/>
      <c r="I808" s="11">
        <v>999.0</v>
      </c>
      <c r="J808" s="11">
        <v>2499.0</v>
      </c>
      <c r="K808" s="12">
        <f t="shared" si="1"/>
        <v>0.600240096</v>
      </c>
      <c r="L808" s="13">
        <f>IFERROR(__xludf.DUMMYFUNCTION("GOOGLEFINANCE(""CURRENCY:INRBRL"") * I808
"),58.822792705619996)</f>
        <v>58.82279271</v>
      </c>
      <c r="M808" s="9">
        <v>4.49</v>
      </c>
      <c r="N808" s="9">
        <v>18331.0</v>
      </c>
      <c r="O808" s="9" t="s">
        <v>3211</v>
      </c>
      <c r="P808" s="14" t="s">
        <v>3212</v>
      </c>
      <c r="U808" s="17"/>
      <c r="V808" s="18"/>
      <c r="W808" s="16"/>
      <c r="X808" s="16"/>
      <c r="Y808" s="16"/>
    </row>
    <row r="809">
      <c r="A809" s="9" t="s">
        <v>3213</v>
      </c>
      <c r="B809" s="10" t="s">
        <v>3214</v>
      </c>
      <c r="C809" s="10" t="s">
        <v>2348</v>
      </c>
      <c r="D809" s="10" t="s">
        <v>19</v>
      </c>
      <c r="E809" s="10" t="s">
        <v>20</v>
      </c>
      <c r="F809" s="10" t="s">
        <v>2342</v>
      </c>
      <c r="G809" s="10" t="s">
        <v>2349</v>
      </c>
      <c r="H809" s="10"/>
      <c r="I809" s="11">
        <v>378.0</v>
      </c>
      <c r="J809" s="11">
        <v>999.0</v>
      </c>
      <c r="K809" s="12">
        <f t="shared" si="1"/>
        <v>0.6216216216</v>
      </c>
      <c r="L809" s="13">
        <f>IFERROR(__xludf.DUMMYFUNCTION("GOOGLEFINANCE(""CURRENCY:INRBRL"") * I809
"),22.257272915639998)</f>
        <v>22.25727292</v>
      </c>
      <c r="M809" s="9">
        <v>4.49</v>
      </c>
      <c r="N809" s="9">
        <v>1779.0</v>
      </c>
      <c r="O809" s="9" t="s">
        <v>3215</v>
      </c>
      <c r="P809" s="14" t="s">
        <v>3216</v>
      </c>
      <c r="U809" s="17"/>
      <c r="V809" s="18"/>
      <c r="W809" s="16"/>
      <c r="X809" s="16"/>
      <c r="Y809" s="16"/>
    </row>
    <row r="810">
      <c r="A810" s="9" t="s">
        <v>3217</v>
      </c>
      <c r="B810" s="10" t="s">
        <v>3218</v>
      </c>
      <c r="C810" s="10" t="s">
        <v>3219</v>
      </c>
      <c r="D810" s="10" t="s">
        <v>2440</v>
      </c>
      <c r="E810" s="10" t="s">
        <v>2441</v>
      </c>
      <c r="F810" s="10" t="s">
        <v>2442</v>
      </c>
      <c r="G810" s="10" t="s">
        <v>3220</v>
      </c>
      <c r="H810" s="10" t="s">
        <v>3221</v>
      </c>
      <c r="I810" s="11">
        <v>99.0</v>
      </c>
      <c r="J810" s="11">
        <v>99.0</v>
      </c>
      <c r="K810" s="12">
        <f t="shared" si="1"/>
        <v>0</v>
      </c>
      <c r="L810" s="13">
        <f>IFERROR(__xludf.DUMMYFUNCTION("GOOGLEFINANCE(""CURRENCY:INRBRL"") * I810
"),5.82928576362)</f>
        <v>5.829285764</v>
      </c>
      <c r="M810" s="9">
        <v>4.5</v>
      </c>
      <c r="N810" s="9">
        <v>388.0</v>
      </c>
      <c r="O810" s="9" t="s">
        <v>3222</v>
      </c>
      <c r="P810" s="14" t="s">
        <v>3223</v>
      </c>
      <c r="U810" s="17"/>
      <c r="V810" s="18"/>
      <c r="W810" s="16"/>
      <c r="X810" s="16"/>
      <c r="Y810" s="16"/>
    </row>
    <row r="811">
      <c r="A811" s="9" t="s">
        <v>3224</v>
      </c>
      <c r="B811" s="10" t="s">
        <v>3225</v>
      </c>
      <c r="C811" s="10" t="s">
        <v>2638</v>
      </c>
      <c r="D811" s="10" t="s">
        <v>19</v>
      </c>
      <c r="E811" s="10" t="s">
        <v>57</v>
      </c>
      <c r="F811" s="10" t="s">
        <v>2639</v>
      </c>
      <c r="G811" s="10"/>
      <c r="H811" s="10"/>
      <c r="I811" s="11">
        <v>1499.0</v>
      </c>
      <c r="J811" s="11">
        <v>2999.0</v>
      </c>
      <c r="K811" s="12">
        <f t="shared" si="1"/>
        <v>0.5001667222</v>
      </c>
      <c r="L811" s="13">
        <f>IFERROR(__xludf.DUMMYFUNCTION("GOOGLEFINANCE(""CURRENCY:INRBRL"") * I811
"),88.26362989562)</f>
        <v>88.2636299</v>
      </c>
      <c r="M811" s="9">
        <v>4.51</v>
      </c>
      <c r="N811" s="9">
        <v>8656.0</v>
      </c>
      <c r="O811" s="9" t="s">
        <v>3226</v>
      </c>
      <c r="P811" s="14" t="s">
        <v>3227</v>
      </c>
      <c r="U811" s="17"/>
      <c r="V811" s="18"/>
      <c r="W811" s="16"/>
      <c r="X811" s="16"/>
      <c r="Y811" s="16"/>
    </row>
    <row r="812">
      <c r="A812" s="9" t="s">
        <v>3228</v>
      </c>
      <c r="B812" s="10" t="s">
        <v>3229</v>
      </c>
      <c r="C812" s="10" t="s">
        <v>3230</v>
      </c>
      <c r="D812" s="10" t="s">
        <v>19</v>
      </c>
      <c r="E812" s="10" t="s">
        <v>3076</v>
      </c>
      <c r="F812" s="10" t="s">
        <v>3231</v>
      </c>
      <c r="G812" s="10"/>
      <c r="H812" s="10"/>
      <c r="I812" s="11">
        <v>1815.0</v>
      </c>
      <c r="J812" s="11">
        <v>3099.0</v>
      </c>
      <c r="K812" s="12">
        <f t="shared" si="1"/>
        <v>0.4143272023</v>
      </c>
      <c r="L812" s="13">
        <f>IFERROR(__xludf.DUMMYFUNCTION("GOOGLEFINANCE(""CURRENCY:INRBRL"") * I812
"),106.87023899969999)</f>
        <v>106.870239</v>
      </c>
      <c r="M812" s="9">
        <v>4.51</v>
      </c>
      <c r="N812" s="9">
        <v>92925.0</v>
      </c>
      <c r="O812" s="9" t="s">
        <v>3232</v>
      </c>
      <c r="P812" s="14" t="s">
        <v>3233</v>
      </c>
      <c r="U812" s="17"/>
      <c r="V812" s="18"/>
      <c r="W812" s="16"/>
      <c r="X812" s="16"/>
      <c r="Y812" s="16"/>
    </row>
    <row r="813">
      <c r="A813" s="9" t="s">
        <v>3234</v>
      </c>
      <c r="B813" s="10" t="s">
        <v>3235</v>
      </c>
      <c r="C813" s="10" t="s">
        <v>3022</v>
      </c>
      <c r="D813" s="10" t="s">
        <v>2440</v>
      </c>
      <c r="E813" s="10" t="s">
        <v>2441</v>
      </c>
      <c r="F813" s="10" t="s">
        <v>2442</v>
      </c>
      <c r="G813" s="10" t="s">
        <v>2443</v>
      </c>
      <c r="H813" s="10" t="s">
        <v>2719</v>
      </c>
      <c r="I813" s="11">
        <v>67.0</v>
      </c>
      <c r="J813" s="11">
        <v>75.0</v>
      </c>
      <c r="K813" s="12">
        <f t="shared" si="1"/>
        <v>0.1066666667</v>
      </c>
      <c r="L813" s="13">
        <f>IFERROR(__xludf.DUMMYFUNCTION("GOOGLEFINANCE(""CURRENCY:INRBRL"") * I813
"),3.9450721834599998)</f>
        <v>3.945072183</v>
      </c>
      <c r="M813" s="9">
        <v>4.49</v>
      </c>
      <c r="N813" s="9">
        <v>1269.0</v>
      </c>
      <c r="O813" s="9" t="s">
        <v>3236</v>
      </c>
      <c r="P813" s="14" t="s">
        <v>3237</v>
      </c>
      <c r="U813" s="17"/>
      <c r="V813" s="18"/>
      <c r="W813" s="16"/>
      <c r="X813" s="16"/>
      <c r="Y813" s="16"/>
    </row>
    <row r="814">
      <c r="A814" s="9" t="s">
        <v>3238</v>
      </c>
      <c r="B814" s="10" t="s">
        <v>3239</v>
      </c>
      <c r="C814" s="10" t="s">
        <v>2358</v>
      </c>
      <c r="D814" s="10" t="s">
        <v>19</v>
      </c>
      <c r="E814" s="10" t="s">
        <v>20</v>
      </c>
      <c r="F814" s="10" t="s">
        <v>2157</v>
      </c>
      <c r="G814" s="10" t="s">
        <v>2359</v>
      </c>
      <c r="H814" s="10"/>
      <c r="I814" s="11">
        <v>1889.0</v>
      </c>
      <c r="J814" s="11">
        <v>2699.0</v>
      </c>
      <c r="K814" s="12">
        <f t="shared" si="1"/>
        <v>0.3001111523</v>
      </c>
      <c r="L814" s="13">
        <f>IFERROR(__xludf.DUMMYFUNCTION("GOOGLEFINANCE(""CURRENCY:INRBRL"") * I814
"),111.22748290382)</f>
        <v>111.2274829</v>
      </c>
      <c r="M814" s="9">
        <v>4.5</v>
      </c>
      <c r="N814" s="9">
        <v>17394.0</v>
      </c>
      <c r="O814" s="9" t="s">
        <v>3240</v>
      </c>
      <c r="P814" s="14" t="s">
        <v>3241</v>
      </c>
      <c r="U814" s="17"/>
      <c r="V814" s="18"/>
      <c r="W814" s="16"/>
      <c r="X814" s="16"/>
      <c r="Y814" s="16"/>
    </row>
    <row r="815">
      <c r="A815" s="9" t="s">
        <v>3242</v>
      </c>
      <c r="B815" s="10" t="s">
        <v>3243</v>
      </c>
      <c r="C815" s="10" t="s">
        <v>1454</v>
      </c>
      <c r="D815" s="10" t="s">
        <v>77</v>
      </c>
      <c r="E815" s="10" t="s">
        <v>1455</v>
      </c>
      <c r="F815" s="10" t="s">
        <v>1456</v>
      </c>
      <c r="G815" s="10" t="s">
        <v>1457</v>
      </c>
      <c r="H815" s="10"/>
      <c r="I815" s="11">
        <v>499.0</v>
      </c>
      <c r="J815" s="11">
        <v>1499.0</v>
      </c>
      <c r="K815" s="12">
        <f t="shared" si="1"/>
        <v>0.6671114076</v>
      </c>
      <c r="L815" s="13">
        <f>IFERROR(__xludf.DUMMYFUNCTION("GOOGLEFINANCE(""CURRENCY:INRBRL"") * I815
"),29.38195551562)</f>
        <v>29.38195552</v>
      </c>
      <c r="M815" s="9">
        <v>4.51</v>
      </c>
      <c r="N815" s="9">
        <v>9169.0</v>
      </c>
      <c r="O815" s="9" t="s">
        <v>3244</v>
      </c>
      <c r="P815" s="14" t="s">
        <v>3245</v>
      </c>
      <c r="U815" s="17"/>
      <c r="V815" s="18"/>
      <c r="W815" s="16"/>
      <c r="X815" s="16"/>
      <c r="Y815" s="16"/>
    </row>
    <row r="816">
      <c r="A816" s="9" t="s">
        <v>3246</v>
      </c>
      <c r="B816" s="10" t="s">
        <v>3247</v>
      </c>
      <c r="C816" s="10" t="s">
        <v>2596</v>
      </c>
      <c r="D816" s="10" t="s">
        <v>19</v>
      </c>
      <c r="E816" s="10" t="s">
        <v>20</v>
      </c>
      <c r="F816" s="10" t="s">
        <v>2342</v>
      </c>
      <c r="G816" s="10" t="s">
        <v>2556</v>
      </c>
      <c r="H816" s="10" t="s">
        <v>2597</v>
      </c>
      <c r="I816" s="11">
        <v>499.0</v>
      </c>
      <c r="J816" s="11">
        <v>999.0</v>
      </c>
      <c r="K816" s="12">
        <f t="shared" si="1"/>
        <v>0.5005005005</v>
      </c>
      <c r="L816" s="13">
        <f>IFERROR(__xludf.DUMMYFUNCTION("GOOGLEFINANCE(""CURRENCY:INRBRL"") * I816
"),29.38195551562)</f>
        <v>29.38195552</v>
      </c>
      <c r="M816" s="9">
        <v>4.5</v>
      </c>
      <c r="N816" s="9">
        <v>103.0</v>
      </c>
      <c r="O816" s="9" t="s">
        <v>3248</v>
      </c>
      <c r="P816" s="14" t="s">
        <v>3249</v>
      </c>
      <c r="U816" s="17"/>
      <c r="V816" s="18"/>
      <c r="W816" s="16"/>
      <c r="X816" s="16"/>
      <c r="Y816" s="16"/>
    </row>
    <row r="817">
      <c r="A817" s="9" t="s">
        <v>3250</v>
      </c>
      <c r="B817" s="10" t="s">
        <v>3251</v>
      </c>
      <c r="C817" s="10" t="s">
        <v>2476</v>
      </c>
      <c r="D817" s="10" t="s">
        <v>19</v>
      </c>
      <c r="E817" s="10" t="s">
        <v>2335</v>
      </c>
      <c r="F817" s="10" t="s">
        <v>2477</v>
      </c>
      <c r="G817" s="10"/>
      <c r="H817" s="10"/>
      <c r="I817" s="11">
        <v>5799.0</v>
      </c>
      <c r="J817" s="11">
        <v>7999.0</v>
      </c>
      <c r="K817" s="12">
        <f t="shared" si="1"/>
        <v>0.2750343793</v>
      </c>
      <c r="L817" s="13">
        <f>IFERROR(__xludf.DUMMYFUNCTION("GOOGLEFINANCE(""CURRENCY:INRBRL"") * I817
"),341.45482972962)</f>
        <v>341.4548297</v>
      </c>
      <c r="M817" s="9">
        <v>4.51</v>
      </c>
      <c r="N817" s="9">
        <v>50273.0</v>
      </c>
      <c r="O817" s="9" t="s">
        <v>3252</v>
      </c>
      <c r="P817" s="14" t="s">
        <v>3253</v>
      </c>
      <c r="U817" s="17"/>
      <c r="V817" s="18"/>
      <c r="W817" s="16"/>
      <c r="X817" s="16"/>
      <c r="Y817" s="16"/>
    </row>
    <row r="818">
      <c r="A818" s="9" t="s">
        <v>3254</v>
      </c>
      <c r="B818" s="10" t="s">
        <v>3255</v>
      </c>
      <c r="C818" s="10" t="s">
        <v>3256</v>
      </c>
      <c r="D818" s="10" t="s">
        <v>77</v>
      </c>
      <c r="E818" s="10" t="s">
        <v>569</v>
      </c>
      <c r="F818" s="10" t="s">
        <v>1129</v>
      </c>
      <c r="G818" s="10" t="s">
        <v>3257</v>
      </c>
      <c r="H818" s="10"/>
      <c r="I818" s="11">
        <v>499.0</v>
      </c>
      <c r="J818" s="11">
        <v>799.0</v>
      </c>
      <c r="K818" s="12">
        <f t="shared" si="1"/>
        <v>0.3754693367</v>
      </c>
      <c r="L818" s="13">
        <f>IFERROR(__xludf.DUMMYFUNCTION("GOOGLEFINANCE(""CURRENCY:INRBRL"") * I818
"),29.38195551562)</f>
        <v>29.38195552</v>
      </c>
      <c r="M818" s="9">
        <v>4.52</v>
      </c>
      <c r="N818" s="9">
        <v>6742.0</v>
      </c>
      <c r="O818" s="9" t="s">
        <v>3258</v>
      </c>
      <c r="P818" s="14" t="s">
        <v>3259</v>
      </c>
      <c r="U818" s="17"/>
      <c r="V818" s="18"/>
      <c r="W818" s="16"/>
      <c r="X818" s="16"/>
      <c r="Y818" s="16"/>
    </row>
    <row r="819">
      <c r="A819" s="9" t="s">
        <v>3260</v>
      </c>
      <c r="B819" s="10" t="s">
        <v>3261</v>
      </c>
      <c r="C819" s="10" t="s">
        <v>2348</v>
      </c>
      <c r="D819" s="10" t="s">
        <v>19</v>
      </c>
      <c r="E819" s="10" t="s">
        <v>20</v>
      </c>
      <c r="F819" s="10" t="s">
        <v>2342</v>
      </c>
      <c r="G819" s="10" t="s">
        <v>2349</v>
      </c>
      <c r="H819" s="10"/>
      <c r="I819" s="11">
        <v>249.0</v>
      </c>
      <c r="J819" s="11">
        <v>600.0</v>
      </c>
      <c r="K819" s="12">
        <f t="shared" si="1"/>
        <v>0.585</v>
      </c>
      <c r="L819" s="13">
        <f>IFERROR(__xludf.DUMMYFUNCTION("GOOGLEFINANCE(""CURRENCY:INRBRL"") * I819
"),14.66153692062)</f>
        <v>14.66153692</v>
      </c>
      <c r="M819" s="9">
        <v>4.0</v>
      </c>
      <c r="N819" s="9">
        <v>1208.0</v>
      </c>
      <c r="O819" s="9" t="s">
        <v>3262</v>
      </c>
      <c r="P819" s="14" t="s">
        <v>3263</v>
      </c>
      <c r="U819" s="17"/>
      <c r="V819" s="18"/>
      <c r="W819" s="16"/>
      <c r="X819" s="16"/>
      <c r="Y819" s="16"/>
    </row>
    <row r="820">
      <c r="A820" s="9" t="s">
        <v>157</v>
      </c>
      <c r="B820" s="10" t="s">
        <v>158</v>
      </c>
      <c r="C820" s="10" t="s">
        <v>18</v>
      </c>
      <c r="D820" s="10" t="s">
        <v>19</v>
      </c>
      <c r="E820" s="10" t="s">
        <v>20</v>
      </c>
      <c r="F820" s="10" t="s">
        <v>21</v>
      </c>
      <c r="G820" s="10" t="s">
        <v>22</v>
      </c>
      <c r="H820" s="10" t="s">
        <v>23</v>
      </c>
      <c r="I820" s="11">
        <v>179.0</v>
      </c>
      <c r="J820" s="11">
        <v>499.0</v>
      </c>
      <c r="K820" s="12">
        <f t="shared" si="1"/>
        <v>0.6412825651</v>
      </c>
      <c r="L820" s="13">
        <f>IFERROR(__xludf.DUMMYFUNCTION("GOOGLEFINANCE(""CURRENCY:INRBRL"") * I820
"),10.53981971402)</f>
        <v>10.53981971</v>
      </c>
      <c r="M820" s="9">
        <v>4.0</v>
      </c>
      <c r="N820" s="9">
        <v>1933.0</v>
      </c>
      <c r="O820" s="9" t="s">
        <v>159</v>
      </c>
      <c r="P820" s="14" t="s">
        <v>3264</v>
      </c>
      <c r="U820" s="17"/>
      <c r="V820" s="18"/>
      <c r="W820" s="16"/>
      <c r="X820" s="16"/>
      <c r="Y820" s="16"/>
    </row>
    <row r="821">
      <c r="A821" s="9" t="s">
        <v>3265</v>
      </c>
      <c r="B821" s="10" t="s">
        <v>3266</v>
      </c>
      <c r="C821" s="10" t="s">
        <v>2476</v>
      </c>
      <c r="D821" s="10" t="s">
        <v>19</v>
      </c>
      <c r="E821" s="10" t="s">
        <v>2335</v>
      </c>
      <c r="F821" s="10" t="s">
        <v>2477</v>
      </c>
      <c r="G821" s="10"/>
      <c r="H821" s="10"/>
      <c r="I821" s="11">
        <v>4449.0</v>
      </c>
      <c r="J821" s="11">
        <v>5734.0</v>
      </c>
      <c r="K821" s="12">
        <f t="shared" si="1"/>
        <v>0.2241018486</v>
      </c>
      <c r="L821" s="13">
        <f>IFERROR(__xludf.DUMMYFUNCTION("GOOGLEFINANCE(""CURRENCY:INRBRL"") * I821
"),261.96456931662)</f>
        <v>261.9645693</v>
      </c>
      <c r="M821" s="9">
        <v>4.5</v>
      </c>
      <c r="N821" s="9">
        <v>25006.0</v>
      </c>
      <c r="O821" s="9" t="s">
        <v>3267</v>
      </c>
      <c r="P821" s="14" t="s">
        <v>3268</v>
      </c>
      <c r="U821" s="17"/>
      <c r="V821" s="18"/>
      <c r="W821" s="16"/>
      <c r="X821" s="16"/>
      <c r="Y821" s="16"/>
    </row>
    <row r="822">
      <c r="A822" s="9" t="s">
        <v>3269</v>
      </c>
      <c r="B822" s="10" t="s">
        <v>3270</v>
      </c>
      <c r="C822" s="10" t="s">
        <v>2899</v>
      </c>
      <c r="D822" s="10" t="s">
        <v>19</v>
      </c>
      <c r="E822" s="10" t="s">
        <v>20</v>
      </c>
      <c r="F822" s="10" t="s">
        <v>2583</v>
      </c>
      <c r="G822" s="10" t="s">
        <v>2900</v>
      </c>
      <c r="H822" s="10"/>
      <c r="I822" s="11">
        <v>299.0</v>
      </c>
      <c r="J822" s="11">
        <v>550.0</v>
      </c>
      <c r="K822" s="12">
        <f t="shared" si="1"/>
        <v>0.4563636364</v>
      </c>
      <c r="L822" s="13">
        <f>IFERROR(__xludf.DUMMYFUNCTION("GOOGLEFINANCE(""CURRENCY:INRBRL"") * I822
"),17.60562063962)</f>
        <v>17.60562064</v>
      </c>
      <c r="M822" s="9">
        <v>4.51</v>
      </c>
      <c r="N822" s="9">
        <v>33434.0</v>
      </c>
      <c r="O822" s="9" t="s">
        <v>3271</v>
      </c>
      <c r="P822" s="14" t="s">
        <v>3272</v>
      </c>
      <c r="U822" s="17"/>
      <c r="V822" s="18"/>
      <c r="W822" s="16"/>
      <c r="X822" s="16"/>
      <c r="Y822" s="16"/>
    </row>
    <row r="823">
      <c r="A823" s="9" t="s">
        <v>3273</v>
      </c>
      <c r="B823" s="10" t="s">
        <v>3274</v>
      </c>
      <c r="C823" s="10" t="s">
        <v>2341</v>
      </c>
      <c r="D823" s="10" t="s">
        <v>19</v>
      </c>
      <c r="E823" s="10" t="s">
        <v>20</v>
      </c>
      <c r="F823" s="10" t="s">
        <v>2342</v>
      </c>
      <c r="G823" s="10" t="s">
        <v>2343</v>
      </c>
      <c r="H823" s="10"/>
      <c r="I823" s="11">
        <v>629.0</v>
      </c>
      <c r="J823" s="11">
        <v>1399.0</v>
      </c>
      <c r="K823" s="12">
        <f t="shared" si="1"/>
        <v>0.550393138</v>
      </c>
      <c r="L823" s="13">
        <f>IFERROR(__xludf.DUMMYFUNCTION("GOOGLEFINANCE(""CURRENCY:INRBRL"") * I823
"),37.036573185019996)</f>
        <v>37.03657319</v>
      </c>
      <c r="M823" s="9">
        <v>4.5</v>
      </c>
      <c r="N823" s="9">
        <v>6301.0</v>
      </c>
      <c r="O823" s="9" t="s">
        <v>3275</v>
      </c>
      <c r="P823" s="14" t="s">
        <v>3276</v>
      </c>
      <c r="U823" s="17"/>
      <c r="V823" s="18"/>
      <c r="W823" s="16"/>
      <c r="X823" s="16"/>
      <c r="Y823" s="16"/>
    </row>
    <row r="824">
      <c r="A824" s="9" t="s">
        <v>3277</v>
      </c>
      <c r="B824" s="10" t="s">
        <v>3278</v>
      </c>
      <c r="C824" s="10" t="s">
        <v>2412</v>
      </c>
      <c r="D824" s="10" t="s">
        <v>19</v>
      </c>
      <c r="E824" s="10" t="s">
        <v>20</v>
      </c>
      <c r="F824" s="10" t="s">
        <v>2342</v>
      </c>
      <c r="G824" s="10" t="s">
        <v>2413</v>
      </c>
      <c r="H824" s="10"/>
      <c r="I824" s="11">
        <v>2595.0</v>
      </c>
      <c r="J824" s="11">
        <v>3295.0</v>
      </c>
      <c r="K824" s="12">
        <f t="shared" si="1"/>
        <v>0.2124430956</v>
      </c>
      <c r="L824" s="13">
        <f>IFERROR(__xludf.DUMMYFUNCTION("GOOGLEFINANCE(""CURRENCY:INRBRL"") * I824
"),152.7979450161)</f>
        <v>152.797945</v>
      </c>
      <c r="M824" s="9">
        <v>4.5</v>
      </c>
      <c r="N824" s="9">
        <v>22618.0</v>
      </c>
      <c r="O824" s="9" t="s">
        <v>3279</v>
      </c>
      <c r="P824" s="14" t="s">
        <v>3280</v>
      </c>
      <c r="U824" s="17"/>
      <c r="V824" s="18"/>
      <c r="W824" s="16"/>
      <c r="X824" s="16"/>
      <c r="Y824" s="16"/>
    </row>
    <row r="825">
      <c r="A825" s="9" t="s">
        <v>161</v>
      </c>
      <c r="B825" s="10" t="s">
        <v>162</v>
      </c>
      <c r="C825" s="10" t="s">
        <v>18</v>
      </c>
      <c r="D825" s="10" t="s">
        <v>19</v>
      </c>
      <c r="E825" s="10" t="s">
        <v>20</v>
      </c>
      <c r="F825" s="10" t="s">
        <v>21</v>
      </c>
      <c r="G825" s="10" t="s">
        <v>22</v>
      </c>
      <c r="H825" s="10" t="s">
        <v>23</v>
      </c>
      <c r="I825" s="11">
        <v>389.0</v>
      </c>
      <c r="J825" s="11">
        <v>1099.0</v>
      </c>
      <c r="K825" s="12">
        <f t="shared" si="1"/>
        <v>0.6460418562</v>
      </c>
      <c r="L825" s="13">
        <f>IFERROR(__xludf.DUMMYFUNCTION("GOOGLEFINANCE(""CURRENCY:INRBRL"") * I825
"),22.90497133382)</f>
        <v>22.90497133</v>
      </c>
      <c r="M825" s="9">
        <v>4.5</v>
      </c>
      <c r="N825" s="9">
        <v>974.0</v>
      </c>
      <c r="O825" s="9" t="s">
        <v>163</v>
      </c>
      <c r="P825" s="14" t="s">
        <v>3281</v>
      </c>
      <c r="U825" s="17"/>
      <c r="V825" s="18"/>
      <c r="W825" s="16"/>
      <c r="X825" s="16"/>
      <c r="Y825" s="16"/>
    </row>
    <row r="826">
      <c r="A826" s="9" t="s">
        <v>3282</v>
      </c>
      <c r="B826" s="10" t="s">
        <v>3283</v>
      </c>
      <c r="C826" s="10" t="s">
        <v>2638</v>
      </c>
      <c r="D826" s="10" t="s">
        <v>19</v>
      </c>
      <c r="E826" s="10" t="s">
        <v>57</v>
      </c>
      <c r="F826" s="10" t="s">
        <v>2639</v>
      </c>
      <c r="G826" s="10"/>
      <c r="H826" s="10"/>
      <c r="I826" s="11">
        <v>1799.0</v>
      </c>
      <c r="J826" s="11">
        <v>2911.0</v>
      </c>
      <c r="K826" s="12">
        <f t="shared" si="1"/>
        <v>0.381999313</v>
      </c>
      <c r="L826" s="13">
        <f>IFERROR(__xludf.DUMMYFUNCTION("GOOGLEFINANCE(""CURRENCY:INRBRL"") * I826
"),105.92813220962)</f>
        <v>105.9281322</v>
      </c>
      <c r="M826" s="9">
        <v>4.5</v>
      </c>
      <c r="N826" s="9">
        <v>20342.0</v>
      </c>
      <c r="O826" s="9" t="s">
        <v>3284</v>
      </c>
      <c r="P826" s="14" t="s">
        <v>3285</v>
      </c>
      <c r="U826" s="17"/>
      <c r="V826" s="18"/>
      <c r="W826" s="16"/>
      <c r="X826" s="16"/>
      <c r="Y826" s="16"/>
    </row>
    <row r="827">
      <c r="A827" s="9" t="s">
        <v>3286</v>
      </c>
      <c r="B827" s="10" t="s">
        <v>3287</v>
      </c>
      <c r="C827" s="10" t="s">
        <v>2780</v>
      </c>
      <c r="D827" s="10" t="s">
        <v>2440</v>
      </c>
      <c r="E827" s="10" t="s">
        <v>2441</v>
      </c>
      <c r="F827" s="10" t="s">
        <v>2442</v>
      </c>
      <c r="G827" s="10" t="s">
        <v>2443</v>
      </c>
      <c r="H827" s="10" t="s">
        <v>2719</v>
      </c>
      <c r="I827" s="11">
        <v>90.0</v>
      </c>
      <c r="J827" s="11">
        <v>175.0</v>
      </c>
      <c r="K827" s="12">
        <f t="shared" si="1"/>
        <v>0.4857142857</v>
      </c>
      <c r="L827" s="13">
        <f>IFERROR(__xludf.DUMMYFUNCTION("GOOGLEFINANCE(""CURRENCY:INRBRL"") * I827
"),5.2993506942)</f>
        <v>5.299350694</v>
      </c>
      <c r="M827" s="9">
        <v>4.5</v>
      </c>
      <c r="N827" s="9">
        <v>7429.0</v>
      </c>
      <c r="O827" s="9" t="s">
        <v>3288</v>
      </c>
      <c r="P827" s="14" t="s">
        <v>3289</v>
      </c>
      <c r="U827" s="17"/>
      <c r="V827" s="18"/>
      <c r="W827" s="16"/>
      <c r="X827" s="16"/>
      <c r="Y827" s="16"/>
    </row>
    <row r="828">
      <c r="A828" s="9" t="s">
        <v>3290</v>
      </c>
      <c r="B828" s="10" t="s">
        <v>3291</v>
      </c>
      <c r="C828" s="10" t="s">
        <v>2358</v>
      </c>
      <c r="D828" s="10" t="s">
        <v>19</v>
      </c>
      <c r="E828" s="10" t="s">
        <v>20</v>
      </c>
      <c r="F828" s="10" t="s">
        <v>2157</v>
      </c>
      <c r="G828" s="10" t="s">
        <v>2359</v>
      </c>
      <c r="H828" s="10"/>
      <c r="I828" s="11">
        <v>599.0</v>
      </c>
      <c r="J828" s="11">
        <v>599.0</v>
      </c>
      <c r="K828" s="12">
        <f t="shared" si="1"/>
        <v>0</v>
      </c>
      <c r="L828" s="13">
        <f>IFERROR(__xludf.DUMMYFUNCTION("GOOGLEFINANCE(""CURRENCY:INRBRL"") * I828
"),35.270122953619996)</f>
        <v>35.27012295</v>
      </c>
      <c r="M828" s="9">
        <v>4.0</v>
      </c>
      <c r="N828" s="9">
        <v>26423.0</v>
      </c>
      <c r="O828" s="9" t="s">
        <v>3292</v>
      </c>
      <c r="P828" s="14" t="s">
        <v>3293</v>
      </c>
      <c r="U828" s="17"/>
      <c r="V828" s="18"/>
      <c r="W828" s="16"/>
      <c r="X828" s="16"/>
      <c r="Y828" s="16"/>
    </row>
    <row r="829">
      <c r="A829" s="9" t="s">
        <v>3294</v>
      </c>
      <c r="B829" s="10" t="s">
        <v>3295</v>
      </c>
      <c r="C829" s="10" t="s">
        <v>1388</v>
      </c>
      <c r="D829" s="10" t="s">
        <v>77</v>
      </c>
      <c r="E829" s="10" t="s">
        <v>1389</v>
      </c>
      <c r="F829" s="10" t="s">
        <v>1390</v>
      </c>
      <c r="G829" s="10"/>
      <c r="H829" s="10"/>
      <c r="I829" s="11">
        <v>1999.0</v>
      </c>
      <c r="J829" s="11">
        <v>7999.0</v>
      </c>
      <c r="K829" s="12">
        <f t="shared" si="1"/>
        <v>0.7500937617</v>
      </c>
      <c r="L829" s="13">
        <f>IFERROR(__xludf.DUMMYFUNCTION("GOOGLEFINANCE(""CURRENCY:INRBRL"") * I829
"),117.70446708562)</f>
        <v>117.7044671</v>
      </c>
      <c r="M829" s="9">
        <v>4.5</v>
      </c>
      <c r="N829" s="9">
        <v>31305.0</v>
      </c>
      <c r="O829" s="9" t="s">
        <v>3296</v>
      </c>
      <c r="P829" s="14" t="s">
        <v>3297</v>
      </c>
      <c r="U829" s="17"/>
      <c r="V829" s="18"/>
      <c r="W829" s="16"/>
      <c r="X829" s="16"/>
      <c r="Y829" s="16"/>
    </row>
    <row r="830">
      <c r="A830" s="9" t="s">
        <v>3298</v>
      </c>
      <c r="B830" s="10" t="s">
        <v>3299</v>
      </c>
      <c r="C830" s="10" t="s">
        <v>3300</v>
      </c>
      <c r="D830" s="10" t="s">
        <v>19</v>
      </c>
      <c r="E830" s="10" t="s">
        <v>57</v>
      </c>
      <c r="F830" s="10" t="s">
        <v>3301</v>
      </c>
      <c r="G830" s="10"/>
      <c r="H830" s="10"/>
      <c r="I830" s="11">
        <v>2099.0</v>
      </c>
      <c r="J830" s="11">
        <v>3249.0</v>
      </c>
      <c r="K830" s="12">
        <f t="shared" si="1"/>
        <v>0.3539550631</v>
      </c>
      <c r="L830" s="13">
        <f>IFERROR(__xludf.DUMMYFUNCTION("GOOGLEFINANCE(""CURRENCY:INRBRL"") * I830
"),123.59263452361999)</f>
        <v>123.5926345</v>
      </c>
      <c r="M830" s="9">
        <v>4.51</v>
      </c>
      <c r="N830" s="9">
        <v>11213.0</v>
      </c>
      <c r="O830" s="9" t="s">
        <v>3302</v>
      </c>
      <c r="P830" s="14" t="s">
        <v>3303</v>
      </c>
      <c r="U830" s="17"/>
      <c r="V830" s="18"/>
      <c r="W830" s="16"/>
      <c r="X830" s="16"/>
      <c r="Y830" s="16"/>
    </row>
    <row r="831">
      <c r="A831" s="9" t="s">
        <v>3304</v>
      </c>
      <c r="B831" s="10" t="s">
        <v>3305</v>
      </c>
      <c r="C831" s="10" t="s">
        <v>3306</v>
      </c>
      <c r="D831" s="10" t="s">
        <v>19</v>
      </c>
      <c r="E831" s="10" t="s">
        <v>20</v>
      </c>
      <c r="F831" s="10" t="s">
        <v>2157</v>
      </c>
      <c r="G831" s="10" t="s">
        <v>3307</v>
      </c>
      <c r="H831" s="10"/>
      <c r="I831" s="11">
        <v>179.0</v>
      </c>
      <c r="J831" s="11">
        <v>499.0</v>
      </c>
      <c r="K831" s="12">
        <f t="shared" si="1"/>
        <v>0.6412825651</v>
      </c>
      <c r="L831" s="13">
        <f>IFERROR(__xludf.DUMMYFUNCTION("GOOGLEFINANCE(""CURRENCY:INRBRL"") * I831
"),10.53981971402)</f>
        <v>10.53981971</v>
      </c>
      <c r="M831" s="9">
        <v>4.49</v>
      </c>
      <c r="N831" s="9">
        <v>10174.0</v>
      </c>
      <c r="O831" s="9" t="s">
        <v>3308</v>
      </c>
      <c r="P831" s="14" t="s">
        <v>3309</v>
      </c>
      <c r="U831" s="17"/>
      <c r="V831" s="18"/>
      <c r="W831" s="16"/>
      <c r="X831" s="16"/>
      <c r="Y831" s="16"/>
    </row>
    <row r="832">
      <c r="A832" s="9" t="s">
        <v>3310</v>
      </c>
      <c r="B832" s="10" t="s">
        <v>3311</v>
      </c>
      <c r="C832" s="10" t="s">
        <v>2467</v>
      </c>
      <c r="D832" s="10" t="s">
        <v>19</v>
      </c>
      <c r="E832" s="10" t="s">
        <v>20</v>
      </c>
      <c r="F832" s="10" t="s">
        <v>2342</v>
      </c>
      <c r="G832" s="10" t="s">
        <v>2468</v>
      </c>
      <c r="H832" s="10"/>
      <c r="I832" s="11">
        <v>1345.0</v>
      </c>
      <c r="J832" s="11">
        <v>2295.0</v>
      </c>
      <c r="K832" s="12">
        <f t="shared" si="1"/>
        <v>0.4139433551</v>
      </c>
      <c r="L832" s="13">
        <f>IFERROR(__xludf.DUMMYFUNCTION("GOOGLEFINANCE(""CURRENCY:INRBRL"") * I832
"),79.1958520411)</f>
        <v>79.19585204</v>
      </c>
      <c r="M832" s="9">
        <v>4.5</v>
      </c>
      <c r="N832" s="9">
        <v>17413.0</v>
      </c>
      <c r="O832" s="9" t="s">
        <v>3312</v>
      </c>
      <c r="P832" s="14" t="s">
        <v>3313</v>
      </c>
      <c r="U832" s="17"/>
      <c r="V832" s="18"/>
      <c r="W832" s="16"/>
      <c r="X832" s="16"/>
      <c r="Y832" s="16"/>
    </row>
    <row r="833">
      <c r="A833" s="9" t="s">
        <v>3314</v>
      </c>
      <c r="B833" s="10" t="s">
        <v>3315</v>
      </c>
      <c r="C833" s="10" t="s">
        <v>2538</v>
      </c>
      <c r="D833" s="10" t="s">
        <v>77</v>
      </c>
      <c r="E833" s="10" t="s">
        <v>2483</v>
      </c>
      <c r="F833" s="10" t="s">
        <v>79</v>
      </c>
      <c r="G833" s="10" t="s">
        <v>2499</v>
      </c>
      <c r="H833" s="10" t="s">
        <v>2539</v>
      </c>
      <c r="I833" s="11">
        <v>349.0</v>
      </c>
      <c r="J833" s="11">
        <v>995.0</v>
      </c>
      <c r="K833" s="12">
        <f t="shared" si="1"/>
        <v>0.6492462312</v>
      </c>
      <c r="L833" s="13">
        <f>IFERROR(__xludf.DUMMYFUNCTION("GOOGLEFINANCE(""CURRENCY:INRBRL"") * I833
"),20.549704358619998)</f>
        <v>20.54970436</v>
      </c>
      <c r="M833" s="9">
        <v>4.5</v>
      </c>
      <c r="N833" s="9">
        <v>6676.0</v>
      </c>
      <c r="O833" s="9" t="s">
        <v>3316</v>
      </c>
      <c r="P833" s="14" t="s">
        <v>3317</v>
      </c>
      <c r="U833" s="17"/>
      <c r="V833" s="18"/>
      <c r="W833" s="16"/>
      <c r="X833" s="16"/>
      <c r="Y833" s="16"/>
    </row>
    <row r="834">
      <c r="A834" s="9" t="s">
        <v>3318</v>
      </c>
      <c r="B834" s="10" t="s">
        <v>3319</v>
      </c>
      <c r="C834" s="10" t="s">
        <v>3050</v>
      </c>
      <c r="D834" s="10" t="s">
        <v>19</v>
      </c>
      <c r="E834" s="10" t="s">
        <v>20</v>
      </c>
      <c r="F834" s="10" t="s">
        <v>21</v>
      </c>
      <c r="G834" s="10" t="s">
        <v>22</v>
      </c>
      <c r="H834" s="10" t="s">
        <v>3051</v>
      </c>
      <c r="I834" s="11">
        <v>287.0</v>
      </c>
      <c r="J834" s="11">
        <v>499.0</v>
      </c>
      <c r="K834" s="12">
        <f t="shared" si="1"/>
        <v>0.4248496994</v>
      </c>
      <c r="L834" s="13">
        <f>IFERROR(__xludf.DUMMYFUNCTION("GOOGLEFINANCE(""CURRENCY:INRBRL"") * I834
"),16.89904054706)</f>
        <v>16.89904055</v>
      </c>
      <c r="M834" s="9">
        <v>4.5</v>
      </c>
      <c r="N834" s="9">
        <v>8076.0</v>
      </c>
      <c r="O834" s="9" t="s">
        <v>3320</v>
      </c>
      <c r="P834" s="14" t="s">
        <v>3321</v>
      </c>
      <c r="U834" s="17"/>
      <c r="V834" s="18"/>
      <c r="W834" s="16"/>
      <c r="X834" s="16"/>
      <c r="Y834" s="16"/>
    </row>
    <row r="835">
      <c r="A835" s="9" t="s">
        <v>165</v>
      </c>
      <c r="B835" s="10" t="s">
        <v>166</v>
      </c>
      <c r="C835" s="10" t="s">
        <v>18</v>
      </c>
      <c r="D835" s="10" t="s">
        <v>19</v>
      </c>
      <c r="E835" s="10" t="s">
        <v>20</v>
      </c>
      <c r="F835" s="10" t="s">
        <v>21</v>
      </c>
      <c r="G835" s="10" t="s">
        <v>22</v>
      </c>
      <c r="H835" s="10" t="s">
        <v>23</v>
      </c>
      <c r="I835" s="11">
        <v>599.0</v>
      </c>
      <c r="J835" s="11">
        <v>599.0</v>
      </c>
      <c r="K835" s="12">
        <f t="shared" si="1"/>
        <v>0</v>
      </c>
      <c r="L835" s="13">
        <f>IFERROR(__xludf.DUMMYFUNCTION("GOOGLEFINANCE(""CURRENCY:INRBRL"") * I835
"),35.270122953619996)</f>
        <v>35.27012295</v>
      </c>
      <c r="M835" s="9">
        <v>4.5</v>
      </c>
      <c r="N835" s="9">
        <v>355.0</v>
      </c>
      <c r="O835" s="9" t="s">
        <v>167</v>
      </c>
      <c r="P835" s="14" t="s">
        <v>3322</v>
      </c>
      <c r="U835" s="17"/>
      <c r="V835" s="18"/>
      <c r="W835" s="16"/>
      <c r="X835" s="16"/>
      <c r="Y835" s="16"/>
    </row>
    <row r="836">
      <c r="A836" s="9" t="s">
        <v>3323</v>
      </c>
      <c r="B836" s="10" t="s">
        <v>3324</v>
      </c>
      <c r="C836" s="10" t="s">
        <v>2334</v>
      </c>
      <c r="D836" s="10" t="s">
        <v>19</v>
      </c>
      <c r="E836" s="10" t="s">
        <v>2335</v>
      </c>
      <c r="F836" s="10" t="s">
        <v>2336</v>
      </c>
      <c r="G836" s="10"/>
      <c r="H836" s="10"/>
      <c r="I836" s="11">
        <v>349.0</v>
      </c>
      <c r="J836" s="11">
        <v>450.0</v>
      </c>
      <c r="K836" s="12">
        <f t="shared" si="1"/>
        <v>0.2244444444</v>
      </c>
      <c r="L836" s="13">
        <f>IFERROR(__xludf.DUMMYFUNCTION("GOOGLEFINANCE(""CURRENCY:INRBRL"") * I836
"),20.549704358619998)</f>
        <v>20.54970436</v>
      </c>
      <c r="M836" s="9">
        <v>4.49</v>
      </c>
      <c r="N836" s="9">
        <v>18656.0</v>
      </c>
      <c r="O836" s="9" t="s">
        <v>3325</v>
      </c>
      <c r="P836" s="14" t="s">
        <v>3326</v>
      </c>
      <c r="U836" s="17"/>
      <c r="V836" s="18"/>
      <c r="W836" s="16"/>
      <c r="X836" s="16"/>
      <c r="Y836" s="16"/>
    </row>
    <row r="837">
      <c r="A837" s="9" t="s">
        <v>3327</v>
      </c>
      <c r="B837" s="10" t="s">
        <v>3328</v>
      </c>
      <c r="C837" s="10" t="s">
        <v>2432</v>
      </c>
      <c r="D837" s="10" t="s">
        <v>77</v>
      </c>
      <c r="E837" s="10" t="s">
        <v>2433</v>
      </c>
      <c r="F837" s="10" t="s">
        <v>2434</v>
      </c>
      <c r="G837" s="10"/>
      <c r="H837" s="10"/>
      <c r="I837" s="11">
        <v>879.0</v>
      </c>
      <c r="J837" s="11">
        <v>1109.0</v>
      </c>
      <c r="K837" s="12">
        <f t="shared" si="1"/>
        <v>0.2073940487</v>
      </c>
      <c r="L837" s="13">
        <f>IFERROR(__xludf.DUMMYFUNCTION("GOOGLEFINANCE(""CURRENCY:INRBRL"") * I837
"),51.75699178002)</f>
        <v>51.75699178</v>
      </c>
      <c r="M837" s="9">
        <v>4.5</v>
      </c>
      <c r="N837" s="9">
        <v>31599.0</v>
      </c>
      <c r="O837" s="9" t="s">
        <v>3329</v>
      </c>
      <c r="P837" s="14" t="s">
        <v>3330</v>
      </c>
      <c r="U837" s="17"/>
      <c r="V837" s="18"/>
      <c r="W837" s="16"/>
      <c r="X837" s="16"/>
      <c r="Y837" s="16"/>
    </row>
    <row r="838">
      <c r="A838" s="9" t="s">
        <v>169</v>
      </c>
      <c r="B838" s="10" t="s">
        <v>170</v>
      </c>
      <c r="C838" s="10" t="s">
        <v>18</v>
      </c>
      <c r="D838" s="10" t="s">
        <v>19</v>
      </c>
      <c r="E838" s="10" t="s">
        <v>20</v>
      </c>
      <c r="F838" s="10" t="s">
        <v>21</v>
      </c>
      <c r="G838" s="10" t="s">
        <v>22</v>
      </c>
      <c r="H838" s="10" t="s">
        <v>23</v>
      </c>
      <c r="I838" s="11">
        <v>199.0</v>
      </c>
      <c r="J838" s="11">
        <v>999.0</v>
      </c>
      <c r="K838" s="12">
        <f t="shared" si="1"/>
        <v>0.8008008008</v>
      </c>
      <c r="L838" s="13">
        <f>IFERROR(__xludf.DUMMYFUNCTION("GOOGLEFINANCE(""CURRENCY:INRBRL"") * I838
"),11.71745320162)</f>
        <v>11.7174532</v>
      </c>
      <c r="M838" s="9">
        <v>4.52</v>
      </c>
      <c r="N838" s="9">
        <v>1075.0</v>
      </c>
      <c r="O838" s="9" t="s">
        <v>171</v>
      </c>
      <c r="P838" s="14" t="s">
        <v>3331</v>
      </c>
      <c r="U838" s="17"/>
      <c r="V838" s="18"/>
      <c r="W838" s="16"/>
      <c r="X838" s="16"/>
      <c r="Y838" s="16"/>
    </row>
    <row r="839">
      <c r="A839" s="9" t="s">
        <v>3332</v>
      </c>
      <c r="B839" s="10" t="s">
        <v>3333</v>
      </c>
      <c r="C839" s="10" t="s">
        <v>2730</v>
      </c>
      <c r="D839" s="10" t="s">
        <v>77</v>
      </c>
      <c r="E839" s="10" t="s">
        <v>2433</v>
      </c>
      <c r="F839" s="10" t="s">
        <v>2731</v>
      </c>
      <c r="G839" s="10"/>
      <c r="H839" s="10"/>
      <c r="I839" s="11">
        <v>250.0</v>
      </c>
      <c r="J839" s="11">
        <v>250.0</v>
      </c>
      <c r="K839" s="12">
        <f t="shared" si="1"/>
        <v>0</v>
      </c>
      <c r="L839" s="13">
        <f>IFERROR(__xludf.DUMMYFUNCTION("GOOGLEFINANCE(""CURRENCY:INRBRL"") * I839
"),14.720418595)</f>
        <v>14.7204186</v>
      </c>
      <c r="M839" s="9">
        <v>4.52</v>
      </c>
      <c r="N839" s="9">
        <v>13971.0</v>
      </c>
      <c r="O839" s="9" t="s">
        <v>3334</v>
      </c>
      <c r="P839" s="14" t="s">
        <v>3335</v>
      </c>
      <c r="U839" s="17"/>
      <c r="V839" s="18"/>
      <c r="W839" s="16"/>
      <c r="X839" s="16"/>
      <c r="Y839" s="16"/>
    </row>
    <row r="840">
      <c r="A840" s="9" t="s">
        <v>3336</v>
      </c>
      <c r="B840" s="10" t="s">
        <v>3337</v>
      </c>
      <c r="C840" s="10" t="s">
        <v>1454</v>
      </c>
      <c r="D840" s="10" t="s">
        <v>77</v>
      </c>
      <c r="E840" s="10" t="s">
        <v>1455</v>
      </c>
      <c r="F840" s="10" t="s">
        <v>1456</v>
      </c>
      <c r="G840" s="10" t="s">
        <v>1457</v>
      </c>
      <c r="H840" s="10"/>
      <c r="I840" s="11">
        <v>199.0</v>
      </c>
      <c r="J840" s="11">
        <v>499.0</v>
      </c>
      <c r="K840" s="12">
        <f t="shared" si="1"/>
        <v>0.6012024048</v>
      </c>
      <c r="L840" s="13">
        <f>IFERROR(__xludf.DUMMYFUNCTION("GOOGLEFINANCE(""CURRENCY:INRBRL"") * I840
"),11.71745320162)</f>
        <v>11.7174532</v>
      </c>
      <c r="M840" s="9">
        <v>4.51</v>
      </c>
      <c r="N840" s="9">
        <v>2492.0</v>
      </c>
      <c r="O840" s="9" t="s">
        <v>3338</v>
      </c>
      <c r="P840" s="14" t="s">
        <v>3339</v>
      </c>
      <c r="U840" s="17"/>
      <c r="V840" s="18"/>
      <c r="W840" s="16"/>
      <c r="X840" s="16"/>
      <c r="Y840" s="16"/>
    </row>
    <row r="841">
      <c r="A841" s="9" t="s">
        <v>177</v>
      </c>
      <c r="B841" s="10" t="s">
        <v>178</v>
      </c>
      <c r="C841" s="10" t="s">
        <v>18</v>
      </c>
      <c r="D841" s="10" t="s">
        <v>19</v>
      </c>
      <c r="E841" s="10" t="s">
        <v>20</v>
      </c>
      <c r="F841" s="10" t="s">
        <v>21</v>
      </c>
      <c r="G841" s="10" t="s">
        <v>22</v>
      </c>
      <c r="H841" s="10" t="s">
        <v>23</v>
      </c>
      <c r="I841" s="11">
        <v>899.0</v>
      </c>
      <c r="J841" s="11">
        <v>1899.0</v>
      </c>
      <c r="K841" s="12">
        <f t="shared" si="1"/>
        <v>0.5265929437</v>
      </c>
      <c r="L841" s="13">
        <f>IFERROR(__xludf.DUMMYFUNCTION("GOOGLEFINANCE(""CURRENCY:INRBRL"") * I841
"),52.93462526762)</f>
        <v>52.93462527</v>
      </c>
      <c r="M841" s="9">
        <v>4.5</v>
      </c>
      <c r="N841" s="9">
        <v>13552.0</v>
      </c>
      <c r="O841" s="9" t="s">
        <v>179</v>
      </c>
      <c r="P841" s="14" t="s">
        <v>3340</v>
      </c>
      <c r="U841" s="17"/>
      <c r="V841" s="18"/>
      <c r="W841" s="16"/>
      <c r="X841" s="16"/>
      <c r="Y841" s="16"/>
    </row>
    <row r="842">
      <c r="A842" s="9" t="s">
        <v>181</v>
      </c>
      <c r="B842" s="10" t="s">
        <v>182</v>
      </c>
      <c r="C842" s="10" t="s">
        <v>18</v>
      </c>
      <c r="D842" s="10" t="s">
        <v>19</v>
      </c>
      <c r="E842" s="10" t="s">
        <v>20</v>
      </c>
      <c r="F842" s="10" t="s">
        <v>21</v>
      </c>
      <c r="G842" s="10" t="s">
        <v>22</v>
      </c>
      <c r="H842" s="10" t="s">
        <v>23</v>
      </c>
      <c r="I842" s="11">
        <v>199.0</v>
      </c>
      <c r="J842" s="11">
        <v>999.0</v>
      </c>
      <c r="K842" s="12">
        <f t="shared" si="1"/>
        <v>0.8008008008</v>
      </c>
      <c r="L842" s="13">
        <f>IFERROR(__xludf.DUMMYFUNCTION("GOOGLEFINANCE(""CURRENCY:INRBRL"") * I842
"),11.71745320162)</f>
        <v>11.7174532</v>
      </c>
      <c r="M842" s="9">
        <v>4.0</v>
      </c>
      <c r="N842" s="9">
        <v>575.0</v>
      </c>
      <c r="O842" s="9" t="s">
        <v>183</v>
      </c>
      <c r="P842" s="14" t="s">
        <v>3341</v>
      </c>
      <c r="U842" s="17"/>
      <c r="V842" s="18"/>
      <c r="W842" s="16"/>
      <c r="X842" s="16"/>
      <c r="Y842" s="16"/>
    </row>
    <row r="843">
      <c r="A843" s="9" t="s">
        <v>3342</v>
      </c>
      <c r="B843" s="10" t="s">
        <v>3343</v>
      </c>
      <c r="C843" s="10" t="s">
        <v>3306</v>
      </c>
      <c r="D843" s="10" t="s">
        <v>19</v>
      </c>
      <c r="E843" s="10" t="s">
        <v>20</v>
      </c>
      <c r="F843" s="10" t="s">
        <v>2157</v>
      </c>
      <c r="G843" s="10" t="s">
        <v>3307</v>
      </c>
      <c r="H843" s="10"/>
      <c r="I843" s="11">
        <v>149.0</v>
      </c>
      <c r="J843" s="11">
        <v>999.0</v>
      </c>
      <c r="K843" s="12">
        <f t="shared" si="1"/>
        <v>0.8508508509</v>
      </c>
      <c r="L843" s="13">
        <f>IFERROR(__xludf.DUMMYFUNCTION("GOOGLEFINANCE(""CURRENCY:INRBRL"") * I843
"),8.77336948262)</f>
        <v>8.773369483</v>
      </c>
      <c r="M843" s="9">
        <v>4.5</v>
      </c>
      <c r="N843" s="9">
        <v>2523.0</v>
      </c>
      <c r="O843" s="9" t="s">
        <v>3344</v>
      </c>
      <c r="P843" s="14" t="s">
        <v>3345</v>
      </c>
      <c r="U843" s="17"/>
      <c r="V843" s="18"/>
      <c r="W843" s="16"/>
      <c r="X843" s="16"/>
      <c r="Y843" s="16"/>
    </row>
    <row r="844">
      <c r="A844" s="9" t="s">
        <v>3346</v>
      </c>
      <c r="B844" s="10" t="s">
        <v>3347</v>
      </c>
      <c r="C844" s="10" t="s">
        <v>2348</v>
      </c>
      <c r="D844" s="10" t="s">
        <v>19</v>
      </c>
      <c r="E844" s="10" t="s">
        <v>20</v>
      </c>
      <c r="F844" s="10" t="s">
        <v>2342</v>
      </c>
      <c r="G844" s="10" t="s">
        <v>2349</v>
      </c>
      <c r="H844" s="10"/>
      <c r="I844" s="11">
        <v>469.0</v>
      </c>
      <c r="J844" s="11">
        <v>1499.0</v>
      </c>
      <c r="K844" s="12">
        <f t="shared" si="1"/>
        <v>0.6871247498</v>
      </c>
      <c r="L844" s="13">
        <f>IFERROR(__xludf.DUMMYFUNCTION("GOOGLEFINANCE(""CURRENCY:INRBRL"") * I844
"),27.61550528422)</f>
        <v>27.61550528</v>
      </c>
      <c r="M844" s="9">
        <v>4.49</v>
      </c>
      <c r="N844" s="9">
        <v>352.0</v>
      </c>
      <c r="O844" s="9" t="s">
        <v>3348</v>
      </c>
      <c r="P844" s="14" t="s">
        <v>3349</v>
      </c>
      <c r="U844" s="17"/>
      <c r="V844" s="18"/>
      <c r="W844" s="16"/>
      <c r="X844" s="16"/>
      <c r="Y844" s="16"/>
    </row>
    <row r="845">
      <c r="A845" s="9" t="s">
        <v>3350</v>
      </c>
      <c r="B845" s="10" t="s">
        <v>3351</v>
      </c>
      <c r="C845" s="10" t="s">
        <v>2941</v>
      </c>
      <c r="D845" s="10" t="s">
        <v>19</v>
      </c>
      <c r="E845" s="10" t="s">
        <v>20</v>
      </c>
      <c r="F845" s="10" t="s">
        <v>2942</v>
      </c>
      <c r="G845" s="10"/>
      <c r="H845" s="10"/>
      <c r="I845" s="11">
        <v>1187.0</v>
      </c>
      <c r="J845" s="11">
        <v>1929.0</v>
      </c>
      <c r="K845" s="12">
        <f t="shared" si="1"/>
        <v>0.3846552618</v>
      </c>
      <c r="L845" s="13">
        <f>IFERROR(__xludf.DUMMYFUNCTION("GOOGLEFINANCE(""CURRENCY:INRBRL"") * I845
"),69.89254748906)</f>
        <v>69.89254749</v>
      </c>
      <c r="M845" s="9">
        <v>4.49</v>
      </c>
      <c r="N845" s="9">
        <v>1662.0</v>
      </c>
      <c r="O845" s="9" t="s">
        <v>3352</v>
      </c>
      <c r="P845" s="14" t="s">
        <v>3353</v>
      </c>
      <c r="U845" s="17"/>
      <c r="V845" s="18"/>
      <c r="W845" s="16"/>
      <c r="X845" s="16"/>
      <c r="Y845" s="16"/>
    </row>
    <row r="846">
      <c r="A846" s="9" t="s">
        <v>3354</v>
      </c>
      <c r="B846" s="10" t="s">
        <v>3355</v>
      </c>
      <c r="C846" s="10" t="s">
        <v>3356</v>
      </c>
      <c r="D846" s="10" t="s">
        <v>19</v>
      </c>
      <c r="E846" s="10" t="s">
        <v>20</v>
      </c>
      <c r="F846" s="10" t="s">
        <v>2960</v>
      </c>
      <c r="G846" s="10" t="s">
        <v>3357</v>
      </c>
      <c r="H846" s="10"/>
      <c r="I846" s="11">
        <v>849.0</v>
      </c>
      <c r="J846" s="11">
        <v>1499.0</v>
      </c>
      <c r="K846" s="12">
        <f t="shared" si="1"/>
        <v>0.4336224149</v>
      </c>
      <c r="L846" s="13">
        <f>IFERROR(__xludf.DUMMYFUNCTION("GOOGLEFINANCE(""CURRENCY:INRBRL"") * I846
"),49.99054154862)</f>
        <v>49.99054155</v>
      </c>
      <c r="M846" s="9">
        <v>4.0</v>
      </c>
      <c r="N846" s="9">
        <v>7352.0</v>
      </c>
      <c r="O846" s="9" t="s">
        <v>3358</v>
      </c>
      <c r="P846" s="14" t="s">
        <v>3359</v>
      </c>
      <c r="U846" s="17"/>
      <c r="V846" s="18"/>
      <c r="W846" s="16"/>
      <c r="X846" s="16"/>
      <c r="Y846" s="16"/>
    </row>
    <row r="847">
      <c r="A847" s="9" t="s">
        <v>3360</v>
      </c>
      <c r="B847" s="10" t="s">
        <v>3361</v>
      </c>
      <c r="C847" s="10" t="s">
        <v>2341</v>
      </c>
      <c r="D847" s="10" t="s">
        <v>19</v>
      </c>
      <c r="E847" s="10" t="s">
        <v>20</v>
      </c>
      <c r="F847" s="10" t="s">
        <v>2342</v>
      </c>
      <c r="G847" s="10" t="s">
        <v>2343</v>
      </c>
      <c r="H847" s="10"/>
      <c r="I847" s="11">
        <v>328.0</v>
      </c>
      <c r="J847" s="11">
        <v>399.0</v>
      </c>
      <c r="K847" s="12">
        <f t="shared" si="1"/>
        <v>0.1779448622</v>
      </c>
      <c r="L847" s="13">
        <f>IFERROR(__xludf.DUMMYFUNCTION("GOOGLEFINANCE(""CURRENCY:INRBRL"") * I847
"),19.31318919664)</f>
        <v>19.3131892</v>
      </c>
      <c r="M847" s="9">
        <v>4.49</v>
      </c>
      <c r="N847" s="9">
        <v>3441.0</v>
      </c>
      <c r="O847" s="9" t="s">
        <v>3362</v>
      </c>
      <c r="P847" s="14" t="s">
        <v>3363</v>
      </c>
      <c r="U847" s="17"/>
      <c r="V847" s="18"/>
      <c r="W847" s="16"/>
      <c r="X847" s="16"/>
      <c r="Y847" s="16"/>
    </row>
    <row r="848">
      <c r="A848" s="9" t="s">
        <v>3364</v>
      </c>
      <c r="B848" s="10" t="s">
        <v>3365</v>
      </c>
      <c r="C848" s="10" t="s">
        <v>2358</v>
      </c>
      <c r="D848" s="10" t="s">
        <v>19</v>
      </c>
      <c r="E848" s="10" t="s">
        <v>20</v>
      </c>
      <c r="F848" s="10" t="s">
        <v>2157</v>
      </c>
      <c r="G848" s="10" t="s">
        <v>2359</v>
      </c>
      <c r="H848" s="10"/>
      <c r="I848" s="11">
        <v>269.0</v>
      </c>
      <c r="J848" s="11">
        <v>699.0</v>
      </c>
      <c r="K848" s="12">
        <f t="shared" si="1"/>
        <v>0.6151645207</v>
      </c>
      <c r="L848" s="13">
        <f>IFERROR(__xludf.DUMMYFUNCTION("GOOGLEFINANCE(""CURRENCY:INRBRL"") * I848
"),15.83917040822)</f>
        <v>15.83917041</v>
      </c>
      <c r="M848" s="9">
        <v>4.0</v>
      </c>
      <c r="N848" s="9">
        <v>93.0</v>
      </c>
      <c r="O848" s="9" t="s">
        <v>3366</v>
      </c>
      <c r="P848" s="14" t="s">
        <v>3367</v>
      </c>
      <c r="U848" s="17"/>
      <c r="V848" s="18"/>
      <c r="W848" s="16"/>
      <c r="X848" s="16"/>
      <c r="Y848" s="16"/>
    </row>
    <row r="849">
      <c r="A849" s="9" t="s">
        <v>3368</v>
      </c>
      <c r="B849" s="10" t="s">
        <v>3369</v>
      </c>
      <c r="C849" s="10" t="s">
        <v>3370</v>
      </c>
      <c r="D849" s="10" t="s">
        <v>77</v>
      </c>
      <c r="E849" s="10" t="s">
        <v>2483</v>
      </c>
      <c r="F849" s="10" t="s">
        <v>79</v>
      </c>
      <c r="G849" s="10" t="s">
        <v>3371</v>
      </c>
      <c r="H849" s="10" t="s">
        <v>3372</v>
      </c>
      <c r="I849" s="11">
        <v>299.0</v>
      </c>
      <c r="J849" s="11">
        <v>400.0</v>
      </c>
      <c r="K849" s="12">
        <f t="shared" si="1"/>
        <v>0.2525</v>
      </c>
      <c r="L849" s="13">
        <f>IFERROR(__xludf.DUMMYFUNCTION("GOOGLEFINANCE(""CURRENCY:INRBRL"") * I849
"),17.60562063962)</f>
        <v>17.60562064</v>
      </c>
      <c r="M849" s="9">
        <v>4.51</v>
      </c>
      <c r="N849" s="9">
        <v>40895.0</v>
      </c>
      <c r="O849" s="9" t="s">
        <v>3373</v>
      </c>
      <c r="P849" s="14" t="s">
        <v>3374</v>
      </c>
      <c r="U849" s="17"/>
      <c r="V849" s="18"/>
      <c r="W849" s="16"/>
      <c r="X849" s="16"/>
      <c r="Y849" s="16"/>
    </row>
    <row r="850">
      <c r="A850" s="9" t="s">
        <v>3375</v>
      </c>
      <c r="B850" s="10" t="s">
        <v>3376</v>
      </c>
      <c r="C850" s="10" t="s">
        <v>3377</v>
      </c>
      <c r="D850" s="10" t="s">
        <v>19</v>
      </c>
      <c r="E850" s="10" t="s">
        <v>20</v>
      </c>
      <c r="F850" s="10" t="s">
        <v>2894</v>
      </c>
      <c r="G850" s="10" t="s">
        <v>3378</v>
      </c>
      <c r="H850" s="10" t="s">
        <v>3122</v>
      </c>
      <c r="I850" s="11">
        <v>549.0</v>
      </c>
      <c r="J850" s="11">
        <v>1499.0</v>
      </c>
      <c r="K850" s="12">
        <f t="shared" si="1"/>
        <v>0.6337558372</v>
      </c>
      <c r="L850" s="13">
        <f>IFERROR(__xludf.DUMMYFUNCTION("GOOGLEFINANCE(""CURRENCY:INRBRL"") * I850
"),32.32603923462)</f>
        <v>32.32603923</v>
      </c>
      <c r="M850" s="9">
        <v>4.5</v>
      </c>
      <c r="N850" s="9">
        <v>11006.0</v>
      </c>
      <c r="O850" s="9" t="s">
        <v>3379</v>
      </c>
      <c r="P850" s="14" t="s">
        <v>3380</v>
      </c>
      <c r="U850" s="17"/>
      <c r="V850" s="18"/>
      <c r="W850" s="16"/>
      <c r="X850" s="16"/>
      <c r="Y850" s="16"/>
    </row>
    <row r="851">
      <c r="A851" s="9" t="s">
        <v>3381</v>
      </c>
      <c r="B851" s="10" t="s">
        <v>3382</v>
      </c>
      <c r="C851" s="10" t="s">
        <v>2718</v>
      </c>
      <c r="D851" s="10" t="s">
        <v>2440</v>
      </c>
      <c r="E851" s="10" t="s">
        <v>2441</v>
      </c>
      <c r="F851" s="10" t="s">
        <v>2442</v>
      </c>
      <c r="G851" s="10" t="s">
        <v>2443</v>
      </c>
      <c r="H851" s="10" t="s">
        <v>2719</v>
      </c>
      <c r="I851" s="11">
        <v>114.0</v>
      </c>
      <c r="J851" s="11">
        <v>120.0</v>
      </c>
      <c r="K851" s="12">
        <f t="shared" si="1"/>
        <v>0.05</v>
      </c>
      <c r="L851" s="13">
        <f>IFERROR(__xludf.DUMMYFUNCTION("GOOGLEFINANCE(""CURRENCY:INRBRL"") * I851
"),6.71251087932)</f>
        <v>6.712510879</v>
      </c>
      <c r="M851" s="9">
        <v>4.5</v>
      </c>
      <c r="N851" s="9">
        <v>8938.0</v>
      </c>
      <c r="O851" s="9" t="s">
        <v>3383</v>
      </c>
      <c r="P851" s="14" t="s">
        <v>3384</v>
      </c>
      <c r="U851" s="17"/>
      <c r="V851" s="18"/>
      <c r="W851" s="16"/>
      <c r="X851" s="16"/>
      <c r="Y851" s="16"/>
    </row>
    <row r="852">
      <c r="A852" s="9" t="s">
        <v>3385</v>
      </c>
      <c r="B852" s="10" t="s">
        <v>3386</v>
      </c>
      <c r="C852" s="10" t="s">
        <v>3387</v>
      </c>
      <c r="D852" s="10" t="s">
        <v>2440</v>
      </c>
      <c r="E852" s="10" t="s">
        <v>2441</v>
      </c>
      <c r="F852" s="10" t="s">
        <v>2442</v>
      </c>
      <c r="G852" s="10" t="s">
        <v>2443</v>
      </c>
      <c r="H852" s="10" t="s">
        <v>2444</v>
      </c>
      <c r="I852" s="11">
        <v>120.0</v>
      </c>
      <c r="J852" s="11">
        <v>120.0</v>
      </c>
      <c r="K852" s="12">
        <f t="shared" si="1"/>
        <v>0</v>
      </c>
      <c r="L852" s="13">
        <f>IFERROR(__xludf.DUMMYFUNCTION("GOOGLEFINANCE(""CURRENCY:INRBRL"") * I852
"),7.0658009256)</f>
        <v>7.065800926</v>
      </c>
      <c r="M852" s="9">
        <v>4.49</v>
      </c>
      <c r="N852" s="9">
        <v>4308.0</v>
      </c>
      <c r="O852" s="9" t="s">
        <v>3388</v>
      </c>
      <c r="P852" s="14" t="s">
        <v>3389</v>
      </c>
      <c r="U852" s="17"/>
      <c r="V852" s="18"/>
      <c r="W852" s="16"/>
      <c r="X852" s="16"/>
      <c r="Y852" s="16"/>
    </row>
    <row r="853">
      <c r="A853" s="9" t="s">
        <v>189</v>
      </c>
      <c r="B853" s="10" t="s">
        <v>190</v>
      </c>
      <c r="C853" s="10" t="s">
        <v>18</v>
      </c>
      <c r="D853" s="10" t="s">
        <v>19</v>
      </c>
      <c r="E853" s="10" t="s">
        <v>20</v>
      </c>
      <c r="F853" s="10" t="s">
        <v>21</v>
      </c>
      <c r="G853" s="10" t="s">
        <v>22</v>
      </c>
      <c r="H853" s="10" t="s">
        <v>23</v>
      </c>
      <c r="I853" s="11">
        <v>970.0</v>
      </c>
      <c r="J853" s="11">
        <v>1999.0</v>
      </c>
      <c r="K853" s="12">
        <f t="shared" si="1"/>
        <v>0.5147573787</v>
      </c>
      <c r="L853" s="13">
        <f>IFERROR(__xludf.DUMMYFUNCTION("GOOGLEFINANCE(""CURRENCY:INRBRL"") * I853
"),57.1152241486)</f>
        <v>57.11522415</v>
      </c>
      <c r="M853" s="9">
        <v>4.5</v>
      </c>
      <c r="N853" s="9">
        <v>462.0</v>
      </c>
      <c r="O853" s="9" t="s">
        <v>191</v>
      </c>
      <c r="P853" s="14" t="s">
        <v>3390</v>
      </c>
      <c r="U853" s="17"/>
      <c r="V853" s="18"/>
      <c r="W853" s="16"/>
      <c r="X853" s="16"/>
      <c r="Y853" s="16"/>
    </row>
    <row r="854">
      <c r="A854" s="9" t="s">
        <v>193</v>
      </c>
      <c r="B854" s="10" t="s">
        <v>194</v>
      </c>
      <c r="C854" s="10" t="s">
        <v>18</v>
      </c>
      <c r="D854" s="10" t="s">
        <v>19</v>
      </c>
      <c r="E854" s="10" t="s">
        <v>20</v>
      </c>
      <c r="F854" s="10" t="s">
        <v>21</v>
      </c>
      <c r="G854" s="10" t="s">
        <v>22</v>
      </c>
      <c r="H854" s="10" t="s">
        <v>23</v>
      </c>
      <c r="I854" s="11">
        <v>209.0</v>
      </c>
      <c r="J854" s="11">
        <v>695.0</v>
      </c>
      <c r="K854" s="12">
        <f t="shared" si="1"/>
        <v>0.6992805755</v>
      </c>
      <c r="L854" s="13">
        <f>IFERROR(__xludf.DUMMYFUNCTION("GOOGLEFINANCE(""CURRENCY:INRBRL"") * I854
"),12.30626994542)</f>
        <v>12.30626995</v>
      </c>
      <c r="M854" s="9">
        <v>4.51</v>
      </c>
      <c r="N854" s="9">
        <v>1070686.0</v>
      </c>
      <c r="O854" s="9" t="s">
        <v>195</v>
      </c>
      <c r="P854" s="14" t="s">
        <v>3391</v>
      </c>
      <c r="U854" s="17"/>
      <c r="V854" s="18"/>
      <c r="W854" s="16"/>
      <c r="X854" s="16"/>
      <c r="Y854" s="16"/>
    </row>
    <row r="855">
      <c r="A855" s="9" t="s">
        <v>3392</v>
      </c>
      <c r="B855" s="10" t="s">
        <v>3393</v>
      </c>
      <c r="C855" s="10" t="s">
        <v>2341</v>
      </c>
      <c r="D855" s="10" t="s">
        <v>19</v>
      </c>
      <c r="E855" s="10" t="s">
        <v>20</v>
      </c>
      <c r="F855" s="10" t="s">
        <v>2342</v>
      </c>
      <c r="G855" s="10" t="s">
        <v>2343</v>
      </c>
      <c r="H855" s="10"/>
      <c r="I855" s="11">
        <v>1499.0</v>
      </c>
      <c r="J855" s="11">
        <v>2295.0</v>
      </c>
      <c r="K855" s="12">
        <f t="shared" si="1"/>
        <v>0.3468409586</v>
      </c>
      <c r="L855" s="13">
        <f>IFERROR(__xludf.DUMMYFUNCTION("GOOGLEFINANCE(""CURRENCY:INRBRL"") * I855
"),88.26362989562)</f>
        <v>88.2636299</v>
      </c>
      <c r="M855" s="9">
        <v>4.51</v>
      </c>
      <c r="N855" s="9">
        <v>10652.0</v>
      </c>
      <c r="O855" s="9" t="s">
        <v>3394</v>
      </c>
      <c r="P855" s="14" t="s">
        <v>3395</v>
      </c>
      <c r="U855" s="17"/>
      <c r="V855" s="18"/>
      <c r="W855" s="16"/>
      <c r="X855" s="16"/>
      <c r="Y855" s="16"/>
    </row>
    <row r="856">
      <c r="A856" s="9" t="s">
        <v>3396</v>
      </c>
      <c r="B856" s="10" t="s">
        <v>3397</v>
      </c>
      <c r="C856" s="10" t="s">
        <v>3398</v>
      </c>
      <c r="D856" s="10" t="s">
        <v>2450</v>
      </c>
      <c r="E856" s="10" t="s">
        <v>2451</v>
      </c>
      <c r="F856" s="10" t="s">
        <v>3399</v>
      </c>
      <c r="G856" s="10" t="s">
        <v>3400</v>
      </c>
      <c r="H856" s="10" t="s">
        <v>3401</v>
      </c>
      <c r="I856" s="11">
        <v>99.0</v>
      </c>
      <c r="J856" s="11">
        <v>99.0</v>
      </c>
      <c r="K856" s="12">
        <f t="shared" si="1"/>
        <v>0</v>
      </c>
      <c r="L856" s="13">
        <f>IFERROR(__xludf.DUMMYFUNCTION("GOOGLEFINANCE(""CURRENCY:INRBRL"") * I856
"),5.82928576362)</f>
        <v>5.829285764</v>
      </c>
      <c r="M856" s="9">
        <v>4.5</v>
      </c>
      <c r="N856" s="9">
        <v>5036.0</v>
      </c>
      <c r="O856" s="9" t="s">
        <v>3402</v>
      </c>
      <c r="P856" s="14" t="s">
        <v>3403</v>
      </c>
      <c r="U856" s="17"/>
      <c r="V856" s="18"/>
      <c r="W856" s="16"/>
      <c r="X856" s="16"/>
      <c r="Y856" s="16"/>
    </row>
    <row r="857">
      <c r="A857" s="9" t="s">
        <v>3404</v>
      </c>
      <c r="B857" s="10" t="s">
        <v>3405</v>
      </c>
      <c r="C857" s="10" t="s">
        <v>2341</v>
      </c>
      <c r="D857" s="10" t="s">
        <v>19</v>
      </c>
      <c r="E857" s="10" t="s">
        <v>20</v>
      </c>
      <c r="F857" s="10" t="s">
        <v>2342</v>
      </c>
      <c r="G857" s="10" t="s">
        <v>2343</v>
      </c>
      <c r="H857" s="10"/>
      <c r="I857" s="11">
        <v>149.0</v>
      </c>
      <c r="J857" s="11">
        <v>249.0</v>
      </c>
      <c r="K857" s="12">
        <f t="shared" si="1"/>
        <v>0.4016064257</v>
      </c>
      <c r="L857" s="13">
        <f>IFERROR(__xludf.DUMMYFUNCTION("GOOGLEFINANCE(""CURRENCY:INRBRL"") * I857
"),8.77336948262)</f>
        <v>8.773369483</v>
      </c>
      <c r="M857" s="9">
        <v>4.0</v>
      </c>
      <c r="N857" s="9">
        <v>5057.0</v>
      </c>
      <c r="O857" s="9" t="s">
        <v>3406</v>
      </c>
      <c r="P857" s="14" t="s">
        <v>3407</v>
      </c>
      <c r="U857" s="17"/>
      <c r="V857" s="18"/>
      <c r="W857" s="16"/>
      <c r="X857" s="16"/>
      <c r="Y857" s="16"/>
    </row>
    <row r="858">
      <c r="A858" s="9" t="s">
        <v>3408</v>
      </c>
      <c r="B858" s="10" t="s">
        <v>3409</v>
      </c>
      <c r="C858" s="10" t="s">
        <v>2582</v>
      </c>
      <c r="D858" s="10" t="s">
        <v>19</v>
      </c>
      <c r="E858" s="10" t="s">
        <v>20</v>
      </c>
      <c r="F858" s="10" t="s">
        <v>2583</v>
      </c>
      <c r="G858" s="10" t="s">
        <v>2584</v>
      </c>
      <c r="H858" s="10"/>
      <c r="I858" s="11">
        <v>575.0</v>
      </c>
      <c r="J858" s="11">
        <v>2799.0</v>
      </c>
      <c r="K858" s="12">
        <f t="shared" si="1"/>
        <v>0.7945694891</v>
      </c>
      <c r="L858" s="13">
        <f>IFERROR(__xludf.DUMMYFUNCTION("GOOGLEFINANCE(""CURRENCY:INRBRL"") * I858
"),33.8569627685)</f>
        <v>33.85696277</v>
      </c>
      <c r="M858" s="9">
        <v>4.5</v>
      </c>
      <c r="N858" s="9">
        <v>8537.0</v>
      </c>
      <c r="O858" s="9" t="s">
        <v>3410</v>
      </c>
      <c r="P858" s="14" t="s">
        <v>3411</v>
      </c>
      <c r="U858" s="17"/>
      <c r="V858" s="18"/>
      <c r="W858" s="16"/>
      <c r="X858" s="16"/>
      <c r="Y858" s="16"/>
    </row>
    <row r="859">
      <c r="A859" s="9" t="s">
        <v>213</v>
      </c>
      <c r="B859" s="10" t="s">
        <v>214</v>
      </c>
      <c r="C859" s="10" t="s">
        <v>18</v>
      </c>
      <c r="D859" s="10" t="s">
        <v>19</v>
      </c>
      <c r="E859" s="10" t="s">
        <v>20</v>
      </c>
      <c r="F859" s="10" t="s">
        <v>21</v>
      </c>
      <c r="G859" s="10" t="s">
        <v>22</v>
      </c>
      <c r="H859" s="10" t="s">
        <v>23</v>
      </c>
      <c r="I859" s="11">
        <v>333.0</v>
      </c>
      <c r="J859" s="11">
        <v>999.0</v>
      </c>
      <c r="K859" s="12">
        <f t="shared" si="1"/>
        <v>0.6666666667</v>
      </c>
      <c r="L859" s="13">
        <f>IFERROR(__xludf.DUMMYFUNCTION("GOOGLEFINANCE(""CURRENCY:INRBRL"") * I859
"),19.60759756854)</f>
        <v>19.60759757</v>
      </c>
      <c r="M859" s="9">
        <v>4.5</v>
      </c>
      <c r="N859" s="9">
        <v>9792.0</v>
      </c>
      <c r="O859" s="9" t="s">
        <v>215</v>
      </c>
      <c r="P859" s="14" t="s">
        <v>3412</v>
      </c>
      <c r="U859" s="17"/>
      <c r="V859" s="18"/>
      <c r="W859" s="16"/>
      <c r="X859" s="16"/>
      <c r="Y859" s="16"/>
    </row>
    <row r="860">
      <c r="A860" s="9" t="s">
        <v>3413</v>
      </c>
      <c r="B860" s="10" t="s">
        <v>3414</v>
      </c>
      <c r="C860" s="10" t="s">
        <v>3039</v>
      </c>
      <c r="D860" s="10" t="s">
        <v>2440</v>
      </c>
      <c r="E860" s="10" t="s">
        <v>2441</v>
      </c>
      <c r="F860" s="10" t="s">
        <v>2442</v>
      </c>
      <c r="G860" s="10" t="s">
        <v>2443</v>
      </c>
      <c r="H860" s="10" t="s">
        <v>2444</v>
      </c>
      <c r="I860" s="11">
        <v>178.0</v>
      </c>
      <c r="J860" s="11">
        <v>210.0</v>
      </c>
      <c r="K860" s="12">
        <f t="shared" si="1"/>
        <v>0.1523809524</v>
      </c>
      <c r="L860" s="13">
        <f>IFERROR(__xludf.DUMMYFUNCTION("GOOGLEFINANCE(""CURRENCY:INRBRL"") * I860
"),10.48093803964)</f>
        <v>10.48093804</v>
      </c>
      <c r="M860" s="9">
        <v>4.5</v>
      </c>
      <c r="N860" s="9">
        <v>245.0</v>
      </c>
      <c r="O860" s="9" t="s">
        <v>3415</v>
      </c>
      <c r="P860" s="14" t="s">
        <v>3416</v>
      </c>
      <c r="U860" s="17"/>
      <c r="V860" s="18"/>
      <c r="W860" s="16"/>
      <c r="X860" s="16"/>
      <c r="Y860" s="16"/>
    </row>
    <row r="861">
      <c r="A861" s="9" t="s">
        <v>3417</v>
      </c>
      <c r="B861" s="10" t="s">
        <v>3418</v>
      </c>
      <c r="C861" s="10" t="s">
        <v>1454</v>
      </c>
      <c r="D861" s="10" t="s">
        <v>77</v>
      </c>
      <c r="E861" s="10" t="s">
        <v>1455</v>
      </c>
      <c r="F861" s="10" t="s">
        <v>1456</v>
      </c>
      <c r="G861" s="10" t="s">
        <v>1457</v>
      </c>
      <c r="H861" s="10"/>
      <c r="I861" s="11">
        <v>1599.0</v>
      </c>
      <c r="J861" s="11">
        <v>3499.0</v>
      </c>
      <c r="K861" s="12">
        <f t="shared" si="1"/>
        <v>0.5430122892</v>
      </c>
      <c r="L861" s="13">
        <f>IFERROR(__xludf.DUMMYFUNCTION("GOOGLEFINANCE(""CURRENCY:INRBRL"") * I861
"),94.15179733362)</f>
        <v>94.15179733</v>
      </c>
      <c r="M861" s="9">
        <v>4.51</v>
      </c>
      <c r="N861" s="9">
        <v>676.0</v>
      </c>
      <c r="O861" s="9" t="s">
        <v>3419</v>
      </c>
      <c r="P861" s="14" t="s">
        <v>3420</v>
      </c>
      <c r="U861" s="17"/>
      <c r="V861" s="18"/>
      <c r="W861" s="16"/>
      <c r="X861" s="16"/>
      <c r="Y861" s="16"/>
    </row>
    <row r="862">
      <c r="A862" s="9" t="s">
        <v>3421</v>
      </c>
      <c r="B862" s="10" t="s">
        <v>3422</v>
      </c>
      <c r="C862" s="10" t="s">
        <v>1454</v>
      </c>
      <c r="D862" s="10" t="s">
        <v>77</v>
      </c>
      <c r="E862" s="10" t="s">
        <v>1455</v>
      </c>
      <c r="F862" s="10" t="s">
        <v>1456</v>
      </c>
      <c r="G862" s="10" t="s">
        <v>1457</v>
      </c>
      <c r="H862" s="10"/>
      <c r="I862" s="11">
        <v>499.0</v>
      </c>
      <c r="J862" s="11">
        <v>1299.0</v>
      </c>
      <c r="K862" s="12">
        <f t="shared" si="1"/>
        <v>0.6158583526</v>
      </c>
      <c r="L862" s="13">
        <f>IFERROR(__xludf.DUMMYFUNCTION("GOOGLEFINANCE(""CURRENCY:INRBRL"") * I862
"),29.38195551562)</f>
        <v>29.38195552</v>
      </c>
      <c r="M862" s="9">
        <v>4.52</v>
      </c>
      <c r="N862" s="9">
        <v>1173.0</v>
      </c>
      <c r="O862" s="9" t="s">
        <v>3423</v>
      </c>
      <c r="P862" s="14" t="s">
        <v>3424</v>
      </c>
      <c r="U862" s="17"/>
      <c r="V862" s="18"/>
      <c r="W862" s="16"/>
      <c r="X862" s="16"/>
      <c r="Y862" s="16"/>
    </row>
    <row r="863">
      <c r="A863" s="9" t="s">
        <v>3425</v>
      </c>
      <c r="B863" s="10" t="s">
        <v>3426</v>
      </c>
      <c r="C863" s="10" t="s">
        <v>2596</v>
      </c>
      <c r="D863" s="10" t="s">
        <v>19</v>
      </c>
      <c r="E863" s="10" t="s">
        <v>20</v>
      </c>
      <c r="F863" s="10" t="s">
        <v>2342</v>
      </c>
      <c r="G863" s="10" t="s">
        <v>2556</v>
      </c>
      <c r="H863" s="10" t="s">
        <v>2597</v>
      </c>
      <c r="I863" s="11">
        <v>199.0</v>
      </c>
      <c r="J863" s="11">
        <v>499.0</v>
      </c>
      <c r="K863" s="12">
        <f t="shared" si="1"/>
        <v>0.6012024048</v>
      </c>
      <c r="L863" s="13">
        <f>IFERROR(__xludf.DUMMYFUNCTION("GOOGLEFINANCE(""CURRENCY:INRBRL"") * I863
"),11.71745320162)</f>
        <v>11.7174532</v>
      </c>
      <c r="M863" s="9">
        <v>4.5</v>
      </c>
      <c r="N863" s="9">
        <v>9998.0</v>
      </c>
      <c r="O863" s="9" t="s">
        <v>3427</v>
      </c>
      <c r="P863" s="14" t="s">
        <v>3428</v>
      </c>
      <c r="U863" s="17"/>
      <c r="V863" s="18"/>
      <c r="W863" s="16"/>
      <c r="X863" s="16"/>
      <c r="Y863" s="16"/>
    </row>
    <row r="864">
      <c r="A864" s="9" t="s">
        <v>3429</v>
      </c>
      <c r="B864" s="10" t="s">
        <v>3430</v>
      </c>
      <c r="C864" s="10" t="s">
        <v>1388</v>
      </c>
      <c r="D864" s="10" t="s">
        <v>77</v>
      </c>
      <c r="E864" s="10" t="s">
        <v>1389</v>
      </c>
      <c r="F864" s="10" t="s">
        <v>1390</v>
      </c>
      <c r="G864" s="10"/>
      <c r="H864" s="10"/>
      <c r="I864" s="11">
        <v>2499.0</v>
      </c>
      <c r="J864" s="11">
        <v>5999.0</v>
      </c>
      <c r="K864" s="12">
        <f t="shared" si="1"/>
        <v>0.5834305718</v>
      </c>
      <c r="L864" s="13">
        <f>IFERROR(__xludf.DUMMYFUNCTION("GOOGLEFINANCE(""CURRENCY:INRBRL"") * I864
"),147.14530427562)</f>
        <v>147.1453043</v>
      </c>
      <c r="M864" s="9">
        <v>4.49</v>
      </c>
      <c r="N864" s="9">
        <v>5852.0</v>
      </c>
      <c r="O864" s="9" t="s">
        <v>3431</v>
      </c>
      <c r="P864" s="14" t="s">
        <v>3432</v>
      </c>
      <c r="U864" s="17"/>
      <c r="V864" s="18"/>
      <c r="W864" s="16"/>
      <c r="X864" s="16"/>
      <c r="Y864" s="16"/>
    </row>
    <row r="865">
      <c r="A865" s="9" t="s">
        <v>3433</v>
      </c>
      <c r="B865" s="10" t="s">
        <v>3434</v>
      </c>
      <c r="C865" s="10" t="s">
        <v>3435</v>
      </c>
      <c r="D865" s="10" t="s">
        <v>19</v>
      </c>
      <c r="E865" s="10" t="s">
        <v>3076</v>
      </c>
      <c r="F865" s="10" t="s">
        <v>3436</v>
      </c>
      <c r="G865" s="10"/>
      <c r="H865" s="10"/>
      <c r="I865" s="11">
        <v>199.0</v>
      </c>
      <c r="J865" s="11">
        <v>999.0</v>
      </c>
      <c r="K865" s="12">
        <f t="shared" si="1"/>
        <v>0.8008008008</v>
      </c>
      <c r="L865" s="13">
        <f>IFERROR(__xludf.DUMMYFUNCTION("GOOGLEFINANCE(""CURRENCY:INRBRL"") * I865
"),11.71745320162)</f>
        <v>11.7174532</v>
      </c>
      <c r="M865" s="9">
        <v>4.5</v>
      </c>
      <c r="N865" s="9">
        <v>362.0</v>
      </c>
      <c r="O865" s="9" t="s">
        <v>3437</v>
      </c>
      <c r="P865" s="14" t="s">
        <v>3438</v>
      </c>
      <c r="U865" s="17"/>
      <c r="V865" s="18"/>
      <c r="W865" s="16"/>
      <c r="X865" s="16"/>
      <c r="Y865" s="16"/>
    </row>
    <row r="866">
      <c r="A866" s="9" t="s">
        <v>3439</v>
      </c>
      <c r="B866" s="10" t="s">
        <v>3440</v>
      </c>
      <c r="C866" s="10" t="s">
        <v>1433</v>
      </c>
      <c r="D866" s="10" t="s">
        <v>77</v>
      </c>
      <c r="E866" s="10" t="s">
        <v>79</v>
      </c>
      <c r="F866" s="10" t="s">
        <v>1434</v>
      </c>
      <c r="G866" s="10" t="s">
        <v>1435</v>
      </c>
      <c r="H866" s="10"/>
      <c r="I866" s="11">
        <v>939.0</v>
      </c>
      <c r="J866" s="11">
        <v>1799.0</v>
      </c>
      <c r="K866" s="12">
        <f t="shared" si="1"/>
        <v>0.4780433574</v>
      </c>
      <c r="L866" s="13">
        <f>IFERROR(__xludf.DUMMYFUNCTION("GOOGLEFINANCE(""CURRENCY:INRBRL"") * I866
"),55.289892242819995)</f>
        <v>55.28989224</v>
      </c>
      <c r="M866" s="9">
        <v>4.51</v>
      </c>
      <c r="N866" s="9">
        <v>2051952.0</v>
      </c>
      <c r="O866" s="9" t="s">
        <v>3441</v>
      </c>
      <c r="P866" s="14" t="s">
        <v>3442</v>
      </c>
      <c r="U866" s="17"/>
      <c r="V866" s="18"/>
      <c r="W866" s="16"/>
      <c r="X866" s="16"/>
      <c r="Y866" s="16"/>
    </row>
    <row r="867">
      <c r="A867" s="9" t="s">
        <v>3443</v>
      </c>
      <c r="B867" s="10" t="s">
        <v>3444</v>
      </c>
      <c r="C867" s="10" t="s">
        <v>1388</v>
      </c>
      <c r="D867" s="10" t="s">
        <v>77</v>
      </c>
      <c r="E867" s="10" t="s">
        <v>1389</v>
      </c>
      <c r="F867" s="10" t="s">
        <v>1390</v>
      </c>
      <c r="G867" s="10"/>
      <c r="H867" s="10"/>
      <c r="I867" s="11">
        <v>2499.0</v>
      </c>
      <c r="J867" s="11">
        <v>9999.0</v>
      </c>
      <c r="K867" s="12">
        <f t="shared" si="1"/>
        <v>0.7500750075</v>
      </c>
      <c r="L867" s="13">
        <f>IFERROR(__xludf.DUMMYFUNCTION("GOOGLEFINANCE(""CURRENCY:INRBRL"") * I867
"),147.14530427562)</f>
        <v>147.1453043</v>
      </c>
      <c r="M867" s="9">
        <v>4.0</v>
      </c>
      <c r="N867" s="9">
        <v>909.0</v>
      </c>
      <c r="O867" s="9" t="s">
        <v>3445</v>
      </c>
      <c r="P867" s="14" t="s">
        <v>3446</v>
      </c>
      <c r="U867" s="17"/>
      <c r="V867" s="18"/>
      <c r="W867" s="16"/>
      <c r="X867" s="16"/>
      <c r="Y867" s="16"/>
    </row>
    <row r="868">
      <c r="A868" s="9" t="s">
        <v>3447</v>
      </c>
      <c r="B868" s="10" t="s">
        <v>3448</v>
      </c>
      <c r="C868" s="10" t="s">
        <v>2341</v>
      </c>
      <c r="D868" s="10" t="s">
        <v>19</v>
      </c>
      <c r="E868" s="10" t="s">
        <v>20</v>
      </c>
      <c r="F868" s="10" t="s">
        <v>2342</v>
      </c>
      <c r="G868" s="10" t="s">
        <v>2343</v>
      </c>
      <c r="H868" s="10"/>
      <c r="I868" s="11">
        <v>1439.0</v>
      </c>
      <c r="J868" s="11">
        <v>2899.0</v>
      </c>
      <c r="K868" s="12">
        <f t="shared" si="1"/>
        <v>0.5036219386</v>
      </c>
      <c r="L868" s="13">
        <f>IFERROR(__xludf.DUMMYFUNCTION("GOOGLEFINANCE(""CURRENCY:INRBRL"") * I868
"),84.73072943282)</f>
        <v>84.73072943</v>
      </c>
      <c r="M868" s="9">
        <v>4.51</v>
      </c>
      <c r="N868" s="9">
        <v>4099.0</v>
      </c>
      <c r="O868" s="9" t="s">
        <v>3449</v>
      </c>
      <c r="P868" s="14" t="s">
        <v>3450</v>
      </c>
      <c r="U868" s="17"/>
      <c r="V868" s="18"/>
      <c r="W868" s="16"/>
      <c r="X868" s="16"/>
      <c r="Y868" s="16"/>
    </row>
    <row r="869">
      <c r="A869" s="9" t="s">
        <v>3451</v>
      </c>
      <c r="B869" s="10" t="s">
        <v>3452</v>
      </c>
      <c r="C869" s="10" t="s">
        <v>1454</v>
      </c>
      <c r="D869" s="10" t="s">
        <v>77</v>
      </c>
      <c r="E869" s="10" t="s">
        <v>1455</v>
      </c>
      <c r="F869" s="10" t="s">
        <v>1456</v>
      </c>
      <c r="G869" s="10" t="s">
        <v>1457</v>
      </c>
      <c r="H869" s="10"/>
      <c r="I869" s="11">
        <v>1099.0</v>
      </c>
      <c r="J869" s="11">
        <v>5999.0</v>
      </c>
      <c r="K869" s="12">
        <f t="shared" si="1"/>
        <v>0.8168028005</v>
      </c>
      <c r="L869" s="13">
        <f>IFERROR(__xludf.DUMMYFUNCTION("GOOGLEFINANCE(""CURRENCY:INRBRL"") * I869
"),64.71096014362)</f>
        <v>64.71096014</v>
      </c>
      <c r="M869" s="9">
        <v>4.5</v>
      </c>
      <c r="N869" s="9">
        <v>12966.0</v>
      </c>
      <c r="O869" s="9" t="s">
        <v>2566</v>
      </c>
      <c r="P869" s="14" t="s">
        <v>3453</v>
      </c>
      <c r="U869" s="17"/>
      <c r="V869" s="18"/>
      <c r="W869" s="16"/>
      <c r="X869" s="16"/>
      <c r="Y869" s="16"/>
    </row>
    <row r="870">
      <c r="A870" s="9" t="s">
        <v>3454</v>
      </c>
      <c r="B870" s="10" t="s">
        <v>3455</v>
      </c>
      <c r="C870" s="10" t="s">
        <v>2718</v>
      </c>
      <c r="D870" s="10" t="s">
        <v>2440</v>
      </c>
      <c r="E870" s="10" t="s">
        <v>2441</v>
      </c>
      <c r="F870" s="10" t="s">
        <v>2442</v>
      </c>
      <c r="G870" s="10" t="s">
        <v>2443</v>
      </c>
      <c r="H870" s="10" t="s">
        <v>2719</v>
      </c>
      <c r="I870" s="11">
        <v>157.0</v>
      </c>
      <c r="J870" s="11">
        <v>160.0</v>
      </c>
      <c r="K870" s="12">
        <f t="shared" si="1"/>
        <v>0.01875</v>
      </c>
      <c r="L870" s="13">
        <f>IFERROR(__xludf.DUMMYFUNCTION("GOOGLEFINANCE(""CURRENCY:INRBRL"") * I870
"),9.24442287766)</f>
        <v>9.244422878</v>
      </c>
      <c r="M870" s="9">
        <v>4.51</v>
      </c>
      <c r="N870" s="9">
        <v>4428.0</v>
      </c>
      <c r="O870" s="9" t="s">
        <v>3456</v>
      </c>
      <c r="P870" s="14" t="s">
        <v>3457</v>
      </c>
      <c r="U870" s="17"/>
      <c r="V870" s="18"/>
      <c r="W870" s="16"/>
      <c r="X870" s="16"/>
      <c r="Y870" s="16"/>
    </row>
    <row r="871">
      <c r="A871" s="9" t="s">
        <v>205</v>
      </c>
      <c r="B871" s="10" t="s">
        <v>206</v>
      </c>
      <c r="C871" s="10" t="s">
        <v>56</v>
      </c>
      <c r="D871" s="10" t="s">
        <v>19</v>
      </c>
      <c r="E871" s="10" t="s">
        <v>57</v>
      </c>
      <c r="F871" s="10" t="s">
        <v>58</v>
      </c>
      <c r="G871" s="10" t="s">
        <v>59</v>
      </c>
      <c r="H871" s="10"/>
      <c r="I871" s="11">
        <v>999.0</v>
      </c>
      <c r="J871" s="11">
        <v>1599.0</v>
      </c>
      <c r="K871" s="12">
        <f t="shared" si="1"/>
        <v>0.3752345216</v>
      </c>
      <c r="L871" s="13">
        <f>IFERROR(__xludf.DUMMYFUNCTION("GOOGLEFINANCE(""CURRENCY:INRBRL"") * I871
"),58.822792705619996)</f>
        <v>58.82279271</v>
      </c>
      <c r="M871" s="9">
        <v>4.5</v>
      </c>
      <c r="N871" s="9">
        <v>12093.0</v>
      </c>
      <c r="O871" s="9" t="s">
        <v>207</v>
      </c>
      <c r="P871" s="14" t="s">
        <v>3458</v>
      </c>
      <c r="U871" s="17"/>
      <c r="V871" s="18"/>
      <c r="W871" s="16"/>
      <c r="X871" s="16"/>
      <c r="Y871" s="16"/>
    </row>
    <row r="872">
      <c r="A872" s="9" t="s">
        <v>3459</v>
      </c>
      <c r="B872" s="10" t="s">
        <v>3460</v>
      </c>
      <c r="C872" s="10" t="s">
        <v>2555</v>
      </c>
      <c r="D872" s="10" t="s">
        <v>19</v>
      </c>
      <c r="E872" s="10" t="s">
        <v>20</v>
      </c>
      <c r="F872" s="10" t="s">
        <v>2342</v>
      </c>
      <c r="G872" s="10" t="s">
        <v>2556</v>
      </c>
      <c r="H872" s="10" t="s">
        <v>2557</v>
      </c>
      <c r="I872" s="11">
        <v>115.0</v>
      </c>
      <c r="J872" s="11">
        <v>999.0</v>
      </c>
      <c r="K872" s="12">
        <f t="shared" si="1"/>
        <v>0.8848848849</v>
      </c>
      <c r="L872" s="13">
        <f>IFERROR(__xludf.DUMMYFUNCTION("GOOGLEFINANCE(""CURRENCY:INRBRL"") * I872
"),6.7713925537)</f>
        <v>6.771392554</v>
      </c>
      <c r="M872" s="9">
        <v>4.5</v>
      </c>
      <c r="N872" s="9">
        <v>5692.0</v>
      </c>
      <c r="O872" s="9" t="s">
        <v>3461</v>
      </c>
      <c r="P872" s="14" t="s">
        <v>3462</v>
      </c>
      <c r="U872" s="17"/>
      <c r="V872" s="18"/>
      <c r="W872" s="16"/>
      <c r="X872" s="16"/>
      <c r="Y872" s="16"/>
    </row>
    <row r="873">
      <c r="A873" s="9" t="s">
        <v>3463</v>
      </c>
      <c r="B873" s="10" t="s">
        <v>3464</v>
      </c>
      <c r="C873" s="10" t="s">
        <v>2348</v>
      </c>
      <c r="D873" s="10" t="s">
        <v>19</v>
      </c>
      <c r="E873" s="10" t="s">
        <v>20</v>
      </c>
      <c r="F873" s="10" t="s">
        <v>2342</v>
      </c>
      <c r="G873" s="10" t="s">
        <v>2349</v>
      </c>
      <c r="H873" s="10"/>
      <c r="I873" s="11">
        <v>175.0</v>
      </c>
      <c r="J873" s="11">
        <v>499.0</v>
      </c>
      <c r="K873" s="12">
        <f t="shared" si="1"/>
        <v>0.6492985972</v>
      </c>
      <c r="L873" s="13">
        <f>IFERROR(__xludf.DUMMYFUNCTION("GOOGLEFINANCE(""CURRENCY:INRBRL"") * I873
"),10.304293016499999)</f>
        <v>10.30429302</v>
      </c>
      <c r="M873" s="9">
        <v>4.49</v>
      </c>
      <c r="N873" s="9">
        <v>21.0</v>
      </c>
      <c r="O873" s="9" t="s">
        <v>3465</v>
      </c>
      <c r="P873" s="14" t="s">
        <v>3466</v>
      </c>
      <c r="U873" s="17"/>
      <c r="V873" s="18"/>
      <c r="W873" s="16"/>
      <c r="X873" s="16"/>
      <c r="Y873" s="16"/>
    </row>
    <row r="874">
      <c r="A874" s="9" t="s">
        <v>3467</v>
      </c>
      <c r="B874" s="10" t="s">
        <v>3468</v>
      </c>
      <c r="C874" s="10" t="s">
        <v>2850</v>
      </c>
      <c r="D874" s="10" t="s">
        <v>77</v>
      </c>
      <c r="E874" s="10" t="s">
        <v>2483</v>
      </c>
      <c r="F874" s="10" t="s">
        <v>2851</v>
      </c>
      <c r="G874" s="10" t="s">
        <v>2852</v>
      </c>
      <c r="H874" s="10"/>
      <c r="I874" s="11">
        <v>1999.0</v>
      </c>
      <c r="J874" s="11">
        <v>4699.0</v>
      </c>
      <c r="K874" s="12">
        <f t="shared" si="1"/>
        <v>0.5745903384</v>
      </c>
      <c r="L874" s="13">
        <f>IFERROR(__xludf.DUMMYFUNCTION("GOOGLEFINANCE(""CURRENCY:INRBRL"") * I874
"),117.70446708562)</f>
        <v>117.7044671</v>
      </c>
      <c r="M874" s="9">
        <v>4.51</v>
      </c>
      <c r="N874" s="9">
        <v>188.0</v>
      </c>
      <c r="O874" s="9" t="s">
        <v>3469</v>
      </c>
      <c r="P874" s="14" t="s">
        <v>3470</v>
      </c>
      <c r="U874" s="17"/>
      <c r="V874" s="18"/>
      <c r="W874" s="16"/>
      <c r="X874" s="16"/>
      <c r="Y874" s="16"/>
    </row>
    <row r="875">
      <c r="A875" s="9" t="s">
        <v>3471</v>
      </c>
      <c r="B875" s="10" t="s">
        <v>3472</v>
      </c>
      <c r="C875" s="10" t="s">
        <v>3473</v>
      </c>
      <c r="D875" s="10" t="s">
        <v>19</v>
      </c>
      <c r="E875" s="10" t="s">
        <v>2547</v>
      </c>
      <c r="F875" s="10" t="s">
        <v>3474</v>
      </c>
      <c r="G875" s="10"/>
      <c r="H875" s="10"/>
      <c r="I875" s="11">
        <v>3999.0</v>
      </c>
      <c r="J875" s="11">
        <v>4971.0</v>
      </c>
      <c r="K875" s="12">
        <f t="shared" si="1"/>
        <v>0.1955340978</v>
      </c>
      <c r="L875" s="13">
        <f>IFERROR(__xludf.DUMMYFUNCTION("GOOGLEFINANCE(""CURRENCY:INRBRL"") * I875
"),235.46781584561998)</f>
        <v>235.4678158</v>
      </c>
      <c r="M875" s="9">
        <v>4.5</v>
      </c>
      <c r="N875" s="9">
        <v>21762.0</v>
      </c>
      <c r="O875" s="9" t="s">
        <v>3475</v>
      </c>
      <c r="P875" s="14" t="s">
        <v>3476</v>
      </c>
      <c r="U875" s="17"/>
      <c r="V875" s="18"/>
      <c r="W875" s="16"/>
      <c r="X875" s="16"/>
      <c r="Y875" s="16"/>
    </row>
    <row r="876">
      <c r="A876" s="9" t="s">
        <v>3477</v>
      </c>
      <c r="B876" s="10" t="s">
        <v>3478</v>
      </c>
      <c r="C876" s="10" t="s">
        <v>2638</v>
      </c>
      <c r="D876" s="10" t="s">
        <v>19</v>
      </c>
      <c r="E876" s="10" t="s">
        <v>57</v>
      </c>
      <c r="F876" s="10" t="s">
        <v>2639</v>
      </c>
      <c r="G876" s="10"/>
      <c r="H876" s="10"/>
      <c r="I876" s="11">
        <v>899.0</v>
      </c>
      <c r="J876" s="11">
        <v>1799.0</v>
      </c>
      <c r="K876" s="12">
        <f t="shared" si="1"/>
        <v>0.5002779322</v>
      </c>
      <c r="L876" s="13">
        <f>IFERROR(__xludf.DUMMYFUNCTION("GOOGLEFINANCE(""CURRENCY:INRBRL"") * I876
"),52.93462526762)</f>
        <v>52.93462527</v>
      </c>
      <c r="M876" s="9">
        <v>4.49</v>
      </c>
      <c r="N876" s="9">
        <v>22375.0</v>
      </c>
      <c r="O876" s="9" t="s">
        <v>3479</v>
      </c>
      <c r="P876" s="14" t="s">
        <v>3480</v>
      </c>
      <c r="U876" s="17"/>
      <c r="V876" s="18"/>
      <c r="W876" s="16"/>
      <c r="X876" s="16"/>
      <c r="Y876" s="16"/>
    </row>
    <row r="877">
      <c r="A877" s="9" t="s">
        <v>3481</v>
      </c>
      <c r="B877" s="10" t="s">
        <v>3482</v>
      </c>
      <c r="C877" s="10" t="s">
        <v>2596</v>
      </c>
      <c r="D877" s="10" t="s">
        <v>19</v>
      </c>
      <c r="E877" s="10" t="s">
        <v>20</v>
      </c>
      <c r="F877" s="10" t="s">
        <v>2342</v>
      </c>
      <c r="G877" s="10" t="s">
        <v>2556</v>
      </c>
      <c r="H877" s="10" t="s">
        <v>2597</v>
      </c>
      <c r="I877" s="11">
        <v>299.0</v>
      </c>
      <c r="J877" s="11">
        <v>990.0</v>
      </c>
      <c r="K877" s="12">
        <f t="shared" si="1"/>
        <v>0.697979798</v>
      </c>
      <c r="L877" s="13">
        <f>IFERROR(__xludf.DUMMYFUNCTION("GOOGLEFINANCE(""CURRENCY:INRBRL"") * I877
"),17.60562063962)</f>
        <v>17.60562064</v>
      </c>
      <c r="M877" s="9">
        <v>4.51</v>
      </c>
      <c r="N877" s="9">
        <v>2453.0</v>
      </c>
      <c r="O877" s="9" t="s">
        <v>3483</v>
      </c>
      <c r="P877" s="14" t="s">
        <v>3484</v>
      </c>
      <c r="U877" s="17"/>
      <c r="V877" s="18"/>
      <c r="W877" s="16"/>
      <c r="X877" s="16"/>
      <c r="Y877" s="16"/>
    </row>
    <row r="878">
      <c r="A878" s="9" t="s">
        <v>3485</v>
      </c>
      <c r="B878" s="10" t="s">
        <v>3486</v>
      </c>
      <c r="C878" s="10" t="s">
        <v>2348</v>
      </c>
      <c r="D878" s="10" t="s">
        <v>19</v>
      </c>
      <c r="E878" s="10" t="s">
        <v>20</v>
      </c>
      <c r="F878" s="10" t="s">
        <v>2342</v>
      </c>
      <c r="G878" s="10" t="s">
        <v>2349</v>
      </c>
      <c r="H878" s="10"/>
      <c r="I878" s="11">
        <v>3303.0</v>
      </c>
      <c r="J878" s="11">
        <v>4699.0</v>
      </c>
      <c r="K878" s="12">
        <f t="shared" si="1"/>
        <v>0.2970844861</v>
      </c>
      <c r="L878" s="13">
        <f>IFERROR(__xludf.DUMMYFUNCTION("GOOGLEFINANCE(""CURRENCY:INRBRL"") * I878
"),194.48617047714)</f>
        <v>194.4861705</v>
      </c>
      <c r="M878" s="9">
        <v>4.5</v>
      </c>
      <c r="N878" s="9">
        <v>13544.0</v>
      </c>
      <c r="O878" s="9" t="s">
        <v>3487</v>
      </c>
      <c r="P878" s="14" t="s">
        <v>3488</v>
      </c>
      <c r="U878" s="17"/>
      <c r="V878" s="18"/>
      <c r="W878" s="16"/>
      <c r="X878" s="16"/>
      <c r="Y878" s="16"/>
    </row>
    <row r="879">
      <c r="A879" s="9" t="s">
        <v>3489</v>
      </c>
      <c r="B879" s="10" t="s">
        <v>3490</v>
      </c>
      <c r="C879" s="10" t="s">
        <v>3155</v>
      </c>
      <c r="D879" s="10" t="s">
        <v>19</v>
      </c>
      <c r="E879" s="10" t="s">
        <v>20</v>
      </c>
      <c r="F879" s="10" t="s">
        <v>2960</v>
      </c>
      <c r="G879" s="10" t="s">
        <v>3156</v>
      </c>
      <c r="H879" s="10" t="s">
        <v>3157</v>
      </c>
      <c r="I879" s="11">
        <v>1899.0</v>
      </c>
      <c r="J879" s="11">
        <v>5499.0</v>
      </c>
      <c r="K879" s="12">
        <f t="shared" si="1"/>
        <v>0.6546644845</v>
      </c>
      <c r="L879" s="13">
        <f>IFERROR(__xludf.DUMMYFUNCTION("GOOGLEFINANCE(""CURRENCY:INRBRL"") * I879
"),111.81629964762)</f>
        <v>111.8162996</v>
      </c>
      <c r="M879" s="9">
        <v>4.49</v>
      </c>
      <c r="N879" s="9">
        <v>10976.0</v>
      </c>
      <c r="O879" s="9" t="s">
        <v>3491</v>
      </c>
      <c r="P879" s="14" t="s">
        <v>3492</v>
      </c>
      <c r="U879" s="17"/>
      <c r="V879" s="18"/>
      <c r="W879" s="16"/>
      <c r="X879" s="16"/>
      <c r="Y879" s="16"/>
    </row>
    <row r="880">
      <c r="A880" s="9" t="s">
        <v>3493</v>
      </c>
      <c r="B880" s="10" t="s">
        <v>3494</v>
      </c>
      <c r="C880" s="10" t="s">
        <v>3005</v>
      </c>
      <c r="D880" s="10" t="s">
        <v>2440</v>
      </c>
      <c r="E880" s="10" t="s">
        <v>2441</v>
      </c>
      <c r="F880" s="10" t="s">
        <v>2442</v>
      </c>
      <c r="G880" s="10" t="s">
        <v>2443</v>
      </c>
      <c r="H880" s="10" t="s">
        <v>2444</v>
      </c>
      <c r="I880" s="11">
        <v>90.0</v>
      </c>
      <c r="J880" s="11">
        <v>100.0</v>
      </c>
      <c r="K880" s="12">
        <f t="shared" si="1"/>
        <v>0.1</v>
      </c>
      <c r="L880" s="13">
        <f>IFERROR(__xludf.DUMMYFUNCTION("GOOGLEFINANCE(""CURRENCY:INRBRL"") * I880
"),5.2993506942)</f>
        <v>5.299350694</v>
      </c>
      <c r="M880" s="9">
        <v>4.5</v>
      </c>
      <c r="N880" s="9">
        <v>3061.0</v>
      </c>
      <c r="O880" s="9" t="s">
        <v>3495</v>
      </c>
      <c r="P880" s="14" t="s">
        <v>3496</v>
      </c>
      <c r="U880" s="17"/>
      <c r="V880" s="18"/>
      <c r="W880" s="16"/>
      <c r="X880" s="16"/>
      <c r="Y880" s="16"/>
    </row>
    <row r="881">
      <c r="A881" s="9" t="s">
        <v>3497</v>
      </c>
      <c r="B881" s="10" t="s">
        <v>3498</v>
      </c>
      <c r="C881" s="10" t="s">
        <v>1454</v>
      </c>
      <c r="D881" s="10" t="s">
        <v>77</v>
      </c>
      <c r="E881" s="10" t="s">
        <v>1455</v>
      </c>
      <c r="F881" s="10" t="s">
        <v>1456</v>
      </c>
      <c r="G881" s="10" t="s">
        <v>1457</v>
      </c>
      <c r="H881" s="10"/>
      <c r="I881" s="11">
        <v>1599.0</v>
      </c>
      <c r="J881" s="11">
        <v>2799.0</v>
      </c>
      <c r="K881" s="12">
        <f t="shared" si="1"/>
        <v>0.4287245445</v>
      </c>
      <c r="L881" s="13">
        <f>IFERROR(__xludf.DUMMYFUNCTION("GOOGLEFINANCE(""CURRENCY:INRBRL"") * I881
"),94.15179733362)</f>
        <v>94.15179733</v>
      </c>
      <c r="M881" s="9">
        <v>4.51</v>
      </c>
      <c r="N881" s="9">
        <v>2272.0</v>
      </c>
      <c r="O881" s="9" t="s">
        <v>3499</v>
      </c>
      <c r="P881" s="14" t="s">
        <v>3500</v>
      </c>
      <c r="U881" s="17"/>
      <c r="V881" s="18"/>
      <c r="W881" s="16"/>
      <c r="X881" s="16"/>
      <c r="Y881" s="16"/>
    </row>
    <row r="882">
      <c r="A882" s="9" t="s">
        <v>3501</v>
      </c>
      <c r="B882" s="10" t="s">
        <v>3502</v>
      </c>
      <c r="C882" s="10" t="s">
        <v>3170</v>
      </c>
      <c r="D882" s="10" t="s">
        <v>19</v>
      </c>
      <c r="E882" s="10" t="s">
        <v>20</v>
      </c>
      <c r="F882" s="10" t="s">
        <v>2157</v>
      </c>
      <c r="G882" s="10" t="s">
        <v>3171</v>
      </c>
      <c r="H882" s="10"/>
      <c r="I882" s="11">
        <v>599.0</v>
      </c>
      <c r="J882" s="11">
        <v>999.0</v>
      </c>
      <c r="K882" s="12">
        <f t="shared" si="1"/>
        <v>0.4004004004</v>
      </c>
      <c r="L882" s="13">
        <f>IFERROR(__xludf.DUMMYFUNCTION("GOOGLEFINANCE(""CURRENCY:INRBRL"") * I882
"),35.270122953619996)</f>
        <v>35.27012295</v>
      </c>
      <c r="M882" s="9">
        <v>4.0</v>
      </c>
      <c r="N882" s="9">
        <v>7601.0</v>
      </c>
      <c r="O882" s="9" t="s">
        <v>3503</v>
      </c>
      <c r="P882" s="14" t="s">
        <v>3504</v>
      </c>
      <c r="U882" s="17"/>
      <c r="V882" s="18"/>
      <c r="W882" s="16"/>
      <c r="X882" s="16"/>
      <c r="Y882" s="16"/>
    </row>
    <row r="883">
      <c r="A883" s="9" t="s">
        <v>217</v>
      </c>
      <c r="B883" s="10" t="s">
        <v>218</v>
      </c>
      <c r="C883" s="10" t="s">
        <v>56</v>
      </c>
      <c r="D883" s="10" t="s">
        <v>19</v>
      </c>
      <c r="E883" s="10" t="s">
        <v>57</v>
      </c>
      <c r="F883" s="10" t="s">
        <v>58</v>
      </c>
      <c r="G883" s="10" t="s">
        <v>59</v>
      </c>
      <c r="H883" s="10"/>
      <c r="I883" s="11">
        <v>507.0</v>
      </c>
      <c r="J883" s="11">
        <v>1208.0</v>
      </c>
      <c r="K883" s="12">
        <f t="shared" si="1"/>
        <v>0.5802980132</v>
      </c>
      <c r="L883" s="13">
        <f>IFERROR(__xludf.DUMMYFUNCTION("GOOGLEFINANCE(""CURRENCY:INRBRL"") * I883
"),29.853008910659998)</f>
        <v>29.85300891</v>
      </c>
      <c r="M883" s="9">
        <v>4.49</v>
      </c>
      <c r="N883" s="9">
        <v>8131.0</v>
      </c>
      <c r="O883" s="9" t="s">
        <v>219</v>
      </c>
      <c r="P883" s="14" t="s">
        <v>3505</v>
      </c>
      <c r="U883" s="17"/>
      <c r="V883" s="18"/>
      <c r="W883" s="16"/>
      <c r="X883" s="16"/>
      <c r="Y883" s="16"/>
    </row>
    <row r="884">
      <c r="A884" s="9" t="s">
        <v>3506</v>
      </c>
      <c r="B884" s="10" t="s">
        <v>3507</v>
      </c>
      <c r="C884" s="10" t="s">
        <v>2596</v>
      </c>
      <c r="D884" s="10" t="s">
        <v>19</v>
      </c>
      <c r="E884" s="10" t="s">
        <v>20</v>
      </c>
      <c r="F884" s="10" t="s">
        <v>2342</v>
      </c>
      <c r="G884" s="10" t="s">
        <v>2556</v>
      </c>
      <c r="H884" s="10" t="s">
        <v>2597</v>
      </c>
      <c r="I884" s="11">
        <v>425.0</v>
      </c>
      <c r="J884" s="11">
        <v>899.0</v>
      </c>
      <c r="K884" s="12">
        <f t="shared" si="1"/>
        <v>0.5272525028</v>
      </c>
      <c r="L884" s="13">
        <f>IFERROR(__xludf.DUMMYFUNCTION("GOOGLEFINANCE(""CURRENCY:INRBRL"") * I884
"),25.0247116115)</f>
        <v>25.02471161</v>
      </c>
      <c r="M884" s="9">
        <v>4.51</v>
      </c>
      <c r="N884" s="9">
        <v>4219.0</v>
      </c>
      <c r="O884" s="9" t="s">
        <v>3508</v>
      </c>
      <c r="P884" s="14" t="s">
        <v>3509</v>
      </c>
      <c r="U884" s="17"/>
      <c r="V884" s="18"/>
      <c r="W884" s="16"/>
      <c r="X884" s="16"/>
      <c r="Y884" s="16"/>
    </row>
    <row r="885">
      <c r="A885" s="9" t="s">
        <v>3510</v>
      </c>
      <c r="B885" s="10" t="s">
        <v>3511</v>
      </c>
      <c r="C885" s="10" t="s">
        <v>2142</v>
      </c>
      <c r="D885" s="10" t="s">
        <v>77</v>
      </c>
      <c r="E885" s="10" t="s">
        <v>1455</v>
      </c>
      <c r="F885" s="10" t="s">
        <v>1456</v>
      </c>
      <c r="G885" s="10" t="s">
        <v>2143</v>
      </c>
      <c r="H885" s="10"/>
      <c r="I885" s="11">
        <v>1499.0</v>
      </c>
      <c r="J885" s="11">
        <v>3999.0</v>
      </c>
      <c r="K885" s="12">
        <f t="shared" si="1"/>
        <v>0.6251562891</v>
      </c>
      <c r="L885" s="13">
        <f>IFERROR(__xludf.DUMMYFUNCTION("GOOGLEFINANCE(""CURRENCY:INRBRL"") * I885
"),88.26362989562)</f>
        <v>88.2636299</v>
      </c>
      <c r="M885" s="9">
        <v>4.5</v>
      </c>
      <c r="N885" s="9">
        <v>42775.0</v>
      </c>
      <c r="O885" s="9" t="s">
        <v>3512</v>
      </c>
      <c r="P885" s="14" t="s">
        <v>3513</v>
      </c>
      <c r="U885" s="17"/>
      <c r="V885" s="18"/>
      <c r="W885" s="16"/>
      <c r="X885" s="16"/>
      <c r="Y885" s="16"/>
    </row>
    <row r="886">
      <c r="A886" s="9" t="s">
        <v>3514</v>
      </c>
      <c r="B886" s="10" t="s">
        <v>3515</v>
      </c>
      <c r="C886" s="10" t="s">
        <v>3377</v>
      </c>
      <c r="D886" s="10" t="s">
        <v>19</v>
      </c>
      <c r="E886" s="10" t="s">
        <v>20</v>
      </c>
      <c r="F886" s="10" t="s">
        <v>2894</v>
      </c>
      <c r="G886" s="10" t="s">
        <v>3378</v>
      </c>
      <c r="H886" s="10" t="s">
        <v>3122</v>
      </c>
      <c r="I886" s="11">
        <v>549.0</v>
      </c>
      <c r="J886" s="11">
        <v>2499.0</v>
      </c>
      <c r="K886" s="12">
        <f t="shared" si="1"/>
        <v>0.7803121248</v>
      </c>
      <c r="L886" s="13">
        <f>IFERROR(__xludf.DUMMYFUNCTION("GOOGLEFINANCE(""CURRENCY:INRBRL"") * I886
"),32.32603923462)</f>
        <v>32.32603923</v>
      </c>
      <c r="M886" s="9">
        <v>4.5</v>
      </c>
      <c r="N886" s="9">
        <v>5556.0</v>
      </c>
      <c r="O886" s="9" t="s">
        <v>3516</v>
      </c>
      <c r="P886" s="14" t="s">
        <v>3517</v>
      </c>
      <c r="U886" s="17"/>
      <c r="V886" s="18"/>
      <c r="W886" s="16"/>
      <c r="X886" s="16"/>
      <c r="Y886" s="16"/>
    </row>
    <row r="887">
      <c r="A887" s="9" t="s">
        <v>231</v>
      </c>
      <c r="B887" s="10" t="s">
        <v>232</v>
      </c>
      <c r="C887" s="10" t="s">
        <v>18</v>
      </c>
      <c r="D887" s="10" t="s">
        <v>19</v>
      </c>
      <c r="E887" s="10" t="s">
        <v>20</v>
      </c>
      <c r="F887" s="10" t="s">
        <v>21</v>
      </c>
      <c r="G887" s="10" t="s">
        <v>22</v>
      </c>
      <c r="H887" s="10" t="s">
        <v>23</v>
      </c>
      <c r="I887" s="11">
        <v>199.0</v>
      </c>
      <c r="J887" s="11">
        <v>395.0</v>
      </c>
      <c r="K887" s="12">
        <f t="shared" si="1"/>
        <v>0.4962025316</v>
      </c>
      <c r="L887" s="13">
        <f>IFERROR(__xludf.DUMMYFUNCTION("GOOGLEFINANCE(""CURRENCY:INRBRL"") * I887
"),11.71745320162)</f>
        <v>11.7174532</v>
      </c>
      <c r="M887" s="9">
        <v>4.5</v>
      </c>
      <c r="N887" s="9">
        <v>92595.0</v>
      </c>
      <c r="O887" s="9" t="s">
        <v>233</v>
      </c>
      <c r="P887" s="14" t="s">
        <v>3518</v>
      </c>
      <c r="U887" s="17"/>
      <c r="V887" s="18"/>
      <c r="W887" s="16"/>
      <c r="X887" s="16"/>
      <c r="Y887" s="16"/>
    </row>
    <row r="888">
      <c r="A888" s="9" t="s">
        <v>3519</v>
      </c>
      <c r="B888" s="10" t="s">
        <v>3520</v>
      </c>
      <c r="C888" s="10" t="s">
        <v>2341</v>
      </c>
      <c r="D888" s="10" t="s">
        <v>19</v>
      </c>
      <c r="E888" s="10" t="s">
        <v>20</v>
      </c>
      <c r="F888" s="10" t="s">
        <v>2342</v>
      </c>
      <c r="G888" s="10" t="s">
        <v>2343</v>
      </c>
      <c r="H888" s="10"/>
      <c r="I888" s="11">
        <v>1295.0</v>
      </c>
      <c r="J888" s="11">
        <v>1645.0</v>
      </c>
      <c r="K888" s="12">
        <f t="shared" si="1"/>
        <v>0.2127659574</v>
      </c>
      <c r="L888" s="13">
        <f>IFERROR(__xludf.DUMMYFUNCTION("GOOGLEFINANCE(""CURRENCY:INRBRL"") * I888
"),76.25176832209999)</f>
        <v>76.25176832</v>
      </c>
      <c r="M888" s="9">
        <v>4.51</v>
      </c>
      <c r="N888" s="9">
        <v>12375.0</v>
      </c>
      <c r="O888" s="9" t="s">
        <v>3521</v>
      </c>
      <c r="P888" s="14" t="s">
        <v>3522</v>
      </c>
      <c r="U888" s="17"/>
      <c r="V888" s="18"/>
      <c r="W888" s="16"/>
      <c r="X888" s="16"/>
      <c r="Y888" s="16"/>
    </row>
    <row r="889">
      <c r="A889" s="9" t="s">
        <v>3523</v>
      </c>
      <c r="B889" s="10" t="s">
        <v>3524</v>
      </c>
      <c r="C889" s="10" t="s">
        <v>2589</v>
      </c>
      <c r="D889" s="10" t="s">
        <v>2450</v>
      </c>
      <c r="E889" s="10" t="s">
        <v>2451</v>
      </c>
      <c r="F889" s="10" t="s">
        <v>2590</v>
      </c>
      <c r="G889" s="10" t="s">
        <v>2591</v>
      </c>
      <c r="H889" s="10"/>
      <c r="I889" s="11">
        <v>310.0</v>
      </c>
      <c r="J889" s="11">
        <v>310.0</v>
      </c>
      <c r="K889" s="12">
        <f t="shared" si="1"/>
        <v>0</v>
      </c>
      <c r="L889" s="13">
        <f>IFERROR(__xludf.DUMMYFUNCTION("GOOGLEFINANCE(""CURRENCY:INRBRL"") * I889
"),18.2533190578)</f>
        <v>18.25331906</v>
      </c>
      <c r="M889" s="9">
        <v>4.51</v>
      </c>
      <c r="N889" s="9">
        <v>5882.0</v>
      </c>
      <c r="O889" s="9" t="s">
        <v>3525</v>
      </c>
      <c r="P889" s="14" t="s">
        <v>3526</v>
      </c>
      <c r="U889" s="17"/>
      <c r="V889" s="18"/>
      <c r="W889" s="16"/>
      <c r="X889" s="16"/>
      <c r="Y889" s="16"/>
    </row>
    <row r="890">
      <c r="A890" s="9" t="s">
        <v>2154</v>
      </c>
      <c r="B890" s="10" t="s">
        <v>2155</v>
      </c>
      <c r="C890" s="10" t="s">
        <v>2156</v>
      </c>
      <c r="D890" s="10" t="s">
        <v>19</v>
      </c>
      <c r="E890" s="10" t="s">
        <v>20</v>
      </c>
      <c r="F890" s="10" t="s">
        <v>2157</v>
      </c>
      <c r="G890" s="10" t="s">
        <v>2158</v>
      </c>
      <c r="H890" s="10"/>
      <c r="I890" s="11">
        <v>149.0</v>
      </c>
      <c r="J890" s="11">
        <v>149.0</v>
      </c>
      <c r="K890" s="12">
        <f t="shared" si="1"/>
        <v>0</v>
      </c>
      <c r="L890" s="13">
        <f>IFERROR(__xludf.DUMMYFUNCTION("GOOGLEFINANCE(""CURRENCY:INRBRL"") * I890
"),8.77336948262)</f>
        <v>8.773369483</v>
      </c>
      <c r="M890" s="9">
        <v>4.5</v>
      </c>
      <c r="N890" s="9">
        <v>10833.0</v>
      </c>
      <c r="O890" s="9" t="s">
        <v>2159</v>
      </c>
      <c r="P890" s="14" t="s">
        <v>3527</v>
      </c>
      <c r="U890" s="17"/>
      <c r="V890" s="18"/>
      <c r="W890" s="16"/>
      <c r="X890" s="16"/>
      <c r="Y890" s="16"/>
    </row>
    <row r="891">
      <c r="A891" s="9" t="s">
        <v>3528</v>
      </c>
      <c r="B891" s="10" t="s">
        <v>3529</v>
      </c>
      <c r="C891" s="10" t="s">
        <v>2467</v>
      </c>
      <c r="D891" s="10" t="s">
        <v>19</v>
      </c>
      <c r="E891" s="10" t="s">
        <v>20</v>
      </c>
      <c r="F891" s="10" t="s">
        <v>2342</v>
      </c>
      <c r="G891" s="10" t="s">
        <v>2468</v>
      </c>
      <c r="H891" s="10"/>
      <c r="I891" s="11">
        <v>1149.0</v>
      </c>
      <c r="J891" s="11">
        <v>1499.0</v>
      </c>
      <c r="K891" s="12">
        <f t="shared" si="1"/>
        <v>0.2334889927</v>
      </c>
      <c r="L891" s="13">
        <f>IFERROR(__xludf.DUMMYFUNCTION("GOOGLEFINANCE(""CURRENCY:INRBRL"") * I891
"),67.65504386262)</f>
        <v>67.65504386</v>
      </c>
      <c r="M891" s="9">
        <v>4.49</v>
      </c>
      <c r="N891" s="9">
        <v>10443.0</v>
      </c>
      <c r="O891" s="9" t="s">
        <v>3530</v>
      </c>
      <c r="P891" s="14" t="s">
        <v>3531</v>
      </c>
      <c r="U891" s="17"/>
      <c r="V891" s="18"/>
      <c r="W891" s="16"/>
      <c r="X891" s="16"/>
      <c r="Y891" s="16"/>
    </row>
    <row r="892">
      <c r="A892" s="9" t="s">
        <v>3532</v>
      </c>
      <c r="B892" s="10" t="s">
        <v>3533</v>
      </c>
      <c r="C892" s="10" t="s">
        <v>2358</v>
      </c>
      <c r="D892" s="10" t="s">
        <v>19</v>
      </c>
      <c r="E892" s="10" t="s">
        <v>20</v>
      </c>
      <c r="F892" s="10" t="s">
        <v>2157</v>
      </c>
      <c r="G892" s="10" t="s">
        <v>2359</v>
      </c>
      <c r="H892" s="10"/>
      <c r="I892" s="11">
        <v>499.0</v>
      </c>
      <c r="J892" s="11">
        <v>1299.0</v>
      </c>
      <c r="K892" s="12">
        <f t="shared" si="1"/>
        <v>0.6158583526</v>
      </c>
      <c r="L892" s="13">
        <f>IFERROR(__xludf.DUMMYFUNCTION("GOOGLEFINANCE(""CURRENCY:INRBRL"") * I892
"),29.38195551562)</f>
        <v>29.38195552</v>
      </c>
      <c r="M892" s="9">
        <v>4.51</v>
      </c>
      <c r="N892" s="9">
        <v>434.0</v>
      </c>
      <c r="O892" s="9" t="s">
        <v>3534</v>
      </c>
      <c r="P892" s="14" t="s">
        <v>3535</v>
      </c>
      <c r="U892" s="17"/>
      <c r="V892" s="18"/>
      <c r="W892" s="16"/>
      <c r="X892" s="16"/>
      <c r="Y892" s="16"/>
    </row>
    <row r="893">
      <c r="A893" s="9" t="s">
        <v>3536</v>
      </c>
      <c r="B893" s="10" t="s">
        <v>3537</v>
      </c>
      <c r="C893" s="10" t="s">
        <v>1454</v>
      </c>
      <c r="D893" s="10" t="s">
        <v>77</v>
      </c>
      <c r="E893" s="10" t="s">
        <v>1455</v>
      </c>
      <c r="F893" s="10" t="s">
        <v>1456</v>
      </c>
      <c r="G893" s="10" t="s">
        <v>1457</v>
      </c>
      <c r="H893" s="10"/>
      <c r="I893" s="11">
        <v>999.0</v>
      </c>
      <c r="J893" s="11">
        <v>4199.0</v>
      </c>
      <c r="K893" s="12">
        <f t="shared" si="1"/>
        <v>0.762086211</v>
      </c>
      <c r="L893" s="13">
        <f>IFERROR(__xludf.DUMMYFUNCTION("GOOGLEFINANCE(""CURRENCY:INRBRL"") * I893
"),58.822792705619996)</f>
        <v>58.82279271</v>
      </c>
      <c r="M893" s="9">
        <v>4.5</v>
      </c>
      <c r="N893" s="9">
        <v>1913.0</v>
      </c>
      <c r="O893" s="9" t="s">
        <v>3538</v>
      </c>
      <c r="P893" s="14" t="s">
        <v>3539</v>
      </c>
      <c r="U893" s="17"/>
      <c r="V893" s="18"/>
      <c r="W893" s="16"/>
      <c r="X893" s="16"/>
      <c r="Y893" s="16"/>
    </row>
    <row r="894">
      <c r="A894" s="9" t="s">
        <v>3540</v>
      </c>
      <c r="B894" s="10" t="s">
        <v>3541</v>
      </c>
      <c r="C894" s="10" t="s">
        <v>3230</v>
      </c>
      <c r="D894" s="10" t="s">
        <v>19</v>
      </c>
      <c r="E894" s="10" t="s">
        <v>3076</v>
      </c>
      <c r="F894" s="10" t="s">
        <v>3231</v>
      </c>
      <c r="G894" s="10"/>
      <c r="H894" s="10"/>
      <c r="I894" s="11">
        <v>1709.0</v>
      </c>
      <c r="J894" s="11">
        <v>3999.0</v>
      </c>
      <c r="K894" s="12">
        <f t="shared" si="1"/>
        <v>0.5726431608</v>
      </c>
      <c r="L894" s="13">
        <f>IFERROR(__xludf.DUMMYFUNCTION("GOOGLEFINANCE(""CURRENCY:INRBRL"") * I894
"),100.62878151542)</f>
        <v>100.6287815</v>
      </c>
      <c r="M894" s="9">
        <v>4.5</v>
      </c>
      <c r="N894" s="9">
        <v>3029.0</v>
      </c>
      <c r="O894" s="9" t="s">
        <v>3542</v>
      </c>
      <c r="P894" s="14" t="s">
        <v>3543</v>
      </c>
      <c r="U894" s="17"/>
      <c r="V894" s="18"/>
      <c r="W894" s="16"/>
      <c r="X894" s="16"/>
      <c r="Y894" s="16"/>
    </row>
    <row r="895">
      <c r="A895" s="9" t="s">
        <v>3544</v>
      </c>
      <c r="B895" s="10" t="s">
        <v>3545</v>
      </c>
      <c r="C895" s="10" t="s">
        <v>2439</v>
      </c>
      <c r="D895" s="10" t="s">
        <v>2440</v>
      </c>
      <c r="E895" s="10" t="s">
        <v>2441</v>
      </c>
      <c r="F895" s="10" t="s">
        <v>2442</v>
      </c>
      <c r="G895" s="10" t="s">
        <v>2443</v>
      </c>
      <c r="H895" s="10" t="s">
        <v>2444</v>
      </c>
      <c r="I895" s="11">
        <v>250.0</v>
      </c>
      <c r="J895" s="11">
        <v>250.0</v>
      </c>
      <c r="K895" s="12">
        <f t="shared" si="1"/>
        <v>0</v>
      </c>
      <c r="L895" s="13">
        <f>IFERROR(__xludf.DUMMYFUNCTION("GOOGLEFINANCE(""CURRENCY:INRBRL"") * I895
"),14.720418595)</f>
        <v>14.7204186</v>
      </c>
      <c r="M895" s="9">
        <v>4.5</v>
      </c>
      <c r="N895" s="9">
        <v>2628.0</v>
      </c>
      <c r="O895" s="9" t="s">
        <v>3546</v>
      </c>
      <c r="P895" s="14" t="s">
        <v>3547</v>
      </c>
      <c r="U895" s="17"/>
      <c r="V895" s="18"/>
      <c r="W895" s="16"/>
      <c r="X895" s="16"/>
      <c r="Y895" s="16"/>
    </row>
    <row r="896">
      <c r="A896" s="9" t="s">
        <v>235</v>
      </c>
      <c r="B896" s="10" t="s">
        <v>236</v>
      </c>
      <c r="C896" s="10" t="s">
        <v>56</v>
      </c>
      <c r="D896" s="10" t="s">
        <v>19</v>
      </c>
      <c r="E896" s="10" t="s">
        <v>57</v>
      </c>
      <c r="F896" s="10" t="s">
        <v>58</v>
      </c>
      <c r="G896" s="10" t="s">
        <v>59</v>
      </c>
      <c r="H896" s="10"/>
      <c r="I896" s="11">
        <v>1199.0</v>
      </c>
      <c r="J896" s="11">
        <v>2199.0</v>
      </c>
      <c r="K896" s="12">
        <f t="shared" si="1"/>
        <v>0.4547521601</v>
      </c>
      <c r="L896" s="13">
        <f>IFERROR(__xludf.DUMMYFUNCTION("GOOGLEFINANCE(""CURRENCY:INRBRL"") * I896
"),70.59912758162)</f>
        <v>70.59912758</v>
      </c>
      <c r="M896" s="9">
        <v>4.5</v>
      </c>
      <c r="N896" s="9">
        <v>2478.0</v>
      </c>
      <c r="O896" s="9" t="s">
        <v>237</v>
      </c>
      <c r="P896" s="14" t="s">
        <v>3548</v>
      </c>
      <c r="U896" s="17"/>
      <c r="V896" s="18"/>
      <c r="W896" s="16"/>
      <c r="X896" s="16"/>
      <c r="Y896" s="16"/>
    </row>
    <row r="897">
      <c r="A897" s="9" t="s">
        <v>3549</v>
      </c>
      <c r="B897" s="10" t="s">
        <v>3550</v>
      </c>
      <c r="C897" s="10" t="s">
        <v>3551</v>
      </c>
      <c r="D897" s="10" t="s">
        <v>2450</v>
      </c>
      <c r="E897" s="10" t="s">
        <v>2451</v>
      </c>
      <c r="F897" s="10" t="s">
        <v>3399</v>
      </c>
      <c r="G897" s="10" t="s">
        <v>3400</v>
      </c>
      <c r="H897" s="10" t="s">
        <v>3552</v>
      </c>
      <c r="I897" s="11">
        <v>90.0</v>
      </c>
      <c r="J897" s="11">
        <v>100.0</v>
      </c>
      <c r="K897" s="12">
        <f t="shared" si="1"/>
        <v>0.1</v>
      </c>
      <c r="L897" s="13">
        <f>IFERROR(__xludf.DUMMYFUNCTION("GOOGLEFINANCE(""CURRENCY:INRBRL"") * I897
"),5.2993506942)</f>
        <v>5.299350694</v>
      </c>
      <c r="M897" s="9">
        <v>4.5</v>
      </c>
      <c r="N897" s="9">
        <v>10718.0</v>
      </c>
      <c r="O897" s="9" t="s">
        <v>3553</v>
      </c>
      <c r="P897" s="14" t="s">
        <v>3554</v>
      </c>
      <c r="U897" s="17"/>
      <c r="V897" s="18"/>
      <c r="W897" s="16"/>
      <c r="X897" s="16"/>
      <c r="Y897" s="16"/>
    </row>
    <row r="898">
      <c r="A898" s="9" t="s">
        <v>3555</v>
      </c>
      <c r="B898" s="10" t="s">
        <v>3556</v>
      </c>
      <c r="C898" s="10" t="s">
        <v>1869</v>
      </c>
      <c r="D898" s="10" t="s">
        <v>77</v>
      </c>
      <c r="E898" s="10" t="s">
        <v>1404</v>
      </c>
      <c r="F898" s="10" t="s">
        <v>1405</v>
      </c>
      <c r="G898" s="10" t="s">
        <v>1870</v>
      </c>
      <c r="H898" s="10"/>
      <c r="I898" s="11">
        <v>2025.0</v>
      </c>
      <c r="J898" s="11">
        <v>5999.0</v>
      </c>
      <c r="K898" s="12">
        <f t="shared" si="1"/>
        <v>0.6624437406</v>
      </c>
      <c r="L898" s="13">
        <f>IFERROR(__xludf.DUMMYFUNCTION("GOOGLEFINANCE(""CURRENCY:INRBRL"") * I898
"),119.2353906195)</f>
        <v>119.2353906</v>
      </c>
      <c r="M898" s="9">
        <v>4.5</v>
      </c>
      <c r="N898" s="9">
        <v>6233.0</v>
      </c>
      <c r="O898" s="9" t="s">
        <v>3557</v>
      </c>
      <c r="P898" s="14" t="s">
        <v>3558</v>
      </c>
      <c r="U898" s="17"/>
      <c r="V898" s="18"/>
      <c r="W898" s="16"/>
      <c r="X898" s="16"/>
      <c r="Y898" s="16"/>
    </row>
    <row r="899">
      <c r="A899" s="9" t="s">
        <v>3559</v>
      </c>
      <c r="B899" s="10" t="s">
        <v>3560</v>
      </c>
      <c r="C899" s="10" t="s">
        <v>2582</v>
      </c>
      <c r="D899" s="10" t="s">
        <v>19</v>
      </c>
      <c r="E899" s="10" t="s">
        <v>20</v>
      </c>
      <c r="F899" s="10" t="s">
        <v>2583</v>
      </c>
      <c r="G899" s="10" t="s">
        <v>2584</v>
      </c>
      <c r="H899" s="10"/>
      <c r="I899" s="11">
        <v>1495.0</v>
      </c>
      <c r="J899" s="11">
        <v>1995.0</v>
      </c>
      <c r="K899" s="12">
        <f t="shared" si="1"/>
        <v>0.2506265664</v>
      </c>
      <c r="L899" s="13">
        <f>IFERROR(__xludf.DUMMYFUNCTION("GOOGLEFINANCE(""CURRENCY:INRBRL"") * I899
"),88.0281031981)</f>
        <v>88.0281032</v>
      </c>
      <c r="M899" s="9">
        <v>4.51</v>
      </c>
      <c r="N899" s="9">
        <v>10541.0</v>
      </c>
      <c r="O899" s="9" t="s">
        <v>3561</v>
      </c>
      <c r="P899" s="14" t="s">
        <v>3562</v>
      </c>
      <c r="U899" s="17"/>
      <c r="V899" s="18"/>
      <c r="W899" s="16"/>
      <c r="X899" s="16"/>
      <c r="Y899" s="16"/>
    </row>
    <row r="900">
      <c r="A900" s="9" t="s">
        <v>243</v>
      </c>
      <c r="B900" s="10" t="s">
        <v>244</v>
      </c>
      <c r="C900" s="10" t="s">
        <v>18</v>
      </c>
      <c r="D900" s="10" t="s">
        <v>19</v>
      </c>
      <c r="E900" s="10" t="s">
        <v>20</v>
      </c>
      <c r="F900" s="10" t="s">
        <v>21</v>
      </c>
      <c r="G900" s="10" t="s">
        <v>22</v>
      </c>
      <c r="H900" s="10" t="s">
        <v>23</v>
      </c>
      <c r="I900" s="11">
        <v>799.0</v>
      </c>
      <c r="J900" s="11">
        <v>2099.0</v>
      </c>
      <c r="K900" s="12">
        <f t="shared" si="1"/>
        <v>0.6193425441</v>
      </c>
      <c r="L900" s="13">
        <f>IFERROR(__xludf.DUMMYFUNCTION("GOOGLEFINANCE(""CURRENCY:INRBRL"") * I900
"),47.046457829619996)</f>
        <v>47.04645783</v>
      </c>
      <c r="M900" s="9">
        <v>4.5</v>
      </c>
      <c r="N900" s="9">
        <v>8188.0</v>
      </c>
      <c r="O900" s="9" t="s">
        <v>245</v>
      </c>
      <c r="P900" s="14" t="s">
        <v>3563</v>
      </c>
      <c r="U900" s="17"/>
      <c r="V900" s="18"/>
      <c r="W900" s="16"/>
      <c r="X900" s="16"/>
      <c r="Y900" s="16"/>
    </row>
    <row r="901">
      <c r="A901" s="9" t="s">
        <v>3564</v>
      </c>
      <c r="B901" s="10" t="s">
        <v>3565</v>
      </c>
      <c r="C901" s="10" t="s">
        <v>2671</v>
      </c>
      <c r="D901" s="10" t="s">
        <v>77</v>
      </c>
      <c r="E901" s="10" t="s">
        <v>569</v>
      </c>
      <c r="F901" s="10" t="s">
        <v>1129</v>
      </c>
      <c r="G901" s="10" t="s">
        <v>2672</v>
      </c>
      <c r="H901" s="10"/>
      <c r="I901" s="11">
        <v>899.0</v>
      </c>
      <c r="J901" s="11">
        <v>1199.0</v>
      </c>
      <c r="K901" s="12">
        <f t="shared" si="1"/>
        <v>0.2502085071</v>
      </c>
      <c r="L901" s="13">
        <f>IFERROR(__xludf.DUMMYFUNCTION("GOOGLEFINANCE(""CURRENCY:INRBRL"") * I901
"),52.93462526762)</f>
        <v>52.93462527</v>
      </c>
      <c r="M901" s="9">
        <v>4.51</v>
      </c>
      <c r="N901" s="9">
        <v>10751.0</v>
      </c>
      <c r="O901" s="9" t="s">
        <v>3566</v>
      </c>
      <c r="P901" s="14" t="s">
        <v>3567</v>
      </c>
      <c r="U901" s="17"/>
      <c r="V901" s="18"/>
      <c r="W901" s="16"/>
      <c r="X901" s="16"/>
      <c r="Y901" s="16"/>
    </row>
    <row r="902">
      <c r="A902" s="9" t="s">
        <v>3568</v>
      </c>
      <c r="B902" s="10" t="s">
        <v>3569</v>
      </c>
      <c r="C902" s="10" t="s">
        <v>3570</v>
      </c>
      <c r="D902" s="10" t="s">
        <v>19</v>
      </c>
      <c r="E902" s="10" t="s">
        <v>20</v>
      </c>
      <c r="F902" s="10" t="s">
        <v>21</v>
      </c>
      <c r="G902" s="10" t="s">
        <v>22</v>
      </c>
      <c r="H902" s="10" t="s">
        <v>3571</v>
      </c>
      <c r="I902" s="11">
        <v>349.0</v>
      </c>
      <c r="J902" s="11">
        <v>999.0</v>
      </c>
      <c r="K902" s="12">
        <f t="shared" si="1"/>
        <v>0.6506506507</v>
      </c>
      <c r="L902" s="13">
        <f>IFERROR(__xludf.DUMMYFUNCTION("GOOGLEFINANCE(""CURRENCY:INRBRL"") * I902
"),20.549704358619998)</f>
        <v>20.54970436</v>
      </c>
      <c r="M902" s="9">
        <v>4.52</v>
      </c>
      <c r="N902" s="9">
        <v>817.0</v>
      </c>
      <c r="O902" s="9" t="s">
        <v>3572</v>
      </c>
      <c r="P902" s="14" t="s">
        <v>3573</v>
      </c>
      <c r="U902" s="17"/>
      <c r="V902" s="18"/>
      <c r="W902" s="16"/>
      <c r="X902" s="16"/>
      <c r="Y902" s="16"/>
    </row>
    <row r="903">
      <c r="A903" s="9" t="s">
        <v>3574</v>
      </c>
      <c r="B903" s="10" t="s">
        <v>3575</v>
      </c>
      <c r="C903" s="10" t="s">
        <v>1403</v>
      </c>
      <c r="D903" s="10" t="s">
        <v>77</v>
      </c>
      <c r="E903" s="10" t="s">
        <v>1404</v>
      </c>
      <c r="F903" s="10" t="s">
        <v>1405</v>
      </c>
      <c r="G903" s="10" t="s">
        <v>1406</v>
      </c>
      <c r="H903" s="10" t="s">
        <v>1407</v>
      </c>
      <c r="I903" s="11">
        <v>900.0</v>
      </c>
      <c r="J903" s="11">
        <v>2499.0</v>
      </c>
      <c r="K903" s="12">
        <f t="shared" si="1"/>
        <v>0.6398559424</v>
      </c>
      <c r="L903" s="13">
        <f>IFERROR(__xludf.DUMMYFUNCTION("GOOGLEFINANCE(""CURRENCY:INRBRL"") * I903
"),52.993506941999996)</f>
        <v>52.99350694</v>
      </c>
      <c r="M903" s="9">
        <v>4.0</v>
      </c>
      <c r="N903" s="9">
        <v>36384.0</v>
      </c>
      <c r="O903" s="9" t="s">
        <v>3576</v>
      </c>
      <c r="P903" s="14" t="s">
        <v>3577</v>
      </c>
      <c r="U903" s="17"/>
      <c r="V903" s="18"/>
      <c r="W903" s="16"/>
      <c r="X903" s="16"/>
      <c r="Y903" s="16"/>
    </row>
    <row r="904">
      <c r="A904" s="9" t="s">
        <v>3578</v>
      </c>
      <c r="B904" s="10" t="s">
        <v>3579</v>
      </c>
      <c r="C904" s="10" t="s">
        <v>2850</v>
      </c>
      <c r="D904" s="10" t="s">
        <v>77</v>
      </c>
      <c r="E904" s="10" t="s">
        <v>2483</v>
      </c>
      <c r="F904" s="10" t="s">
        <v>2851</v>
      </c>
      <c r="G904" s="10" t="s">
        <v>2852</v>
      </c>
      <c r="H904" s="10"/>
      <c r="I904" s="11">
        <v>2499.0</v>
      </c>
      <c r="J904" s="11">
        <v>3999.0</v>
      </c>
      <c r="K904" s="12">
        <f t="shared" si="1"/>
        <v>0.3750937734</v>
      </c>
      <c r="L904" s="13">
        <f>IFERROR(__xludf.DUMMYFUNCTION("GOOGLEFINANCE(""CURRENCY:INRBRL"") * I904
"),147.14530427562)</f>
        <v>147.1453043</v>
      </c>
      <c r="M904" s="9">
        <v>4.49</v>
      </c>
      <c r="N904" s="9">
        <v>3606.0</v>
      </c>
      <c r="O904" s="9" t="s">
        <v>3580</v>
      </c>
      <c r="P904" s="14" t="s">
        <v>3581</v>
      </c>
      <c r="U904" s="17"/>
      <c r="V904" s="18"/>
      <c r="W904" s="16"/>
      <c r="X904" s="16"/>
      <c r="Y904" s="16"/>
    </row>
    <row r="905">
      <c r="A905" s="9" t="s">
        <v>3582</v>
      </c>
      <c r="B905" s="10" t="s">
        <v>3583</v>
      </c>
      <c r="C905" s="10" t="s">
        <v>2679</v>
      </c>
      <c r="D905" s="10" t="s">
        <v>77</v>
      </c>
      <c r="E905" s="10" t="s">
        <v>2433</v>
      </c>
      <c r="F905" s="10"/>
      <c r="G905" s="10"/>
      <c r="H905" s="10"/>
      <c r="I905" s="11">
        <v>116.0</v>
      </c>
      <c r="J905" s="11">
        <v>200.0</v>
      </c>
      <c r="K905" s="12">
        <f t="shared" si="1"/>
        <v>0.42</v>
      </c>
      <c r="L905" s="13">
        <f>IFERROR(__xludf.DUMMYFUNCTION("GOOGLEFINANCE(""CURRENCY:INRBRL"") * I905
"),6.8302742280799995)</f>
        <v>6.830274228</v>
      </c>
      <c r="M905" s="9">
        <v>4.5</v>
      </c>
      <c r="N905" s="9">
        <v>357.0</v>
      </c>
      <c r="O905" s="9" t="s">
        <v>3584</v>
      </c>
      <c r="P905" s="14" t="s">
        <v>3585</v>
      </c>
      <c r="U905" s="17"/>
      <c r="V905" s="18"/>
      <c r="W905" s="16"/>
      <c r="X905" s="16"/>
      <c r="Y905" s="16"/>
    </row>
    <row r="906">
      <c r="A906" s="9" t="s">
        <v>3586</v>
      </c>
      <c r="B906" s="10" t="s">
        <v>3587</v>
      </c>
      <c r="C906" s="10" t="s">
        <v>2589</v>
      </c>
      <c r="D906" s="10" t="s">
        <v>2450</v>
      </c>
      <c r="E906" s="10" t="s">
        <v>2451</v>
      </c>
      <c r="F906" s="10" t="s">
        <v>2590</v>
      </c>
      <c r="G906" s="10" t="s">
        <v>2591</v>
      </c>
      <c r="H906" s="10"/>
      <c r="I906" s="11">
        <v>200.0</v>
      </c>
      <c r="J906" s="11">
        <v>230.0</v>
      </c>
      <c r="K906" s="12">
        <f t="shared" si="1"/>
        <v>0.1304347826</v>
      </c>
      <c r="L906" s="13">
        <f>IFERROR(__xludf.DUMMYFUNCTION("GOOGLEFINANCE(""CURRENCY:INRBRL"") * I906
"),11.776334876)</f>
        <v>11.77633488</v>
      </c>
      <c r="M906" s="9">
        <v>4.5</v>
      </c>
      <c r="N906" s="9">
        <v>1017.0</v>
      </c>
      <c r="O906" s="9" t="s">
        <v>3588</v>
      </c>
      <c r="P906" s="14" t="s">
        <v>3589</v>
      </c>
      <c r="U906" s="17"/>
      <c r="V906" s="18"/>
      <c r="W906" s="16"/>
      <c r="X906" s="16"/>
      <c r="Y906" s="16"/>
    </row>
    <row r="907">
      <c r="A907" s="9" t="s">
        <v>3590</v>
      </c>
      <c r="B907" s="10" t="s">
        <v>3591</v>
      </c>
      <c r="C907" s="10" t="s">
        <v>3306</v>
      </c>
      <c r="D907" s="10" t="s">
        <v>19</v>
      </c>
      <c r="E907" s="10" t="s">
        <v>20</v>
      </c>
      <c r="F907" s="10" t="s">
        <v>2157</v>
      </c>
      <c r="G907" s="10" t="s">
        <v>3307</v>
      </c>
      <c r="H907" s="10"/>
      <c r="I907" s="11">
        <v>1249.0</v>
      </c>
      <c r="J907" s="11">
        <v>2796.0</v>
      </c>
      <c r="K907" s="12">
        <f t="shared" si="1"/>
        <v>0.5532904149</v>
      </c>
      <c r="L907" s="13">
        <f>IFERROR(__xludf.DUMMYFUNCTION("GOOGLEFINANCE(""CURRENCY:INRBRL"") * I907
"),73.54321130062)</f>
        <v>73.5432113</v>
      </c>
      <c r="M907" s="9">
        <v>4.5</v>
      </c>
      <c r="N907" s="9">
        <v>4598.0</v>
      </c>
      <c r="O907" s="9" t="s">
        <v>3592</v>
      </c>
      <c r="P907" s="14" t="s">
        <v>3593</v>
      </c>
      <c r="U907" s="17"/>
      <c r="V907" s="18"/>
      <c r="W907" s="16"/>
      <c r="X907" s="16"/>
      <c r="Y907" s="16"/>
    </row>
    <row r="908">
      <c r="A908" s="9" t="s">
        <v>3594</v>
      </c>
      <c r="B908" s="10" t="s">
        <v>3595</v>
      </c>
      <c r="C908" s="10" t="s">
        <v>3596</v>
      </c>
      <c r="D908" s="10" t="s">
        <v>19</v>
      </c>
      <c r="E908" s="10" t="s">
        <v>20</v>
      </c>
      <c r="F908" s="10" t="s">
        <v>2960</v>
      </c>
      <c r="G908" s="10" t="s">
        <v>3597</v>
      </c>
      <c r="H908" s="10"/>
      <c r="I908" s="11">
        <v>649.0</v>
      </c>
      <c r="J908" s="11">
        <v>999.0</v>
      </c>
      <c r="K908" s="12">
        <f t="shared" si="1"/>
        <v>0.3503503504</v>
      </c>
      <c r="L908" s="13">
        <f>IFERROR(__xludf.DUMMYFUNCTION("GOOGLEFINANCE(""CURRENCY:INRBRL"") * I908
"),38.21420667262)</f>
        <v>38.21420667</v>
      </c>
      <c r="M908" s="9">
        <v>4.5</v>
      </c>
      <c r="N908" s="9">
        <v>7222.0</v>
      </c>
      <c r="O908" s="9" t="s">
        <v>3598</v>
      </c>
      <c r="P908" s="14" t="s">
        <v>3599</v>
      </c>
      <c r="U908" s="17"/>
      <c r="V908" s="18"/>
      <c r="W908" s="16"/>
      <c r="X908" s="16"/>
      <c r="Y908" s="16"/>
    </row>
    <row r="909">
      <c r="A909" s="9" t="s">
        <v>3600</v>
      </c>
      <c r="B909" s="10" t="s">
        <v>3601</v>
      </c>
      <c r="C909" s="10" t="s">
        <v>3602</v>
      </c>
      <c r="D909" s="10" t="s">
        <v>19</v>
      </c>
      <c r="E909" s="10" t="s">
        <v>20</v>
      </c>
      <c r="F909" s="10" t="s">
        <v>2583</v>
      </c>
      <c r="G909" s="10" t="s">
        <v>3603</v>
      </c>
      <c r="H909" s="10"/>
      <c r="I909" s="11">
        <v>2649.0</v>
      </c>
      <c r="J909" s="11">
        <v>3499.0</v>
      </c>
      <c r="K909" s="12">
        <f t="shared" si="1"/>
        <v>0.2429265504</v>
      </c>
      <c r="L909" s="13">
        <f>IFERROR(__xludf.DUMMYFUNCTION("GOOGLEFINANCE(""CURRENCY:INRBRL"") * I909
"),155.97755543262)</f>
        <v>155.9775554</v>
      </c>
      <c r="M909" s="9">
        <v>4.51</v>
      </c>
      <c r="N909" s="9">
        <v>1271.0</v>
      </c>
      <c r="O909" s="9" t="s">
        <v>3604</v>
      </c>
      <c r="P909" s="14" t="s">
        <v>3605</v>
      </c>
      <c r="U909" s="17"/>
      <c r="V909" s="18"/>
      <c r="W909" s="16"/>
      <c r="X909" s="16"/>
      <c r="Y909" s="16"/>
    </row>
    <row r="910">
      <c r="A910" s="9" t="s">
        <v>253</v>
      </c>
      <c r="B910" s="10" t="s">
        <v>254</v>
      </c>
      <c r="C910" s="10" t="s">
        <v>18</v>
      </c>
      <c r="D910" s="10" t="s">
        <v>19</v>
      </c>
      <c r="E910" s="10" t="s">
        <v>20</v>
      </c>
      <c r="F910" s="10" t="s">
        <v>21</v>
      </c>
      <c r="G910" s="10" t="s">
        <v>22</v>
      </c>
      <c r="H910" s="10" t="s">
        <v>23</v>
      </c>
      <c r="I910" s="11">
        <v>199.0</v>
      </c>
      <c r="J910" s="11">
        <v>349.0</v>
      </c>
      <c r="K910" s="12">
        <f t="shared" si="1"/>
        <v>0.4297994269</v>
      </c>
      <c r="L910" s="13">
        <f>IFERROR(__xludf.DUMMYFUNCTION("GOOGLEFINANCE(""CURRENCY:INRBRL"") * I910
"),11.71745320162)</f>
        <v>11.7174532</v>
      </c>
      <c r="M910" s="9">
        <v>4.49</v>
      </c>
      <c r="N910" s="9">
        <v>314.0</v>
      </c>
      <c r="O910" s="9" t="s">
        <v>255</v>
      </c>
      <c r="P910" s="14" t="s">
        <v>3606</v>
      </c>
      <c r="U910" s="17"/>
      <c r="V910" s="18"/>
      <c r="W910" s="16"/>
      <c r="X910" s="16"/>
      <c r="Y910" s="16"/>
    </row>
    <row r="911">
      <c r="A911" s="9" t="s">
        <v>3607</v>
      </c>
      <c r="B911" s="10" t="s">
        <v>3608</v>
      </c>
      <c r="C911" s="10" t="s">
        <v>2546</v>
      </c>
      <c r="D911" s="10" t="s">
        <v>19</v>
      </c>
      <c r="E911" s="10" t="s">
        <v>2547</v>
      </c>
      <c r="F911" s="10" t="s">
        <v>2548</v>
      </c>
      <c r="G911" s="10" t="s">
        <v>2549</v>
      </c>
      <c r="H911" s="10"/>
      <c r="I911" s="11">
        <v>596.0</v>
      </c>
      <c r="J911" s="11">
        <v>723.0</v>
      </c>
      <c r="K911" s="12">
        <f t="shared" si="1"/>
        <v>0.1756569848</v>
      </c>
      <c r="L911" s="13">
        <f>IFERROR(__xludf.DUMMYFUNCTION("GOOGLEFINANCE(""CURRENCY:INRBRL"") * I911
"),35.09347793048)</f>
        <v>35.09347793</v>
      </c>
      <c r="M911" s="9">
        <v>4.5</v>
      </c>
      <c r="N911" s="9">
        <v>3219.0</v>
      </c>
      <c r="O911" s="9" t="s">
        <v>3609</v>
      </c>
      <c r="P911" s="14" t="s">
        <v>3610</v>
      </c>
      <c r="U911" s="17"/>
      <c r="V911" s="18"/>
      <c r="W911" s="16"/>
      <c r="X911" s="16"/>
      <c r="Y911" s="16"/>
    </row>
    <row r="912">
      <c r="A912" s="9" t="s">
        <v>3611</v>
      </c>
      <c r="B912" s="10" t="s">
        <v>3612</v>
      </c>
      <c r="C912" s="10" t="s">
        <v>1388</v>
      </c>
      <c r="D912" s="10" t="s">
        <v>77</v>
      </c>
      <c r="E912" s="10" t="s">
        <v>1389</v>
      </c>
      <c r="F912" s="10" t="s">
        <v>1390</v>
      </c>
      <c r="G912" s="10"/>
      <c r="H912" s="10"/>
      <c r="I912" s="11">
        <v>2499.0</v>
      </c>
      <c r="J912" s="11">
        <v>2649.0</v>
      </c>
      <c r="K912" s="12">
        <f t="shared" si="1"/>
        <v>0.05662514156</v>
      </c>
      <c r="L912" s="13">
        <f>IFERROR(__xludf.DUMMYFUNCTION("GOOGLEFINANCE(""CURRENCY:INRBRL"") * I912
"),147.14530427562)</f>
        <v>147.1453043</v>
      </c>
      <c r="M912" s="9">
        <v>4.49</v>
      </c>
      <c r="N912" s="9">
        <v>38879.0</v>
      </c>
      <c r="O912" s="9" t="s">
        <v>3613</v>
      </c>
      <c r="P912" s="14" t="s">
        <v>3614</v>
      </c>
      <c r="U912" s="17"/>
      <c r="V912" s="18"/>
      <c r="W912" s="16"/>
      <c r="X912" s="16"/>
      <c r="Y912" s="16"/>
    </row>
    <row r="913">
      <c r="A913" s="9" t="s">
        <v>3615</v>
      </c>
      <c r="B913" s="10" t="s">
        <v>3616</v>
      </c>
      <c r="C913" s="10" t="s">
        <v>3617</v>
      </c>
      <c r="D913" s="10" t="s">
        <v>77</v>
      </c>
      <c r="E913" s="10" t="s">
        <v>569</v>
      </c>
      <c r="F913" s="10" t="s">
        <v>1129</v>
      </c>
      <c r="G913" s="10" t="s">
        <v>3618</v>
      </c>
      <c r="H913" s="10"/>
      <c r="I913" s="11">
        <v>4999.0</v>
      </c>
      <c r="J913" s="11">
        <v>12499.0</v>
      </c>
      <c r="K913" s="12">
        <f t="shared" si="1"/>
        <v>0.6000480038</v>
      </c>
      <c r="L913" s="13">
        <f>IFERROR(__xludf.DUMMYFUNCTION("GOOGLEFINANCE(""CURRENCY:INRBRL"") * I913
"),294.34949022562)</f>
        <v>294.3494902</v>
      </c>
      <c r="M913" s="9">
        <v>4.5</v>
      </c>
      <c r="N913" s="9">
        <v>4541.0</v>
      </c>
      <c r="O913" s="9" t="s">
        <v>3619</v>
      </c>
      <c r="P913" s="14" t="s">
        <v>3620</v>
      </c>
      <c r="U913" s="17"/>
      <c r="V913" s="18"/>
      <c r="W913" s="16"/>
      <c r="X913" s="16"/>
      <c r="Y913" s="16"/>
    </row>
    <row r="914">
      <c r="A914" s="9" t="s">
        <v>3621</v>
      </c>
      <c r="B914" s="10" t="s">
        <v>3622</v>
      </c>
      <c r="C914" s="10" t="s">
        <v>1454</v>
      </c>
      <c r="D914" s="10" t="s">
        <v>77</v>
      </c>
      <c r="E914" s="10" t="s">
        <v>1455</v>
      </c>
      <c r="F914" s="10" t="s">
        <v>1456</v>
      </c>
      <c r="G914" s="10" t="s">
        <v>1457</v>
      </c>
      <c r="H914" s="10"/>
      <c r="I914" s="11">
        <v>399.0</v>
      </c>
      <c r="J914" s="11">
        <v>1299.0</v>
      </c>
      <c r="K914" s="12">
        <f t="shared" si="1"/>
        <v>0.6928406467</v>
      </c>
      <c r="L914" s="13">
        <f>IFERROR(__xludf.DUMMYFUNCTION("GOOGLEFINANCE(""CURRENCY:INRBRL"") * I914
"),23.49378807762)</f>
        <v>23.49378808</v>
      </c>
      <c r="M914" s="9">
        <v>4.5</v>
      </c>
      <c r="N914" s="9">
        <v>76042.0</v>
      </c>
      <c r="O914" s="9" t="s">
        <v>3623</v>
      </c>
      <c r="P914" s="14" t="s">
        <v>3624</v>
      </c>
      <c r="U914" s="17"/>
      <c r="V914" s="18"/>
      <c r="W914" s="16"/>
      <c r="X914" s="16"/>
      <c r="Y914" s="16"/>
    </row>
    <row r="915">
      <c r="A915" s="9" t="s">
        <v>3625</v>
      </c>
      <c r="B915" s="10" t="s">
        <v>3626</v>
      </c>
      <c r="C915" s="10" t="s">
        <v>2679</v>
      </c>
      <c r="D915" s="10" t="s">
        <v>77</v>
      </c>
      <c r="E915" s="10" t="s">
        <v>2433</v>
      </c>
      <c r="F915" s="10"/>
      <c r="G915" s="10"/>
      <c r="H915" s="10"/>
      <c r="I915" s="11">
        <v>116.0</v>
      </c>
      <c r="J915" s="11">
        <v>200.0</v>
      </c>
      <c r="K915" s="12">
        <f t="shared" si="1"/>
        <v>0.42</v>
      </c>
      <c r="L915" s="13">
        <f>IFERROR(__xludf.DUMMYFUNCTION("GOOGLEFINANCE(""CURRENCY:INRBRL"") * I915
"),6.8302742280799995)</f>
        <v>6.830274228</v>
      </c>
      <c r="M915" s="9">
        <v>4.5</v>
      </c>
      <c r="N915" s="9">
        <v>485.0</v>
      </c>
      <c r="O915" s="9" t="s">
        <v>3627</v>
      </c>
      <c r="P915" s="14" t="s">
        <v>3628</v>
      </c>
      <c r="U915" s="17"/>
      <c r="V915" s="18"/>
      <c r="W915" s="16"/>
      <c r="X915" s="16"/>
      <c r="Y915" s="16"/>
    </row>
    <row r="916">
      <c r="A916" s="9" t="s">
        <v>3629</v>
      </c>
      <c r="B916" s="10" t="s">
        <v>3630</v>
      </c>
      <c r="C916" s="10" t="s">
        <v>2850</v>
      </c>
      <c r="D916" s="10" t="s">
        <v>77</v>
      </c>
      <c r="E916" s="10" t="s">
        <v>2483</v>
      </c>
      <c r="F916" s="10" t="s">
        <v>2851</v>
      </c>
      <c r="G916" s="10" t="s">
        <v>2852</v>
      </c>
      <c r="H916" s="10"/>
      <c r="I916" s="11">
        <v>4499.0</v>
      </c>
      <c r="J916" s="11">
        <v>5999.0</v>
      </c>
      <c r="K916" s="12">
        <f t="shared" si="1"/>
        <v>0.2500416736</v>
      </c>
      <c r="L916" s="13">
        <f>IFERROR(__xludf.DUMMYFUNCTION("GOOGLEFINANCE(""CURRENCY:INRBRL"") * I916
"),264.90865303562)</f>
        <v>264.908653</v>
      </c>
      <c r="M916" s="9">
        <v>4.5</v>
      </c>
      <c r="N916" s="9">
        <v>44696.0</v>
      </c>
      <c r="O916" s="9" t="s">
        <v>3631</v>
      </c>
      <c r="P916" s="14" t="s">
        <v>3632</v>
      </c>
      <c r="U916" s="17"/>
      <c r="V916" s="18"/>
      <c r="W916" s="16"/>
      <c r="X916" s="16"/>
      <c r="Y916" s="16"/>
    </row>
    <row r="917">
      <c r="A917" s="9" t="s">
        <v>3633</v>
      </c>
      <c r="B917" s="10" t="s">
        <v>3634</v>
      </c>
      <c r="C917" s="10" t="s">
        <v>2941</v>
      </c>
      <c r="D917" s="10" t="s">
        <v>19</v>
      </c>
      <c r="E917" s="10" t="s">
        <v>20</v>
      </c>
      <c r="F917" s="10" t="s">
        <v>2942</v>
      </c>
      <c r="G917" s="10"/>
      <c r="H917" s="10"/>
      <c r="I917" s="11">
        <v>330.0</v>
      </c>
      <c r="J917" s="11">
        <v>499.0</v>
      </c>
      <c r="K917" s="12">
        <f t="shared" si="1"/>
        <v>0.3386773547</v>
      </c>
      <c r="L917" s="13">
        <f>IFERROR(__xludf.DUMMYFUNCTION("GOOGLEFINANCE(""CURRENCY:INRBRL"") * I917
"),19.4309525454)</f>
        <v>19.43095255</v>
      </c>
      <c r="M917" s="9">
        <v>4.51</v>
      </c>
      <c r="N917" s="9">
        <v>8566.0</v>
      </c>
      <c r="O917" s="9" t="s">
        <v>3635</v>
      </c>
      <c r="P917" s="14" t="s">
        <v>3636</v>
      </c>
      <c r="U917" s="17"/>
      <c r="V917" s="18"/>
      <c r="W917" s="16"/>
      <c r="X917" s="16"/>
      <c r="Y917" s="16"/>
    </row>
    <row r="918">
      <c r="A918" s="9" t="s">
        <v>3637</v>
      </c>
      <c r="B918" s="10" t="s">
        <v>3638</v>
      </c>
      <c r="C918" s="10" t="s">
        <v>2644</v>
      </c>
      <c r="D918" s="10" t="s">
        <v>77</v>
      </c>
      <c r="E918" s="10" t="s">
        <v>1455</v>
      </c>
      <c r="F918" s="10" t="s">
        <v>1456</v>
      </c>
      <c r="G918" s="10" t="s">
        <v>2645</v>
      </c>
      <c r="H918" s="10"/>
      <c r="I918" s="11">
        <v>649.0</v>
      </c>
      <c r="J918" s="11">
        <v>2499.0</v>
      </c>
      <c r="K918" s="12">
        <f t="shared" si="1"/>
        <v>0.7402961184</v>
      </c>
      <c r="L918" s="13">
        <f>IFERROR(__xludf.DUMMYFUNCTION("GOOGLEFINANCE(""CURRENCY:INRBRL"") * I918
"),38.21420667262)</f>
        <v>38.21420667</v>
      </c>
      <c r="M918" s="9">
        <v>4.52</v>
      </c>
      <c r="N918" s="9">
        <v>13049.0</v>
      </c>
      <c r="O918" s="9" t="s">
        <v>3639</v>
      </c>
      <c r="P918" s="14" t="s">
        <v>3640</v>
      </c>
      <c r="U918" s="17"/>
      <c r="V918" s="18"/>
      <c r="W918" s="16"/>
      <c r="X918" s="16"/>
      <c r="Y918" s="16"/>
    </row>
    <row r="919">
      <c r="A919" s="9" t="s">
        <v>3641</v>
      </c>
      <c r="B919" s="10" t="s">
        <v>3642</v>
      </c>
      <c r="C919" s="10" t="s">
        <v>2893</v>
      </c>
      <c r="D919" s="10" t="s">
        <v>19</v>
      </c>
      <c r="E919" s="10" t="s">
        <v>20</v>
      </c>
      <c r="F919" s="10" t="s">
        <v>2894</v>
      </c>
      <c r="G919" s="10" t="s">
        <v>1825</v>
      </c>
      <c r="H919" s="10"/>
      <c r="I919" s="11">
        <v>1234.0</v>
      </c>
      <c r="J919" s="11">
        <v>1599.0</v>
      </c>
      <c r="K919" s="12">
        <f t="shared" si="1"/>
        <v>0.2282676673</v>
      </c>
      <c r="L919" s="13">
        <f>IFERROR(__xludf.DUMMYFUNCTION("GOOGLEFINANCE(""CURRENCY:INRBRL"") * I919
"),72.65998618492)</f>
        <v>72.65998618</v>
      </c>
      <c r="M919" s="9">
        <v>4.51</v>
      </c>
      <c r="N919" s="9">
        <v>1668.0</v>
      </c>
      <c r="O919" s="9" t="s">
        <v>3643</v>
      </c>
      <c r="P919" s="14" t="s">
        <v>3644</v>
      </c>
      <c r="U919" s="17"/>
      <c r="V919" s="18"/>
      <c r="W919" s="16"/>
      <c r="X919" s="16"/>
      <c r="Y919" s="16"/>
    </row>
    <row r="920">
      <c r="A920" s="9" t="s">
        <v>2140</v>
      </c>
      <c r="B920" s="10" t="s">
        <v>2141</v>
      </c>
      <c r="C920" s="10" t="s">
        <v>2142</v>
      </c>
      <c r="D920" s="10" t="s">
        <v>77</v>
      </c>
      <c r="E920" s="10" t="s">
        <v>1455</v>
      </c>
      <c r="F920" s="10" t="s">
        <v>1456</v>
      </c>
      <c r="G920" s="10" t="s">
        <v>2143</v>
      </c>
      <c r="H920" s="10"/>
      <c r="I920" s="11">
        <v>1399.0</v>
      </c>
      <c r="J920" s="11">
        <v>2999.0</v>
      </c>
      <c r="K920" s="12">
        <f t="shared" si="1"/>
        <v>0.5335111704</v>
      </c>
      <c r="L920" s="13">
        <f>IFERROR(__xludf.DUMMYFUNCTION("GOOGLEFINANCE(""CURRENCY:INRBRL"") * I920
"),82.37546245762)</f>
        <v>82.37546246</v>
      </c>
      <c r="M920" s="9">
        <v>4.49</v>
      </c>
      <c r="N920" s="9">
        <v>97174.0</v>
      </c>
      <c r="O920" s="9" t="s">
        <v>2144</v>
      </c>
      <c r="P920" s="14" t="s">
        <v>3645</v>
      </c>
      <c r="U920" s="17"/>
      <c r="V920" s="18"/>
      <c r="W920" s="16"/>
      <c r="X920" s="16"/>
      <c r="Y920" s="16"/>
    </row>
    <row r="921">
      <c r="A921" s="9" t="s">
        <v>3646</v>
      </c>
      <c r="B921" s="10" t="s">
        <v>3647</v>
      </c>
      <c r="C921" s="10" t="s">
        <v>3387</v>
      </c>
      <c r="D921" s="10" t="s">
        <v>2440</v>
      </c>
      <c r="E921" s="10" t="s">
        <v>2441</v>
      </c>
      <c r="F921" s="10" t="s">
        <v>2442</v>
      </c>
      <c r="G921" s="10" t="s">
        <v>2443</v>
      </c>
      <c r="H921" s="10" t="s">
        <v>2444</v>
      </c>
      <c r="I921" s="11">
        <v>272.0</v>
      </c>
      <c r="J921" s="11">
        <v>320.0</v>
      </c>
      <c r="K921" s="12">
        <f t="shared" si="1"/>
        <v>0.15</v>
      </c>
      <c r="L921" s="13">
        <f>IFERROR(__xludf.DUMMYFUNCTION("GOOGLEFINANCE(""CURRENCY:INRBRL"") * I921
"),16.01581543136)</f>
        <v>16.01581543</v>
      </c>
      <c r="M921" s="9">
        <v>4.0</v>
      </c>
      <c r="N921" s="9">
        <v>3686.0</v>
      </c>
      <c r="O921" s="9" t="s">
        <v>3648</v>
      </c>
      <c r="P921" s="14" t="s">
        <v>3649</v>
      </c>
      <c r="U921" s="17"/>
      <c r="V921" s="18"/>
      <c r="W921" s="16"/>
      <c r="X921" s="16"/>
      <c r="Y921" s="16"/>
    </row>
    <row r="922">
      <c r="A922" s="9" t="s">
        <v>3650</v>
      </c>
      <c r="B922" s="10" t="s">
        <v>3651</v>
      </c>
      <c r="C922" s="10" t="s">
        <v>3652</v>
      </c>
      <c r="D922" s="10" t="s">
        <v>77</v>
      </c>
      <c r="E922" s="10" t="s">
        <v>1455</v>
      </c>
      <c r="F922" s="10" t="s">
        <v>3653</v>
      </c>
      <c r="G922" s="10"/>
      <c r="H922" s="10"/>
      <c r="I922" s="11">
        <v>99.0</v>
      </c>
      <c r="J922" s="11">
        <v>999.0</v>
      </c>
      <c r="K922" s="12">
        <f t="shared" si="1"/>
        <v>0.9009009009</v>
      </c>
      <c r="L922" s="13">
        <f>IFERROR(__xludf.DUMMYFUNCTION("GOOGLEFINANCE(""CURRENCY:INRBRL"") * I922
"),5.82928576362)</f>
        <v>5.829285764</v>
      </c>
      <c r="M922" s="9">
        <v>4.51</v>
      </c>
      <c r="N922" s="9">
        <v>594.0</v>
      </c>
      <c r="O922" s="9" t="s">
        <v>3654</v>
      </c>
      <c r="P922" s="14" t="s">
        <v>3655</v>
      </c>
      <c r="U922" s="17"/>
      <c r="V922" s="18"/>
      <c r="W922" s="16"/>
      <c r="X922" s="16"/>
      <c r="Y922" s="16"/>
    </row>
    <row r="923">
      <c r="A923" s="9" t="s">
        <v>3656</v>
      </c>
      <c r="B923" s="10" t="s">
        <v>3657</v>
      </c>
      <c r="C923" s="10" t="s">
        <v>3658</v>
      </c>
      <c r="D923" s="10" t="s">
        <v>19</v>
      </c>
      <c r="E923" s="10" t="s">
        <v>2547</v>
      </c>
      <c r="F923" s="10" t="s">
        <v>3474</v>
      </c>
      <c r="G923" s="10" t="s">
        <v>3659</v>
      </c>
      <c r="H923" s="10"/>
      <c r="I923" s="11">
        <v>3498.0</v>
      </c>
      <c r="J923" s="11">
        <v>3875.0</v>
      </c>
      <c r="K923" s="12">
        <f t="shared" si="1"/>
        <v>0.09729032258</v>
      </c>
      <c r="L923" s="13">
        <f>IFERROR(__xludf.DUMMYFUNCTION("GOOGLEFINANCE(""CURRENCY:INRBRL"") * I923
"),205.96809698124)</f>
        <v>205.968097</v>
      </c>
      <c r="M923" s="9">
        <v>4.5</v>
      </c>
      <c r="N923" s="9">
        <v>12185.0</v>
      </c>
      <c r="O923" s="9" t="s">
        <v>3660</v>
      </c>
      <c r="P923" s="14" t="s">
        <v>3661</v>
      </c>
      <c r="U923" s="17"/>
      <c r="V923" s="18"/>
      <c r="W923" s="16"/>
      <c r="X923" s="16"/>
      <c r="Y923" s="16"/>
    </row>
    <row r="924">
      <c r="A924" s="9" t="s">
        <v>3662</v>
      </c>
      <c r="B924" s="10" t="s">
        <v>3663</v>
      </c>
      <c r="C924" s="10" t="s">
        <v>2808</v>
      </c>
      <c r="D924" s="10" t="s">
        <v>19</v>
      </c>
      <c r="E924" s="10" t="s">
        <v>2809</v>
      </c>
      <c r="F924" s="10"/>
      <c r="G924" s="10"/>
      <c r="H924" s="10"/>
      <c r="I924" s="11">
        <v>10099.0</v>
      </c>
      <c r="J924" s="11">
        <v>19110.0</v>
      </c>
      <c r="K924" s="12">
        <f t="shared" si="1"/>
        <v>0.4715332287</v>
      </c>
      <c r="L924" s="13">
        <f>IFERROR(__xludf.DUMMYFUNCTION("GOOGLEFINANCE(""CURRENCY:INRBRL"") * I924
"),594.64602956362)</f>
        <v>594.6460296</v>
      </c>
      <c r="M924" s="9">
        <v>4.5</v>
      </c>
      <c r="N924" s="9">
        <v>2623.0</v>
      </c>
      <c r="O924" s="9" t="s">
        <v>3664</v>
      </c>
      <c r="P924" s="14" t="s">
        <v>3665</v>
      </c>
      <c r="U924" s="17"/>
      <c r="V924" s="18"/>
      <c r="W924" s="16"/>
      <c r="X924" s="16"/>
      <c r="Y924" s="16"/>
    </row>
    <row r="925">
      <c r="A925" s="9" t="s">
        <v>3666</v>
      </c>
      <c r="B925" s="10" t="s">
        <v>3667</v>
      </c>
      <c r="C925" s="10" t="s">
        <v>2988</v>
      </c>
      <c r="D925" s="10" t="s">
        <v>19</v>
      </c>
      <c r="E925" s="10" t="s">
        <v>20</v>
      </c>
      <c r="F925" s="10" t="s">
        <v>2157</v>
      </c>
      <c r="G925" s="10" t="s">
        <v>2989</v>
      </c>
      <c r="H925" s="10" t="s">
        <v>2990</v>
      </c>
      <c r="I925" s="11">
        <v>449.0</v>
      </c>
      <c r="J925" s="11">
        <v>999.0</v>
      </c>
      <c r="K925" s="12">
        <f t="shared" si="1"/>
        <v>0.5505505506</v>
      </c>
      <c r="L925" s="13">
        <f>IFERROR(__xludf.DUMMYFUNCTION("GOOGLEFINANCE(""CURRENCY:INRBRL"") * I925
"),26.437871796619998)</f>
        <v>26.4378718</v>
      </c>
      <c r="M925" s="9">
        <v>4.5</v>
      </c>
      <c r="N925" s="9">
        <v>9701.0</v>
      </c>
      <c r="O925" s="9" t="s">
        <v>3668</v>
      </c>
      <c r="P925" s="14" t="s">
        <v>3669</v>
      </c>
      <c r="U925" s="17"/>
      <c r="V925" s="18"/>
      <c r="W925" s="16"/>
      <c r="X925" s="16"/>
      <c r="Y925" s="16"/>
    </row>
    <row r="926">
      <c r="A926" s="9" t="s">
        <v>3670</v>
      </c>
      <c r="B926" s="10" t="s">
        <v>3671</v>
      </c>
      <c r="C926" s="10" t="s">
        <v>3672</v>
      </c>
      <c r="D926" s="10" t="s">
        <v>3673</v>
      </c>
      <c r="E926" s="10" t="s">
        <v>3674</v>
      </c>
      <c r="F926" s="10" t="s">
        <v>3675</v>
      </c>
      <c r="G926" s="10" t="s">
        <v>3676</v>
      </c>
      <c r="H926" s="10"/>
      <c r="I926" s="11">
        <v>150.0</v>
      </c>
      <c r="J926" s="11">
        <v>150.0</v>
      </c>
      <c r="K926" s="12">
        <f t="shared" si="1"/>
        <v>0</v>
      </c>
      <c r="L926" s="13">
        <f>IFERROR(__xludf.DUMMYFUNCTION("GOOGLEFINANCE(""CURRENCY:INRBRL"") * I926
"),8.832251157)</f>
        <v>8.832251157</v>
      </c>
      <c r="M926" s="9">
        <v>4.5</v>
      </c>
      <c r="N926" s="9">
        <v>15867.0</v>
      </c>
      <c r="O926" s="9" t="s">
        <v>3677</v>
      </c>
      <c r="P926" s="14" t="s">
        <v>3678</v>
      </c>
      <c r="U926" s="17"/>
      <c r="V926" s="18"/>
      <c r="W926" s="16"/>
      <c r="X926" s="16"/>
      <c r="Y926" s="16"/>
    </row>
    <row r="927">
      <c r="A927" s="9" t="s">
        <v>269</v>
      </c>
      <c r="B927" s="10" t="s">
        <v>270</v>
      </c>
      <c r="C927" s="10" t="s">
        <v>18</v>
      </c>
      <c r="D927" s="10" t="s">
        <v>19</v>
      </c>
      <c r="E927" s="10" t="s">
        <v>20</v>
      </c>
      <c r="F927" s="10" t="s">
        <v>21</v>
      </c>
      <c r="G927" s="10" t="s">
        <v>22</v>
      </c>
      <c r="H927" s="10" t="s">
        <v>23</v>
      </c>
      <c r="I927" s="11">
        <v>348.0</v>
      </c>
      <c r="J927" s="11">
        <v>1499.0</v>
      </c>
      <c r="K927" s="12">
        <f t="shared" si="1"/>
        <v>0.7678452302</v>
      </c>
      <c r="L927" s="13">
        <f>IFERROR(__xludf.DUMMYFUNCTION("GOOGLEFINANCE(""CURRENCY:INRBRL"") * I927
"),20.49082268424)</f>
        <v>20.49082268</v>
      </c>
      <c r="M927" s="9">
        <v>4.5</v>
      </c>
      <c r="N927" s="9">
        <v>656.0</v>
      </c>
      <c r="O927" s="9" t="s">
        <v>271</v>
      </c>
      <c r="P927" s="14" t="s">
        <v>3679</v>
      </c>
      <c r="U927" s="17"/>
      <c r="V927" s="18"/>
      <c r="W927" s="16"/>
      <c r="X927" s="16"/>
      <c r="Y927" s="16"/>
    </row>
    <row r="928">
      <c r="A928" s="9" t="s">
        <v>3680</v>
      </c>
      <c r="B928" s="10" t="s">
        <v>3681</v>
      </c>
      <c r="C928" s="10" t="s">
        <v>2638</v>
      </c>
      <c r="D928" s="10" t="s">
        <v>19</v>
      </c>
      <c r="E928" s="10" t="s">
        <v>57</v>
      </c>
      <c r="F928" s="10" t="s">
        <v>2639</v>
      </c>
      <c r="G928" s="10"/>
      <c r="H928" s="10"/>
      <c r="I928" s="11">
        <v>1199.0</v>
      </c>
      <c r="J928" s="11">
        <v>2999.0</v>
      </c>
      <c r="K928" s="12">
        <f t="shared" si="1"/>
        <v>0.6002000667</v>
      </c>
      <c r="L928" s="13">
        <f>IFERROR(__xludf.DUMMYFUNCTION("GOOGLEFINANCE(""CURRENCY:INRBRL"") * I928
"),70.59912758162)</f>
        <v>70.59912758</v>
      </c>
      <c r="M928" s="9">
        <v>4.49</v>
      </c>
      <c r="N928" s="9">
        <v>10725.0</v>
      </c>
      <c r="O928" s="9" t="s">
        <v>3682</v>
      </c>
      <c r="P928" s="14" t="s">
        <v>3683</v>
      </c>
      <c r="U928" s="17"/>
      <c r="V928" s="18"/>
      <c r="W928" s="16"/>
      <c r="X928" s="16"/>
      <c r="Y928" s="16"/>
    </row>
    <row r="929">
      <c r="A929" s="9" t="s">
        <v>3684</v>
      </c>
      <c r="B929" s="10" t="s">
        <v>3685</v>
      </c>
      <c r="C929" s="10" t="s">
        <v>2602</v>
      </c>
      <c r="D929" s="10" t="s">
        <v>19</v>
      </c>
      <c r="E929" s="10" t="s">
        <v>20</v>
      </c>
      <c r="F929" s="10" t="s">
        <v>2603</v>
      </c>
      <c r="G929" s="10"/>
      <c r="H929" s="10"/>
      <c r="I929" s="11">
        <v>397.0</v>
      </c>
      <c r="J929" s="11">
        <v>899.0</v>
      </c>
      <c r="K929" s="12">
        <f t="shared" si="1"/>
        <v>0.5583982202</v>
      </c>
      <c r="L929" s="13">
        <f>IFERROR(__xludf.DUMMYFUNCTION("GOOGLEFINANCE(""CURRENCY:INRBRL"") * I929
"),23.37602472886)</f>
        <v>23.37602473</v>
      </c>
      <c r="M929" s="9">
        <v>4.0</v>
      </c>
      <c r="N929" s="9">
        <v>3025.0</v>
      </c>
      <c r="O929" s="9" t="s">
        <v>3686</v>
      </c>
      <c r="P929" s="14" t="s">
        <v>3687</v>
      </c>
      <c r="U929" s="17"/>
      <c r="V929" s="18"/>
      <c r="W929" s="16"/>
      <c r="X929" s="16"/>
      <c r="Y929" s="16"/>
    </row>
    <row r="930">
      <c r="A930" s="9" t="s">
        <v>273</v>
      </c>
      <c r="B930" s="10" t="s">
        <v>274</v>
      </c>
      <c r="C930" s="10" t="s">
        <v>18</v>
      </c>
      <c r="D930" s="10" t="s">
        <v>19</v>
      </c>
      <c r="E930" s="10" t="s">
        <v>20</v>
      </c>
      <c r="F930" s="10" t="s">
        <v>21</v>
      </c>
      <c r="G930" s="10" t="s">
        <v>22</v>
      </c>
      <c r="H930" s="10" t="s">
        <v>23</v>
      </c>
      <c r="I930" s="11">
        <v>154.0</v>
      </c>
      <c r="J930" s="11">
        <v>349.0</v>
      </c>
      <c r="K930" s="12">
        <f t="shared" si="1"/>
        <v>0.558739255</v>
      </c>
      <c r="L930" s="13">
        <f>IFERROR(__xludf.DUMMYFUNCTION("GOOGLEFINANCE(""CURRENCY:INRBRL"") * I930
"),9.06777785452)</f>
        <v>9.067777855</v>
      </c>
      <c r="M930" s="9">
        <v>4.5</v>
      </c>
      <c r="N930" s="9">
        <v>7064.0</v>
      </c>
      <c r="O930" s="9" t="s">
        <v>275</v>
      </c>
      <c r="P930" s="14" t="s">
        <v>3688</v>
      </c>
      <c r="U930" s="17"/>
      <c r="V930" s="18"/>
      <c r="W930" s="16"/>
      <c r="X930" s="16"/>
      <c r="Y930" s="16"/>
    </row>
    <row r="931">
      <c r="A931" s="9" t="s">
        <v>3689</v>
      </c>
      <c r="B931" s="10" t="s">
        <v>3690</v>
      </c>
      <c r="C931" s="10" t="s">
        <v>2899</v>
      </c>
      <c r="D931" s="10" t="s">
        <v>19</v>
      </c>
      <c r="E931" s="10" t="s">
        <v>20</v>
      </c>
      <c r="F931" s="10" t="s">
        <v>2583</v>
      </c>
      <c r="G931" s="10" t="s">
        <v>2900</v>
      </c>
      <c r="H931" s="10"/>
      <c r="I931" s="11">
        <v>699.0</v>
      </c>
      <c r="J931" s="11">
        <v>1499.0</v>
      </c>
      <c r="K931" s="12">
        <f t="shared" si="1"/>
        <v>0.5336891261</v>
      </c>
      <c r="L931" s="13">
        <f>IFERROR(__xludf.DUMMYFUNCTION("GOOGLEFINANCE(""CURRENCY:INRBRL"") * I931
"),41.15829039162)</f>
        <v>41.15829039</v>
      </c>
      <c r="M931" s="9">
        <v>4.0</v>
      </c>
      <c r="N931" s="9">
        <v>5736.0</v>
      </c>
      <c r="O931" s="9" t="s">
        <v>3691</v>
      </c>
      <c r="P931" s="14" t="s">
        <v>3692</v>
      </c>
      <c r="U931" s="17"/>
      <c r="V931" s="18"/>
      <c r="W931" s="16"/>
      <c r="X931" s="16"/>
      <c r="Y931" s="16"/>
    </row>
    <row r="932">
      <c r="A932" s="9" t="s">
        <v>3693</v>
      </c>
      <c r="B932" s="10" t="s">
        <v>3694</v>
      </c>
      <c r="C932" s="10" t="s">
        <v>1454</v>
      </c>
      <c r="D932" s="10" t="s">
        <v>77</v>
      </c>
      <c r="E932" s="10" t="s">
        <v>1455</v>
      </c>
      <c r="F932" s="10" t="s">
        <v>1456</v>
      </c>
      <c r="G932" s="10" t="s">
        <v>1457</v>
      </c>
      <c r="H932" s="10"/>
      <c r="I932" s="11">
        <v>1679.0</v>
      </c>
      <c r="J932" s="11">
        <v>1999.0</v>
      </c>
      <c r="K932" s="12">
        <f t="shared" si="1"/>
        <v>0.16008004</v>
      </c>
      <c r="L932" s="13">
        <f>IFERROR(__xludf.DUMMYFUNCTION("GOOGLEFINANCE(""CURRENCY:INRBRL"") * I932
"),98.86233128402)</f>
        <v>98.86233128</v>
      </c>
      <c r="M932" s="9">
        <v>4.49</v>
      </c>
      <c r="N932" s="9">
        <v>72563.0</v>
      </c>
      <c r="O932" s="9" t="s">
        <v>3695</v>
      </c>
      <c r="P932" s="14" t="s">
        <v>3696</v>
      </c>
      <c r="U932" s="17"/>
      <c r="V932" s="18"/>
      <c r="W932" s="16"/>
      <c r="X932" s="16"/>
      <c r="Y932" s="16"/>
    </row>
    <row r="933">
      <c r="A933" s="9" t="s">
        <v>3697</v>
      </c>
      <c r="B933" s="10" t="s">
        <v>3698</v>
      </c>
      <c r="C933" s="10" t="s">
        <v>2348</v>
      </c>
      <c r="D933" s="10" t="s">
        <v>19</v>
      </c>
      <c r="E933" s="10" t="s">
        <v>20</v>
      </c>
      <c r="F933" s="10" t="s">
        <v>2342</v>
      </c>
      <c r="G933" s="10" t="s">
        <v>2349</v>
      </c>
      <c r="H933" s="10"/>
      <c r="I933" s="11">
        <v>354.0</v>
      </c>
      <c r="J933" s="11">
        <v>1499.0</v>
      </c>
      <c r="K933" s="12">
        <f t="shared" si="1"/>
        <v>0.7638425617</v>
      </c>
      <c r="L933" s="13">
        <f>IFERROR(__xludf.DUMMYFUNCTION("GOOGLEFINANCE(""CURRENCY:INRBRL"") * I933
"),20.84411273052)</f>
        <v>20.84411273</v>
      </c>
      <c r="M933" s="9">
        <v>4.0</v>
      </c>
      <c r="N933" s="9">
        <v>1026.0</v>
      </c>
      <c r="O933" s="9" t="s">
        <v>3699</v>
      </c>
      <c r="P933" s="14" t="s">
        <v>3700</v>
      </c>
      <c r="U933" s="17"/>
      <c r="V933" s="18"/>
      <c r="W933" s="16"/>
      <c r="X933" s="16"/>
      <c r="Y933" s="16"/>
    </row>
    <row r="934">
      <c r="A934" s="9" t="s">
        <v>3701</v>
      </c>
      <c r="B934" s="10" t="s">
        <v>3702</v>
      </c>
      <c r="C934" s="10" t="s">
        <v>3703</v>
      </c>
      <c r="D934" s="10" t="s">
        <v>19</v>
      </c>
      <c r="E934" s="10" t="s">
        <v>20</v>
      </c>
      <c r="F934" s="10" t="s">
        <v>2583</v>
      </c>
      <c r="G934" s="10" t="s">
        <v>3704</v>
      </c>
      <c r="H934" s="10"/>
      <c r="I934" s="11">
        <v>1199.0</v>
      </c>
      <c r="J934" s="11">
        <v>5499.0</v>
      </c>
      <c r="K934" s="12">
        <f t="shared" si="1"/>
        <v>0.7819603564</v>
      </c>
      <c r="L934" s="13">
        <f>IFERROR(__xludf.DUMMYFUNCTION("GOOGLEFINANCE(""CURRENCY:INRBRL"") * I934
"),70.59912758162)</f>
        <v>70.59912758</v>
      </c>
      <c r="M934" s="9">
        <v>4.51</v>
      </c>
      <c r="N934" s="9">
        <v>2043.0</v>
      </c>
      <c r="O934" s="9" t="s">
        <v>3705</v>
      </c>
      <c r="P934" s="14" t="s">
        <v>3706</v>
      </c>
      <c r="U934" s="17"/>
      <c r="V934" s="18"/>
      <c r="W934" s="16"/>
      <c r="X934" s="16"/>
      <c r="Y934" s="16"/>
    </row>
    <row r="935">
      <c r="A935" s="9" t="s">
        <v>3707</v>
      </c>
      <c r="B935" s="10" t="s">
        <v>3708</v>
      </c>
      <c r="C935" s="10" t="s">
        <v>2893</v>
      </c>
      <c r="D935" s="10" t="s">
        <v>19</v>
      </c>
      <c r="E935" s="10" t="s">
        <v>20</v>
      </c>
      <c r="F935" s="10" t="s">
        <v>2894</v>
      </c>
      <c r="G935" s="10" t="s">
        <v>1825</v>
      </c>
      <c r="H935" s="10"/>
      <c r="I935" s="11">
        <v>379.0</v>
      </c>
      <c r="J935" s="11">
        <v>1499.0</v>
      </c>
      <c r="K935" s="12">
        <f t="shared" si="1"/>
        <v>0.7471647765</v>
      </c>
      <c r="L935" s="13">
        <f>IFERROR(__xludf.DUMMYFUNCTION("GOOGLEFINANCE(""CURRENCY:INRBRL"") * I935
"),22.31615459002)</f>
        <v>22.31615459</v>
      </c>
      <c r="M935" s="9">
        <v>4.5</v>
      </c>
      <c r="N935" s="9">
        <v>4149.0</v>
      </c>
      <c r="O935" s="9" t="s">
        <v>3709</v>
      </c>
      <c r="P935" s="14" t="s">
        <v>3710</v>
      </c>
      <c r="U935" s="17"/>
      <c r="V935" s="18"/>
      <c r="W935" s="16"/>
      <c r="X935" s="16"/>
      <c r="Y935" s="16"/>
    </row>
    <row r="936">
      <c r="A936" s="9" t="s">
        <v>3711</v>
      </c>
      <c r="B936" s="10" t="s">
        <v>3712</v>
      </c>
      <c r="C936" s="10" t="s">
        <v>2476</v>
      </c>
      <c r="D936" s="10" t="s">
        <v>19</v>
      </c>
      <c r="E936" s="10" t="s">
        <v>2335</v>
      </c>
      <c r="F936" s="10" t="s">
        <v>2477</v>
      </c>
      <c r="G936" s="10"/>
      <c r="H936" s="10"/>
      <c r="I936" s="11">
        <v>499.0</v>
      </c>
      <c r="J936" s="11">
        <v>775.0</v>
      </c>
      <c r="K936" s="12">
        <f t="shared" si="1"/>
        <v>0.3561290323</v>
      </c>
      <c r="L936" s="13">
        <f>IFERROR(__xludf.DUMMYFUNCTION("GOOGLEFINANCE(""CURRENCY:INRBRL"") * I936
"),29.38195551562)</f>
        <v>29.38195552</v>
      </c>
      <c r="M936" s="9">
        <v>4.5</v>
      </c>
      <c r="N936" s="9">
        <v>74.0</v>
      </c>
      <c r="O936" s="9" t="s">
        <v>3713</v>
      </c>
      <c r="P936" s="14" t="s">
        <v>3714</v>
      </c>
      <c r="U936" s="17"/>
      <c r="V936" s="18"/>
      <c r="W936" s="16"/>
      <c r="X936" s="16"/>
      <c r="Y936" s="16"/>
    </row>
    <row r="937">
      <c r="A937" s="9" t="s">
        <v>3715</v>
      </c>
      <c r="B937" s="10" t="s">
        <v>3716</v>
      </c>
      <c r="C937" s="10" t="s">
        <v>3717</v>
      </c>
      <c r="D937" s="10" t="s">
        <v>19</v>
      </c>
      <c r="E937" s="10" t="s">
        <v>2335</v>
      </c>
      <c r="F937" s="10" t="s">
        <v>3718</v>
      </c>
      <c r="G937" s="10"/>
      <c r="H937" s="10"/>
      <c r="I937" s="11">
        <v>10389.0</v>
      </c>
      <c r="J937" s="11">
        <v>31999.0</v>
      </c>
      <c r="K937" s="12">
        <f t="shared" si="1"/>
        <v>0.6753336042</v>
      </c>
      <c r="L937" s="13">
        <f>IFERROR(__xludf.DUMMYFUNCTION("GOOGLEFINANCE(""CURRENCY:INRBRL"") * I937
"),611.72171513382)</f>
        <v>611.7217151</v>
      </c>
      <c r="M937" s="9">
        <v>4.5</v>
      </c>
      <c r="N937" s="9">
        <v>41398.0</v>
      </c>
      <c r="O937" s="9" t="s">
        <v>3719</v>
      </c>
      <c r="P937" s="14" t="s">
        <v>3720</v>
      </c>
      <c r="U937" s="17"/>
      <c r="V937" s="18"/>
      <c r="W937" s="16"/>
      <c r="X937" s="16"/>
      <c r="Y937" s="16"/>
    </row>
    <row r="938">
      <c r="A938" s="9" t="s">
        <v>3721</v>
      </c>
      <c r="B938" s="10" t="s">
        <v>3722</v>
      </c>
      <c r="C938" s="10" t="s">
        <v>3356</v>
      </c>
      <c r="D938" s="10" t="s">
        <v>19</v>
      </c>
      <c r="E938" s="10" t="s">
        <v>20</v>
      </c>
      <c r="F938" s="10" t="s">
        <v>2960</v>
      </c>
      <c r="G938" s="10" t="s">
        <v>3357</v>
      </c>
      <c r="H938" s="10"/>
      <c r="I938" s="11">
        <v>649.0</v>
      </c>
      <c r="J938" s="11">
        <v>1299.0</v>
      </c>
      <c r="K938" s="12">
        <f t="shared" si="1"/>
        <v>0.5003849115</v>
      </c>
      <c r="L938" s="13">
        <f>IFERROR(__xludf.DUMMYFUNCTION("GOOGLEFINANCE(""CURRENCY:INRBRL"") * I938
"),38.21420667262)</f>
        <v>38.21420667</v>
      </c>
      <c r="M938" s="9">
        <v>4.49</v>
      </c>
      <c r="N938" s="9">
        <v>5195.0</v>
      </c>
      <c r="O938" s="9" t="s">
        <v>3723</v>
      </c>
      <c r="P938" s="14" t="s">
        <v>3724</v>
      </c>
      <c r="U938" s="17"/>
      <c r="V938" s="18"/>
      <c r="W938" s="16"/>
      <c r="X938" s="16"/>
      <c r="Y938" s="16"/>
    </row>
    <row r="939">
      <c r="A939" s="9" t="s">
        <v>3725</v>
      </c>
      <c r="B939" s="10" t="s">
        <v>3726</v>
      </c>
      <c r="C939" s="10" t="s">
        <v>3727</v>
      </c>
      <c r="D939" s="10" t="s">
        <v>19</v>
      </c>
      <c r="E939" s="10" t="s">
        <v>57</v>
      </c>
      <c r="F939" s="10" t="s">
        <v>58</v>
      </c>
      <c r="G939" s="10" t="s">
        <v>3728</v>
      </c>
      <c r="H939" s="10"/>
      <c r="I939" s="11">
        <v>1199.0</v>
      </c>
      <c r="J939" s="11">
        <v>1999.0</v>
      </c>
      <c r="K939" s="12">
        <f t="shared" si="1"/>
        <v>0.4002001001</v>
      </c>
      <c r="L939" s="13">
        <f>IFERROR(__xludf.DUMMYFUNCTION("GOOGLEFINANCE(""CURRENCY:INRBRL"") * I939
"),70.59912758162)</f>
        <v>70.59912758</v>
      </c>
      <c r="M939" s="9">
        <v>4.51</v>
      </c>
      <c r="N939" s="9">
        <v>2242.0</v>
      </c>
      <c r="O939" s="9" t="s">
        <v>3729</v>
      </c>
      <c r="P939" s="14" t="s">
        <v>3730</v>
      </c>
      <c r="U939" s="17"/>
      <c r="V939" s="18"/>
      <c r="W939" s="16"/>
      <c r="X939" s="16"/>
      <c r="Y939" s="16"/>
    </row>
    <row r="940">
      <c r="A940" s="9" t="s">
        <v>285</v>
      </c>
      <c r="B940" s="10" t="s">
        <v>286</v>
      </c>
      <c r="C940" s="10" t="s">
        <v>18</v>
      </c>
      <c r="D940" s="10" t="s">
        <v>19</v>
      </c>
      <c r="E940" s="10" t="s">
        <v>20</v>
      </c>
      <c r="F940" s="10" t="s">
        <v>21</v>
      </c>
      <c r="G940" s="10" t="s">
        <v>22</v>
      </c>
      <c r="H940" s="10" t="s">
        <v>23</v>
      </c>
      <c r="I940" s="11">
        <v>139.0</v>
      </c>
      <c r="J940" s="11">
        <v>999.0</v>
      </c>
      <c r="K940" s="12">
        <f t="shared" si="1"/>
        <v>0.8608608609</v>
      </c>
      <c r="L940" s="13">
        <f>IFERROR(__xludf.DUMMYFUNCTION("GOOGLEFINANCE(""CURRENCY:INRBRL"") * I940
"),8.184552738819999)</f>
        <v>8.184552739</v>
      </c>
      <c r="M940" s="9">
        <v>4.0</v>
      </c>
      <c r="N940" s="9">
        <v>1313.0</v>
      </c>
      <c r="O940" s="9" t="s">
        <v>287</v>
      </c>
      <c r="P940" s="14" t="s">
        <v>3731</v>
      </c>
      <c r="U940" s="17"/>
      <c r="V940" s="18"/>
      <c r="W940" s="16"/>
      <c r="X940" s="16"/>
      <c r="Y940" s="16"/>
    </row>
    <row r="941">
      <c r="A941" s="9" t="s">
        <v>3732</v>
      </c>
      <c r="B941" s="10" t="s">
        <v>3733</v>
      </c>
      <c r="C941" s="10" t="s">
        <v>1454</v>
      </c>
      <c r="D941" s="10" t="s">
        <v>77</v>
      </c>
      <c r="E941" s="10" t="s">
        <v>1455</v>
      </c>
      <c r="F941" s="10" t="s">
        <v>1456</v>
      </c>
      <c r="G941" s="10" t="s">
        <v>1457</v>
      </c>
      <c r="H941" s="10"/>
      <c r="I941" s="11">
        <v>889.0</v>
      </c>
      <c r="J941" s="11">
        <v>1999.0</v>
      </c>
      <c r="K941" s="12">
        <f t="shared" si="1"/>
        <v>0.5552776388</v>
      </c>
      <c r="L941" s="13">
        <f>IFERROR(__xludf.DUMMYFUNCTION("GOOGLEFINANCE(""CURRENCY:INRBRL"") * I941
"),52.34580852382)</f>
        <v>52.34580852</v>
      </c>
      <c r="M941" s="9">
        <v>4.5</v>
      </c>
      <c r="N941" s="9">
        <v>2284.0</v>
      </c>
      <c r="O941" s="9" t="s">
        <v>3734</v>
      </c>
      <c r="P941" s="14" t="s">
        <v>3735</v>
      </c>
      <c r="U941" s="17"/>
      <c r="V941" s="18"/>
      <c r="W941" s="16"/>
      <c r="X941" s="16"/>
      <c r="Y941" s="16"/>
    </row>
    <row r="942">
      <c r="A942" s="9" t="s">
        <v>3736</v>
      </c>
      <c r="B942" s="10" t="s">
        <v>3737</v>
      </c>
      <c r="C942" s="10" t="s">
        <v>2467</v>
      </c>
      <c r="D942" s="10" t="s">
        <v>19</v>
      </c>
      <c r="E942" s="10" t="s">
        <v>20</v>
      </c>
      <c r="F942" s="10" t="s">
        <v>2342</v>
      </c>
      <c r="G942" s="10" t="s">
        <v>2468</v>
      </c>
      <c r="H942" s="10"/>
      <c r="I942" s="11">
        <v>1409.0</v>
      </c>
      <c r="J942" s="11">
        <v>2199.0</v>
      </c>
      <c r="K942" s="12">
        <f t="shared" si="1"/>
        <v>0.3592542065</v>
      </c>
      <c r="L942" s="13">
        <f>IFERROR(__xludf.DUMMYFUNCTION("GOOGLEFINANCE(""CURRENCY:INRBRL"") * I942
"),82.96427920142)</f>
        <v>82.9642792</v>
      </c>
      <c r="M942" s="9">
        <v>4.52</v>
      </c>
      <c r="N942" s="9">
        <v>427.0</v>
      </c>
      <c r="O942" s="9" t="s">
        <v>3738</v>
      </c>
      <c r="P942" s="14" t="s">
        <v>3739</v>
      </c>
      <c r="U942" s="17"/>
      <c r="V942" s="18"/>
      <c r="W942" s="16"/>
      <c r="X942" s="16"/>
      <c r="Y942" s="16"/>
    </row>
    <row r="943">
      <c r="A943" s="9" t="s">
        <v>3740</v>
      </c>
      <c r="B943" s="10" t="s">
        <v>3741</v>
      </c>
      <c r="C943" s="10" t="s">
        <v>3742</v>
      </c>
      <c r="D943" s="10" t="s">
        <v>19</v>
      </c>
      <c r="E943" s="10" t="s">
        <v>2547</v>
      </c>
      <c r="F943" s="10" t="s">
        <v>2548</v>
      </c>
      <c r="G943" s="10" t="s">
        <v>3743</v>
      </c>
      <c r="H943" s="10"/>
      <c r="I943" s="11">
        <v>549.0</v>
      </c>
      <c r="J943" s="11">
        <v>1999.0</v>
      </c>
      <c r="K943" s="12">
        <f t="shared" si="1"/>
        <v>0.7253626813</v>
      </c>
      <c r="L943" s="13">
        <f>IFERROR(__xludf.DUMMYFUNCTION("GOOGLEFINANCE(""CURRENCY:INRBRL"") * I943
"),32.32603923462)</f>
        <v>32.32603923</v>
      </c>
      <c r="M943" s="9">
        <v>4.5</v>
      </c>
      <c r="N943" s="9">
        <v>1367.0</v>
      </c>
      <c r="O943" s="9" t="s">
        <v>3744</v>
      </c>
      <c r="P943" s="14" t="s">
        <v>3745</v>
      </c>
      <c r="U943" s="17"/>
      <c r="V943" s="18"/>
      <c r="W943" s="16"/>
      <c r="X943" s="16"/>
      <c r="Y943" s="16"/>
    </row>
    <row r="944">
      <c r="A944" s="9" t="s">
        <v>3746</v>
      </c>
      <c r="B944" s="10" t="s">
        <v>3747</v>
      </c>
      <c r="C944" s="10" t="s">
        <v>3703</v>
      </c>
      <c r="D944" s="10" t="s">
        <v>19</v>
      </c>
      <c r="E944" s="10" t="s">
        <v>20</v>
      </c>
      <c r="F944" s="10" t="s">
        <v>2583</v>
      </c>
      <c r="G944" s="10" t="s">
        <v>3704</v>
      </c>
      <c r="H944" s="10"/>
      <c r="I944" s="11">
        <v>749.0</v>
      </c>
      <c r="J944" s="11">
        <v>1799.0</v>
      </c>
      <c r="K944" s="12">
        <f t="shared" si="1"/>
        <v>0.5836575875</v>
      </c>
      <c r="L944" s="13">
        <f>IFERROR(__xludf.DUMMYFUNCTION("GOOGLEFINANCE(""CURRENCY:INRBRL"") * I944
"),44.10237411062)</f>
        <v>44.10237411</v>
      </c>
      <c r="M944" s="9">
        <v>4.0</v>
      </c>
      <c r="N944" s="9">
        <v>13199.0</v>
      </c>
      <c r="O944" s="9" t="s">
        <v>3748</v>
      </c>
      <c r="P944" s="14" t="s">
        <v>3749</v>
      </c>
      <c r="U944" s="17"/>
      <c r="V944" s="18"/>
      <c r="W944" s="16"/>
      <c r="X944" s="16"/>
      <c r="Y944" s="16"/>
    </row>
    <row r="945">
      <c r="A945" s="9" t="s">
        <v>289</v>
      </c>
      <c r="B945" s="10" t="s">
        <v>290</v>
      </c>
      <c r="C945" s="10" t="s">
        <v>18</v>
      </c>
      <c r="D945" s="10" t="s">
        <v>19</v>
      </c>
      <c r="E945" s="10" t="s">
        <v>20</v>
      </c>
      <c r="F945" s="10" t="s">
        <v>21</v>
      </c>
      <c r="G945" s="10" t="s">
        <v>22</v>
      </c>
      <c r="H945" s="10" t="s">
        <v>23</v>
      </c>
      <c r="I945" s="11">
        <v>329.0</v>
      </c>
      <c r="J945" s="11">
        <v>845.0</v>
      </c>
      <c r="K945" s="12">
        <f t="shared" si="1"/>
        <v>0.6106508876</v>
      </c>
      <c r="L945" s="13">
        <f>IFERROR(__xludf.DUMMYFUNCTION("GOOGLEFINANCE(""CURRENCY:INRBRL"") * I945
"),19.37207087102)</f>
        <v>19.37207087</v>
      </c>
      <c r="M945" s="9">
        <v>4.5</v>
      </c>
      <c r="N945" s="9">
        <v>29746.0</v>
      </c>
      <c r="O945" s="9" t="s">
        <v>291</v>
      </c>
      <c r="P945" s="14" t="s">
        <v>3750</v>
      </c>
      <c r="U945" s="17"/>
      <c r="V945" s="18"/>
      <c r="W945" s="16"/>
      <c r="X945" s="16"/>
      <c r="Y945" s="16"/>
    </row>
    <row r="946">
      <c r="A946" s="9" t="s">
        <v>3751</v>
      </c>
      <c r="B946" s="10" t="s">
        <v>3752</v>
      </c>
      <c r="C946" s="10" t="s">
        <v>18</v>
      </c>
      <c r="D946" s="10" t="s">
        <v>19</v>
      </c>
      <c r="E946" s="10" t="s">
        <v>20</v>
      </c>
      <c r="F946" s="10" t="s">
        <v>21</v>
      </c>
      <c r="G946" s="10" t="s">
        <v>22</v>
      </c>
      <c r="H946" s="10" t="s">
        <v>23</v>
      </c>
      <c r="I946" s="11">
        <v>379.0</v>
      </c>
      <c r="J946" s="11">
        <v>1099.0</v>
      </c>
      <c r="K946" s="12">
        <f t="shared" si="1"/>
        <v>0.6551410373</v>
      </c>
      <c r="L946" s="13">
        <f>IFERROR(__xludf.DUMMYFUNCTION("GOOGLEFINANCE(""CURRENCY:INRBRL"") * I946
"),22.31615459002)</f>
        <v>22.31615459</v>
      </c>
      <c r="M946" s="9">
        <v>4.5</v>
      </c>
      <c r="N946" s="9">
        <v>2806.0</v>
      </c>
      <c r="O946" s="9" t="s">
        <v>3753</v>
      </c>
      <c r="P946" s="14" t="s">
        <v>3754</v>
      </c>
      <c r="U946" s="17"/>
      <c r="V946" s="18"/>
      <c r="W946" s="16"/>
      <c r="X946" s="16"/>
      <c r="Y946" s="16"/>
    </row>
    <row r="947">
      <c r="A947" s="9" t="s">
        <v>3755</v>
      </c>
      <c r="B947" s="10" t="s">
        <v>3756</v>
      </c>
      <c r="C947" s="10" t="s">
        <v>1388</v>
      </c>
      <c r="D947" s="10" t="s">
        <v>77</v>
      </c>
      <c r="E947" s="10" t="s">
        <v>1389</v>
      </c>
      <c r="F947" s="10" t="s">
        <v>1390</v>
      </c>
      <c r="G947" s="10"/>
      <c r="H947" s="10"/>
      <c r="I947" s="11">
        <v>5998.0</v>
      </c>
      <c r="J947" s="11">
        <v>7999.0</v>
      </c>
      <c r="K947" s="12">
        <f t="shared" si="1"/>
        <v>0.2501562695</v>
      </c>
      <c r="L947" s="13">
        <f>IFERROR(__xludf.DUMMYFUNCTION("GOOGLEFINANCE(""CURRENCY:INRBRL"") * I947
"),353.17228293124)</f>
        <v>353.1722829</v>
      </c>
      <c r="M947" s="9">
        <v>4.5</v>
      </c>
      <c r="N947" s="9">
        <v>30355.0</v>
      </c>
      <c r="O947" s="9" t="s">
        <v>3757</v>
      </c>
      <c r="P947" s="14" t="s">
        <v>3758</v>
      </c>
      <c r="U947" s="17"/>
      <c r="V947" s="18"/>
      <c r="W947" s="16"/>
      <c r="X947" s="16"/>
      <c r="Y947" s="16"/>
    </row>
    <row r="948">
      <c r="A948" s="9" t="s">
        <v>3759</v>
      </c>
      <c r="B948" s="10" t="s">
        <v>3760</v>
      </c>
      <c r="C948" s="10" t="s">
        <v>2988</v>
      </c>
      <c r="D948" s="10" t="s">
        <v>19</v>
      </c>
      <c r="E948" s="10" t="s">
        <v>20</v>
      </c>
      <c r="F948" s="10" t="s">
        <v>2157</v>
      </c>
      <c r="G948" s="10" t="s">
        <v>2989</v>
      </c>
      <c r="H948" s="10" t="s">
        <v>2990</v>
      </c>
      <c r="I948" s="11">
        <v>299.0</v>
      </c>
      <c r="J948" s="11">
        <v>1499.0</v>
      </c>
      <c r="K948" s="12">
        <f t="shared" si="1"/>
        <v>0.8005336891</v>
      </c>
      <c r="L948" s="13">
        <f>IFERROR(__xludf.DUMMYFUNCTION("GOOGLEFINANCE(""CURRENCY:INRBRL"") * I948
"),17.60562063962)</f>
        <v>17.60562064</v>
      </c>
      <c r="M948" s="9">
        <v>4.5</v>
      </c>
      <c r="N948" s="9">
        <v>2868.0</v>
      </c>
      <c r="O948" s="9" t="s">
        <v>3761</v>
      </c>
      <c r="P948" s="14" t="s">
        <v>3762</v>
      </c>
      <c r="U948" s="17"/>
      <c r="V948" s="18"/>
      <c r="W948" s="16"/>
      <c r="X948" s="16"/>
      <c r="Y948" s="16"/>
    </row>
    <row r="949">
      <c r="A949" s="9" t="s">
        <v>3763</v>
      </c>
      <c r="B949" s="10" t="s">
        <v>3764</v>
      </c>
      <c r="C949" s="10" t="s">
        <v>2893</v>
      </c>
      <c r="D949" s="10" t="s">
        <v>19</v>
      </c>
      <c r="E949" s="10" t="s">
        <v>20</v>
      </c>
      <c r="F949" s="10" t="s">
        <v>2894</v>
      </c>
      <c r="G949" s="10" t="s">
        <v>1825</v>
      </c>
      <c r="H949" s="10"/>
      <c r="I949" s="11">
        <v>379.0</v>
      </c>
      <c r="J949" s="11">
        <v>1499.0</v>
      </c>
      <c r="K949" s="12">
        <f t="shared" si="1"/>
        <v>0.7471647765</v>
      </c>
      <c r="L949" s="13">
        <f>IFERROR(__xludf.DUMMYFUNCTION("GOOGLEFINANCE(""CURRENCY:INRBRL"") * I949
"),22.31615459002)</f>
        <v>22.31615459</v>
      </c>
      <c r="M949" s="9">
        <v>4.49</v>
      </c>
      <c r="N949" s="9">
        <v>670.0</v>
      </c>
      <c r="O949" s="9" t="s">
        <v>3765</v>
      </c>
      <c r="P949" s="14" t="s">
        <v>3766</v>
      </c>
      <c r="U949" s="17"/>
      <c r="V949" s="18"/>
      <c r="W949" s="16"/>
      <c r="X949" s="16"/>
      <c r="Y949" s="16"/>
    </row>
    <row r="950">
      <c r="A950" s="9" t="s">
        <v>3767</v>
      </c>
      <c r="B950" s="10" t="s">
        <v>3768</v>
      </c>
      <c r="C950" s="10" t="s">
        <v>3769</v>
      </c>
      <c r="D950" s="10" t="s">
        <v>2440</v>
      </c>
      <c r="E950" s="10" t="s">
        <v>2441</v>
      </c>
      <c r="F950" s="10" t="s">
        <v>2442</v>
      </c>
      <c r="G950" s="10" t="s">
        <v>2443</v>
      </c>
      <c r="H950" s="10" t="s">
        <v>2719</v>
      </c>
      <c r="I950" s="11">
        <v>1399.0</v>
      </c>
      <c r="J950" s="11">
        <v>2999.0</v>
      </c>
      <c r="K950" s="12">
        <f t="shared" si="1"/>
        <v>0.5335111704</v>
      </c>
      <c r="L950" s="13">
        <f>IFERROR(__xludf.DUMMYFUNCTION("GOOGLEFINANCE(""CURRENCY:INRBRL"") * I950
"),82.37546245762)</f>
        <v>82.37546246</v>
      </c>
      <c r="M950" s="9">
        <v>4.5</v>
      </c>
      <c r="N950" s="9">
        <v>353.0</v>
      </c>
      <c r="O950" s="9" t="s">
        <v>3770</v>
      </c>
      <c r="P950" s="14" t="s">
        <v>3771</v>
      </c>
      <c r="U950" s="17"/>
      <c r="V950" s="18"/>
      <c r="W950" s="16"/>
      <c r="X950" s="16"/>
      <c r="Y950" s="16"/>
    </row>
    <row r="951">
      <c r="A951" s="9" t="s">
        <v>3772</v>
      </c>
      <c r="B951" s="10" t="s">
        <v>3773</v>
      </c>
      <c r="C951" s="10" t="s">
        <v>3774</v>
      </c>
      <c r="D951" s="10" t="s">
        <v>77</v>
      </c>
      <c r="E951" s="10" t="s">
        <v>2483</v>
      </c>
      <c r="F951" s="10" t="s">
        <v>79</v>
      </c>
      <c r="G951" s="10" t="s">
        <v>3775</v>
      </c>
      <c r="H951" s="10" t="s">
        <v>3776</v>
      </c>
      <c r="I951" s="11">
        <v>699.0</v>
      </c>
      <c r="J951" s="11">
        <v>1299.0</v>
      </c>
      <c r="K951" s="12">
        <f t="shared" si="1"/>
        <v>0.4618937644</v>
      </c>
      <c r="L951" s="13">
        <f>IFERROR(__xludf.DUMMYFUNCTION("GOOGLEFINANCE(""CURRENCY:INRBRL"") * I951
"),41.15829039162)</f>
        <v>41.15829039</v>
      </c>
      <c r="M951" s="9">
        <v>4.5</v>
      </c>
      <c r="N951" s="9">
        <v>6183.0</v>
      </c>
      <c r="O951" s="9" t="s">
        <v>3777</v>
      </c>
      <c r="P951" s="14" t="s">
        <v>3778</v>
      </c>
      <c r="U951" s="17"/>
      <c r="V951" s="18"/>
      <c r="W951" s="16"/>
      <c r="X951" s="16"/>
      <c r="Y951" s="16"/>
    </row>
    <row r="952">
      <c r="A952" s="9" t="s">
        <v>3779</v>
      </c>
      <c r="B952" s="10" t="s">
        <v>3780</v>
      </c>
      <c r="C952" s="10" t="s">
        <v>3022</v>
      </c>
      <c r="D952" s="10" t="s">
        <v>2440</v>
      </c>
      <c r="E952" s="10" t="s">
        <v>2441</v>
      </c>
      <c r="F952" s="10" t="s">
        <v>2442</v>
      </c>
      <c r="G952" s="10" t="s">
        <v>2443</v>
      </c>
      <c r="H952" s="10" t="s">
        <v>2719</v>
      </c>
      <c r="I952" s="11">
        <v>300.0</v>
      </c>
      <c r="J952" s="11">
        <v>300.0</v>
      </c>
      <c r="K952" s="12">
        <f t="shared" si="1"/>
        <v>0</v>
      </c>
      <c r="L952" s="13">
        <f>IFERROR(__xludf.DUMMYFUNCTION("GOOGLEFINANCE(""CURRENCY:INRBRL"") * I952
"),17.664502314)</f>
        <v>17.66450231</v>
      </c>
      <c r="M952" s="9">
        <v>4.5</v>
      </c>
      <c r="N952" s="9">
        <v>419.0</v>
      </c>
      <c r="O952" s="9" t="s">
        <v>3781</v>
      </c>
      <c r="P952" s="14" t="s">
        <v>3782</v>
      </c>
      <c r="U952" s="17"/>
      <c r="V952" s="18"/>
      <c r="W952" s="16"/>
      <c r="X952" s="16"/>
      <c r="Y952" s="16"/>
    </row>
    <row r="953">
      <c r="A953" s="9" t="s">
        <v>3783</v>
      </c>
      <c r="B953" s="10" t="s">
        <v>3784</v>
      </c>
      <c r="C953" s="10" t="s">
        <v>2596</v>
      </c>
      <c r="D953" s="10" t="s">
        <v>19</v>
      </c>
      <c r="E953" s="10" t="s">
        <v>20</v>
      </c>
      <c r="F953" s="10" t="s">
        <v>2342</v>
      </c>
      <c r="G953" s="10" t="s">
        <v>2556</v>
      </c>
      <c r="H953" s="10" t="s">
        <v>2597</v>
      </c>
      <c r="I953" s="11">
        <v>999.0</v>
      </c>
      <c r="J953" s="11">
        <v>1995.0</v>
      </c>
      <c r="K953" s="12">
        <f t="shared" si="1"/>
        <v>0.4992481203</v>
      </c>
      <c r="L953" s="13">
        <f>IFERROR(__xludf.DUMMYFUNCTION("GOOGLEFINANCE(""CURRENCY:INRBRL"") * I953
"),58.822792705619996)</f>
        <v>58.82279271</v>
      </c>
      <c r="M953" s="9">
        <v>4.51</v>
      </c>
      <c r="N953" s="9">
        <v>7317.0</v>
      </c>
      <c r="O953" s="9" t="s">
        <v>3785</v>
      </c>
      <c r="P953" s="14" t="s">
        <v>3786</v>
      </c>
      <c r="U953" s="17"/>
      <c r="V953" s="18"/>
      <c r="W953" s="16"/>
      <c r="X953" s="16"/>
      <c r="Y953" s="16"/>
    </row>
    <row r="954">
      <c r="A954" s="9" t="s">
        <v>3787</v>
      </c>
      <c r="B954" s="10" t="s">
        <v>3788</v>
      </c>
      <c r="C954" s="10" t="s">
        <v>3789</v>
      </c>
      <c r="D954" s="10" t="s">
        <v>2440</v>
      </c>
      <c r="E954" s="10" t="s">
        <v>2521</v>
      </c>
      <c r="F954" s="10" t="s">
        <v>2522</v>
      </c>
      <c r="G954" s="10" t="s">
        <v>3790</v>
      </c>
      <c r="H954" s="10"/>
      <c r="I954" s="11">
        <v>535.0</v>
      </c>
      <c r="J954" s="11">
        <v>535.0</v>
      </c>
      <c r="K954" s="12">
        <f t="shared" si="1"/>
        <v>0</v>
      </c>
      <c r="L954" s="13">
        <f>IFERROR(__xludf.DUMMYFUNCTION("GOOGLEFINANCE(""CURRENCY:INRBRL"") * I954
"),31.501695793299998)</f>
        <v>31.50169579</v>
      </c>
      <c r="M954" s="9">
        <v>4.5</v>
      </c>
      <c r="N954" s="9">
        <v>4426.0</v>
      </c>
      <c r="O954" s="9" t="s">
        <v>3791</v>
      </c>
      <c r="P954" s="14" t="s">
        <v>3792</v>
      </c>
      <c r="U954" s="17"/>
      <c r="V954" s="18"/>
      <c r="W954" s="16"/>
      <c r="X954" s="16"/>
      <c r="Y954" s="16"/>
    </row>
    <row r="955">
      <c r="A955" s="9" t="s">
        <v>293</v>
      </c>
      <c r="B955" s="10" t="s">
        <v>294</v>
      </c>
      <c r="C955" s="10" t="s">
        <v>96</v>
      </c>
      <c r="D955" s="10" t="s">
        <v>77</v>
      </c>
      <c r="E955" s="10" t="s">
        <v>78</v>
      </c>
      <c r="F955" s="10" t="s">
        <v>97</v>
      </c>
      <c r="G955" s="10" t="s">
        <v>98</v>
      </c>
      <c r="H955" s="10"/>
      <c r="I955" s="11">
        <v>13999.0</v>
      </c>
      <c r="J955" s="11">
        <v>24999.0</v>
      </c>
      <c r="K955" s="12">
        <f t="shared" si="1"/>
        <v>0.4400176007</v>
      </c>
      <c r="L955" s="13">
        <f>IFERROR(__xludf.DUMMYFUNCTION("GOOGLEFINANCE(""CURRENCY:INRBRL"") * I955
"),824.28455964562)</f>
        <v>824.2845596</v>
      </c>
      <c r="M955" s="9">
        <v>4.5</v>
      </c>
      <c r="N955" s="9">
        <v>45237.0</v>
      </c>
      <c r="O955" s="9" t="s">
        <v>295</v>
      </c>
      <c r="P955" s="14" t="s">
        <v>3793</v>
      </c>
      <c r="U955" s="17"/>
      <c r="V955" s="18"/>
      <c r="W955" s="16"/>
      <c r="X955" s="16"/>
      <c r="Y955" s="16"/>
    </row>
    <row r="956">
      <c r="A956" s="9" t="s">
        <v>3794</v>
      </c>
      <c r="B956" s="10" t="s">
        <v>3795</v>
      </c>
      <c r="C956" s="10" t="s">
        <v>2988</v>
      </c>
      <c r="D956" s="10" t="s">
        <v>19</v>
      </c>
      <c r="E956" s="10" t="s">
        <v>20</v>
      </c>
      <c r="F956" s="10" t="s">
        <v>2157</v>
      </c>
      <c r="G956" s="10" t="s">
        <v>2989</v>
      </c>
      <c r="H956" s="10" t="s">
        <v>2990</v>
      </c>
      <c r="I956" s="11">
        <v>269.0</v>
      </c>
      <c r="J956" s="11">
        <v>1099.0</v>
      </c>
      <c r="K956" s="12">
        <f t="shared" si="1"/>
        <v>0.7552320291</v>
      </c>
      <c r="L956" s="13">
        <f>IFERROR(__xludf.DUMMYFUNCTION("GOOGLEFINANCE(""CURRENCY:INRBRL"") * I956
"),15.83917040822)</f>
        <v>15.83917041</v>
      </c>
      <c r="M956" s="9">
        <v>4.49</v>
      </c>
      <c r="N956" s="9">
        <v>1092.0</v>
      </c>
      <c r="O956" s="9" t="s">
        <v>3796</v>
      </c>
      <c r="P956" s="14" t="s">
        <v>3797</v>
      </c>
      <c r="U956" s="17"/>
      <c r="V956" s="18"/>
      <c r="W956" s="16"/>
      <c r="X956" s="16"/>
      <c r="Y956" s="16"/>
    </row>
    <row r="957">
      <c r="A957" s="9" t="s">
        <v>3798</v>
      </c>
      <c r="B957" s="10" t="s">
        <v>3799</v>
      </c>
      <c r="C957" s="10" t="s">
        <v>3387</v>
      </c>
      <c r="D957" s="10" t="s">
        <v>2440</v>
      </c>
      <c r="E957" s="10" t="s">
        <v>2441</v>
      </c>
      <c r="F957" s="10" t="s">
        <v>2442</v>
      </c>
      <c r="G957" s="10" t="s">
        <v>2443</v>
      </c>
      <c r="H957" s="10" t="s">
        <v>2444</v>
      </c>
      <c r="I957" s="11">
        <v>341.0</v>
      </c>
      <c r="J957" s="11">
        <v>450.0</v>
      </c>
      <c r="K957" s="12">
        <f t="shared" si="1"/>
        <v>0.2422222222</v>
      </c>
      <c r="L957" s="13">
        <f>IFERROR(__xludf.DUMMYFUNCTION("GOOGLEFINANCE(""CURRENCY:INRBRL"") * I957
"),20.07865096358)</f>
        <v>20.07865096</v>
      </c>
      <c r="M957" s="9">
        <v>4.5</v>
      </c>
      <c r="N957" s="9">
        <v>2493.0</v>
      </c>
      <c r="O957" s="9" t="s">
        <v>3800</v>
      </c>
      <c r="P957" s="14" t="s">
        <v>3801</v>
      </c>
      <c r="U957" s="17"/>
      <c r="V957" s="18"/>
      <c r="W957" s="16"/>
      <c r="X957" s="16"/>
      <c r="Y957" s="16"/>
    </row>
    <row r="958">
      <c r="A958" s="9" t="s">
        <v>3802</v>
      </c>
      <c r="B958" s="10" t="s">
        <v>3803</v>
      </c>
      <c r="C958" s="10" t="s">
        <v>2638</v>
      </c>
      <c r="D958" s="10" t="s">
        <v>19</v>
      </c>
      <c r="E958" s="10" t="s">
        <v>57</v>
      </c>
      <c r="F958" s="10" t="s">
        <v>2639</v>
      </c>
      <c r="G958" s="10"/>
      <c r="H958" s="10"/>
      <c r="I958" s="11">
        <v>2499.0</v>
      </c>
      <c r="J958" s="11">
        <v>3999.0</v>
      </c>
      <c r="K958" s="12">
        <f t="shared" si="1"/>
        <v>0.3750937734</v>
      </c>
      <c r="L958" s="13">
        <f>IFERROR(__xludf.DUMMYFUNCTION("GOOGLEFINANCE(""CURRENCY:INRBRL"") * I958
"),147.14530427562)</f>
        <v>147.1453043</v>
      </c>
      <c r="M958" s="9">
        <v>4.5</v>
      </c>
      <c r="N958" s="9">
        <v>12679.0</v>
      </c>
      <c r="O958" s="9" t="s">
        <v>3804</v>
      </c>
      <c r="P958" s="14" t="s">
        <v>3805</v>
      </c>
      <c r="U958" s="17"/>
      <c r="V958" s="18"/>
      <c r="W958" s="16"/>
      <c r="X958" s="16"/>
      <c r="Y958" s="16"/>
    </row>
    <row r="959">
      <c r="A959" s="9" t="s">
        <v>324</v>
      </c>
      <c r="B959" s="10" t="s">
        <v>325</v>
      </c>
      <c r="C959" s="10" t="s">
        <v>18</v>
      </c>
      <c r="D959" s="10" t="s">
        <v>19</v>
      </c>
      <c r="E959" s="10" t="s">
        <v>20</v>
      </c>
      <c r="F959" s="10" t="s">
        <v>21</v>
      </c>
      <c r="G959" s="10" t="s">
        <v>22</v>
      </c>
      <c r="H959" s="10" t="s">
        <v>23</v>
      </c>
      <c r="I959" s="11">
        <v>349.0</v>
      </c>
      <c r="J959" s="11">
        <v>599.0</v>
      </c>
      <c r="K959" s="12">
        <f t="shared" si="1"/>
        <v>0.4173622705</v>
      </c>
      <c r="L959" s="13">
        <f>IFERROR(__xludf.DUMMYFUNCTION("GOOGLEFINANCE(""CURRENCY:INRBRL"") * I959
"),20.549704358619998)</f>
        <v>20.54970436</v>
      </c>
      <c r="M959" s="9">
        <v>4.49</v>
      </c>
      <c r="N959" s="9">
        <v>210.0</v>
      </c>
      <c r="O959" s="9" t="s">
        <v>326</v>
      </c>
      <c r="P959" s="14" t="s">
        <v>3806</v>
      </c>
      <c r="U959" s="17"/>
      <c r="V959" s="18"/>
      <c r="W959" s="16"/>
      <c r="X959" s="16"/>
      <c r="Y959" s="16"/>
    </row>
    <row r="960">
      <c r="A960" s="9" t="s">
        <v>3807</v>
      </c>
      <c r="B960" s="10" t="s">
        <v>3808</v>
      </c>
      <c r="C960" s="10" t="s">
        <v>3473</v>
      </c>
      <c r="D960" s="10" t="s">
        <v>19</v>
      </c>
      <c r="E960" s="10" t="s">
        <v>2547</v>
      </c>
      <c r="F960" s="10" t="s">
        <v>3474</v>
      </c>
      <c r="G960" s="10"/>
      <c r="H960" s="10"/>
      <c r="I960" s="11">
        <v>5899.0</v>
      </c>
      <c r="J960" s="11">
        <v>7005.0</v>
      </c>
      <c r="K960" s="12">
        <f t="shared" si="1"/>
        <v>0.1578872234</v>
      </c>
      <c r="L960" s="13">
        <f>IFERROR(__xludf.DUMMYFUNCTION("GOOGLEFINANCE(""CURRENCY:INRBRL"") * I960
"),347.34299716762)</f>
        <v>347.3429972</v>
      </c>
      <c r="M960" s="9">
        <v>4.51</v>
      </c>
      <c r="N960" s="9">
        <v>4199.0</v>
      </c>
      <c r="O960" s="9" t="s">
        <v>3809</v>
      </c>
      <c r="P960" s="14" t="s">
        <v>3810</v>
      </c>
      <c r="U960" s="17"/>
      <c r="V960" s="18"/>
      <c r="W960" s="16"/>
      <c r="X960" s="16"/>
      <c r="Y960" s="16"/>
    </row>
    <row r="961">
      <c r="A961" s="9" t="s">
        <v>2221</v>
      </c>
      <c r="B961" s="10" t="s">
        <v>2222</v>
      </c>
      <c r="C961" s="10" t="s">
        <v>1505</v>
      </c>
      <c r="D961" s="10" t="s">
        <v>77</v>
      </c>
      <c r="E961" s="10" t="s">
        <v>1404</v>
      </c>
      <c r="F961" s="10" t="s">
        <v>1405</v>
      </c>
      <c r="G961" s="10" t="s">
        <v>1406</v>
      </c>
      <c r="H961" s="10" t="s">
        <v>1506</v>
      </c>
      <c r="I961" s="11">
        <v>699.0</v>
      </c>
      <c r="J961" s="11">
        <v>1199.0</v>
      </c>
      <c r="K961" s="12">
        <f t="shared" si="1"/>
        <v>0.4170141785</v>
      </c>
      <c r="L961" s="13">
        <f>IFERROR(__xludf.DUMMYFUNCTION("GOOGLEFINANCE(""CURRENCY:INRBRL"") * I961
"),41.15829039162)</f>
        <v>41.15829039</v>
      </c>
      <c r="M961" s="9">
        <v>4.0</v>
      </c>
      <c r="N961" s="9">
        <v>14403.0</v>
      </c>
      <c r="O961" s="9" t="s">
        <v>2223</v>
      </c>
      <c r="P961" s="14" t="s">
        <v>3811</v>
      </c>
      <c r="U961" s="17"/>
      <c r="V961" s="18"/>
      <c r="W961" s="16"/>
      <c r="X961" s="16"/>
      <c r="Y961" s="16"/>
    </row>
    <row r="962">
      <c r="A962" s="9" t="s">
        <v>3812</v>
      </c>
      <c r="B962" s="10" t="s">
        <v>3813</v>
      </c>
      <c r="C962" s="10" t="s">
        <v>2638</v>
      </c>
      <c r="D962" s="10" t="s">
        <v>19</v>
      </c>
      <c r="E962" s="10" t="s">
        <v>57</v>
      </c>
      <c r="F962" s="10" t="s">
        <v>2639</v>
      </c>
      <c r="G962" s="10"/>
      <c r="H962" s="10"/>
      <c r="I962" s="11">
        <v>1565.0</v>
      </c>
      <c r="J962" s="11">
        <v>2999.0</v>
      </c>
      <c r="K962" s="12">
        <f t="shared" si="1"/>
        <v>0.4781593865</v>
      </c>
      <c r="L962" s="13">
        <f>IFERROR(__xludf.DUMMYFUNCTION("GOOGLEFINANCE(""CURRENCY:INRBRL"") * I962
"),92.1498204047)</f>
        <v>92.1498204</v>
      </c>
      <c r="M962" s="9">
        <v>4.0</v>
      </c>
      <c r="N962" s="9">
        <v>11113.0</v>
      </c>
      <c r="O962" s="9" t="s">
        <v>3814</v>
      </c>
      <c r="P962" s="14" t="s">
        <v>3815</v>
      </c>
      <c r="U962" s="17"/>
      <c r="V962" s="18"/>
      <c r="W962" s="16"/>
      <c r="X962" s="16"/>
      <c r="Y962" s="16"/>
    </row>
    <row r="963">
      <c r="A963" s="9" t="s">
        <v>3816</v>
      </c>
      <c r="B963" s="10" t="s">
        <v>3817</v>
      </c>
      <c r="C963" s="10" t="s">
        <v>2498</v>
      </c>
      <c r="D963" s="10" t="s">
        <v>77</v>
      </c>
      <c r="E963" s="10" t="s">
        <v>2483</v>
      </c>
      <c r="F963" s="10" t="s">
        <v>79</v>
      </c>
      <c r="G963" s="10" t="s">
        <v>2499</v>
      </c>
      <c r="H963" s="10" t="s">
        <v>2500</v>
      </c>
      <c r="I963" s="11">
        <v>326.0</v>
      </c>
      <c r="J963" s="11">
        <v>799.0</v>
      </c>
      <c r="K963" s="12">
        <f t="shared" si="1"/>
        <v>0.5919899875</v>
      </c>
      <c r="L963" s="13">
        <f>IFERROR(__xludf.DUMMYFUNCTION("GOOGLEFINANCE(""CURRENCY:INRBRL"") * I963
"),19.19542584788)</f>
        <v>19.19542585</v>
      </c>
      <c r="M963" s="9">
        <v>4.5</v>
      </c>
      <c r="N963" s="9">
        <v>10773.0</v>
      </c>
      <c r="O963" s="9" t="s">
        <v>3818</v>
      </c>
      <c r="P963" s="14" t="s">
        <v>3819</v>
      </c>
      <c r="U963" s="17"/>
      <c r="V963" s="18"/>
      <c r="W963" s="16"/>
      <c r="X963" s="16"/>
      <c r="Y963" s="16"/>
    </row>
    <row r="964">
      <c r="A964" s="9" t="s">
        <v>2206</v>
      </c>
      <c r="B964" s="10" t="s">
        <v>2207</v>
      </c>
      <c r="C964" s="10" t="s">
        <v>2208</v>
      </c>
      <c r="D964" s="10" t="s">
        <v>77</v>
      </c>
      <c r="E964" s="10" t="s">
        <v>1455</v>
      </c>
      <c r="F964" s="10" t="s">
        <v>916</v>
      </c>
      <c r="G964" s="10"/>
      <c r="H964" s="10"/>
      <c r="I964" s="11">
        <v>120.0</v>
      </c>
      <c r="J964" s="11">
        <v>999.0</v>
      </c>
      <c r="K964" s="12">
        <f t="shared" si="1"/>
        <v>0.8798798799</v>
      </c>
      <c r="L964" s="13">
        <f>IFERROR(__xludf.DUMMYFUNCTION("GOOGLEFINANCE(""CURRENCY:INRBRL"") * I964
"),7.0658009256)</f>
        <v>7.065800926</v>
      </c>
      <c r="M964" s="9">
        <v>4.52</v>
      </c>
      <c r="N964" s="9">
        <v>6491.0</v>
      </c>
      <c r="O964" s="9" t="s">
        <v>2209</v>
      </c>
      <c r="P964" s="14" t="s">
        <v>3820</v>
      </c>
      <c r="U964" s="17"/>
      <c r="V964" s="18"/>
      <c r="W964" s="16"/>
      <c r="X964" s="16"/>
      <c r="Y964" s="16"/>
    </row>
    <row r="965">
      <c r="A965" s="9" t="s">
        <v>3821</v>
      </c>
      <c r="B965" s="10" t="s">
        <v>3822</v>
      </c>
      <c r="C965" s="10" t="s">
        <v>2476</v>
      </c>
      <c r="D965" s="10" t="s">
        <v>19</v>
      </c>
      <c r="E965" s="10" t="s">
        <v>2335</v>
      </c>
      <c r="F965" s="10" t="s">
        <v>2477</v>
      </c>
      <c r="G965" s="10"/>
      <c r="H965" s="10"/>
      <c r="I965" s="11">
        <v>657.0</v>
      </c>
      <c r="J965" s="11">
        <v>999.0</v>
      </c>
      <c r="K965" s="12">
        <f t="shared" si="1"/>
        <v>0.3423423423</v>
      </c>
      <c r="L965" s="13">
        <f>IFERROR(__xludf.DUMMYFUNCTION("GOOGLEFINANCE(""CURRENCY:INRBRL"") * I965
"),38.685260067659996)</f>
        <v>38.68526007</v>
      </c>
      <c r="M965" s="9">
        <v>4.5</v>
      </c>
      <c r="N965" s="9">
        <v>13944.0</v>
      </c>
      <c r="O965" s="9" t="s">
        <v>3823</v>
      </c>
      <c r="P965" s="14" t="s">
        <v>3824</v>
      </c>
      <c r="U965" s="17"/>
      <c r="V965" s="18"/>
      <c r="W965" s="16"/>
      <c r="X965" s="16"/>
      <c r="Y965" s="16"/>
    </row>
    <row r="966">
      <c r="A966" s="9" t="s">
        <v>3825</v>
      </c>
      <c r="B966" s="10" t="s">
        <v>3826</v>
      </c>
      <c r="C966" s="10" t="s">
        <v>2582</v>
      </c>
      <c r="D966" s="10" t="s">
        <v>19</v>
      </c>
      <c r="E966" s="10" t="s">
        <v>20</v>
      </c>
      <c r="F966" s="10" t="s">
        <v>2583</v>
      </c>
      <c r="G966" s="10" t="s">
        <v>2584</v>
      </c>
      <c r="H966" s="10"/>
      <c r="I966" s="11">
        <v>1995.0</v>
      </c>
      <c r="J966" s="11">
        <v>2895.0</v>
      </c>
      <c r="K966" s="12">
        <f t="shared" si="1"/>
        <v>0.310880829</v>
      </c>
      <c r="L966" s="13">
        <f>IFERROR(__xludf.DUMMYFUNCTION("GOOGLEFINANCE(""CURRENCY:INRBRL"") * I966
"),117.4689403881)</f>
        <v>117.4689404</v>
      </c>
      <c r="M966" s="9">
        <v>4.51</v>
      </c>
      <c r="N966" s="9">
        <v>1076.0</v>
      </c>
      <c r="O966" s="9" t="s">
        <v>3827</v>
      </c>
      <c r="P966" s="14" t="s">
        <v>3828</v>
      </c>
      <c r="U966" s="17"/>
      <c r="V966" s="18"/>
      <c r="W966" s="16"/>
      <c r="X966" s="16"/>
      <c r="Y966" s="16"/>
    </row>
    <row r="967">
      <c r="A967" s="9" t="s">
        <v>3829</v>
      </c>
      <c r="B967" s="10" t="s">
        <v>3830</v>
      </c>
      <c r="C967" s="10" t="s">
        <v>2679</v>
      </c>
      <c r="D967" s="10" t="s">
        <v>77</v>
      </c>
      <c r="E967" s="10" t="s">
        <v>2433</v>
      </c>
      <c r="F967" s="10"/>
      <c r="G967" s="10"/>
      <c r="H967" s="10"/>
      <c r="I967" s="11">
        <v>1499.0</v>
      </c>
      <c r="J967" s="11">
        <v>1499.0</v>
      </c>
      <c r="K967" s="12">
        <f t="shared" si="1"/>
        <v>0</v>
      </c>
      <c r="L967" s="13">
        <f>IFERROR(__xludf.DUMMYFUNCTION("GOOGLEFINANCE(""CURRENCY:INRBRL"") * I967
"),88.26362989562)</f>
        <v>88.2636299</v>
      </c>
      <c r="M967" s="9">
        <v>4.5</v>
      </c>
      <c r="N967" s="9">
        <v>25996.0</v>
      </c>
      <c r="O967" s="9" t="s">
        <v>3831</v>
      </c>
      <c r="P967" s="14" t="s">
        <v>3832</v>
      </c>
      <c r="U967" s="17"/>
      <c r="V967" s="18"/>
      <c r="W967" s="16"/>
      <c r="X967" s="16"/>
      <c r="Y967" s="16"/>
    </row>
    <row r="968">
      <c r="A968" s="9" t="s">
        <v>3833</v>
      </c>
      <c r="B968" s="10" t="s">
        <v>3834</v>
      </c>
      <c r="C968" s="10" t="s">
        <v>2412</v>
      </c>
      <c r="D968" s="10" t="s">
        <v>19</v>
      </c>
      <c r="E968" s="10" t="s">
        <v>20</v>
      </c>
      <c r="F968" s="10" t="s">
        <v>2342</v>
      </c>
      <c r="G968" s="10" t="s">
        <v>2413</v>
      </c>
      <c r="H968" s="10"/>
      <c r="I968" s="11">
        <v>2649.0</v>
      </c>
      <c r="J968" s="11">
        <v>3195.0</v>
      </c>
      <c r="K968" s="12">
        <f t="shared" si="1"/>
        <v>0.1708920188</v>
      </c>
      <c r="L968" s="13">
        <f>IFERROR(__xludf.DUMMYFUNCTION("GOOGLEFINANCE(""CURRENCY:INRBRL"") * I968
"),155.97755543262)</f>
        <v>155.9775554</v>
      </c>
      <c r="M968" s="9">
        <v>4.51</v>
      </c>
      <c r="N968" s="9">
        <v>16146.0</v>
      </c>
      <c r="O968" s="9" t="s">
        <v>3835</v>
      </c>
      <c r="P968" s="14" t="s">
        <v>3836</v>
      </c>
      <c r="U968" s="17"/>
      <c r="V968" s="18"/>
      <c r="W968" s="16"/>
      <c r="X968" s="16"/>
      <c r="Y968" s="16"/>
    </row>
    <row r="969">
      <c r="A969" s="9" t="s">
        <v>3837</v>
      </c>
      <c r="B969" s="10" t="s">
        <v>3838</v>
      </c>
      <c r="C969" s="10" t="s">
        <v>3473</v>
      </c>
      <c r="D969" s="10" t="s">
        <v>19</v>
      </c>
      <c r="E969" s="10" t="s">
        <v>2547</v>
      </c>
      <c r="F969" s="10" t="s">
        <v>3474</v>
      </c>
      <c r="G969" s="10"/>
      <c r="H969" s="10"/>
      <c r="I969" s="11">
        <v>5299.0</v>
      </c>
      <c r="J969" s="11">
        <v>6355.0</v>
      </c>
      <c r="K969" s="12">
        <f t="shared" si="1"/>
        <v>0.1661683714</v>
      </c>
      <c r="L969" s="13">
        <f>IFERROR(__xludf.DUMMYFUNCTION("GOOGLEFINANCE(""CURRENCY:INRBRL"") * I969
"),312.01399253962)</f>
        <v>312.0139925</v>
      </c>
      <c r="M969" s="9">
        <v>4.52</v>
      </c>
      <c r="N969" s="9">
        <v>828.0</v>
      </c>
      <c r="O969" s="9" t="s">
        <v>3839</v>
      </c>
      <c r="P969" s="14" t="s">
        <v>3840</v>
      </c>
      <c r="U969" s="17"/>
      <c r="V969" s="18"/>
      <c r="W969" s="16"/>
      <c r="X969" s="16"/>
      <c r="Y969" s="16"/>
    </row>
    <row r="970">
      <c r="A970" s="9" t="s">
        <v>301</v>
      </c>
      <c r="B970" s="10" t="s">
        <v>302</v>
      </c>
      <c r="C970" s="10" t="s">
        <v>18</v>
      </c>
      <c r="D970" s="10" t="s">
        <v>19</v>
      </c>
      <c r="E970" s="10" t="s">
        <v>20</v>
      </c>
      <c r="F970" s="10" t="s">
        <v>21</v>
      </c>
      <c r="G970" s="10" t="s">
        <v>22</v>
      </c>
      <c r="H970" s="10" t="s">
        <v>23</v>
      </c>
      <c r="I970" s="11">
        <v>263.0</v>
      </c>
      <c r="J970" s="11">
        <v>699.0</v>
      </c>
      <c r="K970" s="12">
        <f t="shared" si="1"/>
        <v>0.6237482117</v>
      </c>
      <c r="L970" s="13">
        <f>IFERROR(__xludf.DUMMYFUNCTION("GOOGLEFINANCE(""CURRENCY:INRBRL"") * I970
"),15.48588036194)</f>
        <v>15.48588036</v>
      </c>
      <c r="M970" s="9">
        <v>4.49</v>
      </c>
      <c r="N970" s="9">
        <v>450.0</v>
      </c>
      <c r="O970" s="9" t="s">
        <v>303</v>
      </c>
      <c r="P970" s="14" t="s">
        <v>3841</v>
      </c>
      <c r="U970" s="17"/>
      <c r="V970" s="18"/>
      <c r="W970" s="16"/>
      <c r="X970" s="16"/>
      <c r="Y970" s="16"/>
    </row>
    <row r="971">
      <c r="A971" s="9" t="s">
        <v>3842</v>
      </c>
      <c r="B971" s="10" t="s">
        <v>3843</v>
      </c>
      <c r="C971" s="10" t="s">
        <v>3703</v>
      </c>
      <c r="D971" s="10" t="s">
        <v>19</v>
      </c>
      <c r="E971" s="10" t="s">
        <v>20</v>
      </c>
      <c r="F971" s="10" t="s">
        <v>2583</v>
      </c>
      <c r="G971" s="10" t="s">
        <v>3704</v>
      </c>
      <c r="H971" s="10"/>
      <c r="I971" s="11">
        <v>1999.0</v>
      </c>
      <c r="J971" s="11">
        <v>2999.0</v>
      </c>
      <c r="K971" s="12">
        <f t="shared" si="1"/>
        <v>0.3334444815</v>
      </c>
      <c r="L971" s="13">
        <f>IFERROR(__xludf.DUMMYFUNCTION("GOOGLEFINANCE(""CURRENCY:INRBRL"") * I971
"),117.70446708562)</f>
        <v>117.7044671</v>
      </c>
      <c r="M971" s="9">
        <v>4.5</v>
      </c>
      <c r="N971" s="9">
        <v>14237.0</v>
      </c>
      <c r="O971" s="9" t="s">
        <v>3844</v>
      </c>
      <c r="P971" s="14" t="s">
        <v>3845</v>
      </c>
      <c r="U971" s="17"/>
      <c r="V971" s="18"/>
      <c r="W971" s="16"/>
      <c r="X971" s="16"/>
      <c r="Y971" s="16"/>
    </row>
    <row r="972">
      <c r="A972" s="9" t="s">
        <v>3846</v>
      </c>
      <c r="B972" s="10" t="s">
        <v>3847</v>
      </c>
      <c r="C972" s="10" t="s">
        <v>3848</v>
      </c>
      <c r="D972" s="10" t="s">
        <v>77</v>
      </c>
      <c r="E972" s="10" t="s">
        <v>3849</v>
      </c>
      <c r="F972" s="10" t="s">
        <v>3850</v>
      </c>
      <c r="G972" s="10"/>
      <c r="H972" s="10"/>
      <c r="I972" s="11">
        <v>1289.0</v>
      </c>
      <c r="J972" s="11">
        <v>1499.0</v>
      </c>
      <c r="K972" s="12">
        <f t="shared" si="1"/>
        <v>0.1400933956</v>
      </c>
      <c r="L972" s="13">
        <f>IFERROR(__xludf.DUMMYFUNCTION("GOOGLEFINANCE(""CURRENCY:INRBRL"") * I972
"),75.89847827582)</f>
        <v>75.89847828</v>
      </c>
      <c r="M972" s="9">
        <v>4.51</v>
      </c>
      <c r="N972" s="9">
        <v>20668.0</v>
      </c>
      <c r="O972" s="9" t="s">
        <v>3851</v>
      </c>
      <c r="P972" s="14" t="s">
        <v>3852</v>
      </c>
      <c r="U972" s="17"/>
      <c r="V972" s="18"/>
      <c r="W972" s="16"/>
      <c r="X972" s="16"/>
      <c r="Y972" s="16"/>
    </row>
    <row r="973">
      <c r="A973" s="9" t="s">
        <v>3853</v>
      </c>
      <c r="B973" s="10" t="s">
        <v>3854</v>
      </c>
      <c r="C973" s="10" t="s">
        <v>3022</v>
      </c>
      <c r="D973" s="10" t="s">
        <v>2440</v>
      </c>
      <c r="E973" s="10" t="s">
        <v>2441</v>
      </c>
      <c r="F973" s="10" t="s">
        <v>2442</v>
      </c>
      <c r="G973" s="10" t="s">
        <v>2443</v>
      </c>
      <c r="H973" s="10" t="s">
        <v>2719</v>
      </c>
      <c r="I973" s="11">
        <v>165.0</v>
      </c>
      <c r="J973" s="11">
        <v>165.0</v>
      </c>
      <c r="K973" s="12">
        <f t="shared" si="1"/>
        <v>0</v>
      </c>
      <c r="L973" s="13">
        <f>IFERROR(__xludf.DUMMYFUNCTION("GOOGLEFINANCE(""CURRENCY:INRBRL"") * I973
"),9.7154762727)</f>
        <v>9.715476273</v>
      </c>
      <c r="M973" s="9">
        <v>4.51</v>
      </c>
      <c r="N973" s="9">
        <v>1674.0</v>
      </c>
      <c r="O973" s="9" t="s">
        <v>3855</v>
      </c>
      <c r="P973" s="14" t="s">
        <v>3856</v>
      </c>
      <c r="U973" s="17"/>
      <c r="V973" s="18"/>
      <c r="W973" s="16"/>
      <c r="X973" s="16"/>
      <c r="Y973" s="16"/>
    </row>
    <row r="974">
      <c r="A974" s="9" t="s">
        <v>3857</v>
      </c>
      <c r="B974" s="10" t="s">
        <v>3858</v>
      </c>
      <c r="C974" s="10" t="s">
        <v>3306</v>
      </c>
      <c r="D974" s="10" t="s">
        <v>19</v>
      </c>
      <c r="E974" s="10" t="s">
        <v>20</v>
      </c>
      <c r="F974" s="10" t="s">
        <v>2157</v>
      </c>
      <c r="G974" s="10" t="s">
        <v>3307</v>
      </c>
      <c r="H974" s="10"/>
      <c r="I974" s="11">
        <v>1699.0</v>
      </c>
      <c r="J974" s="11">
        <v>3499.0</v>
      </c>
      <c r="K974" s="12">
        <f t="shared" si="1"/>
        <v>0.5144326951</v>
      </c>
      <c r="L974" s="13">
        <f>IFERROR(__xludf.DUMMYFUNCTION("GOOGLEFINANCE(""CURRENCY:INRBRL"") * I974
"),100.03996477161999)</f>
        <v>100.0399648</v>
      </c>
      <c r="M974" s="9">
        <v>4.51</v>
      </c>
      <c r="N974" s="9">
        <v>7689.0</v>
      </c>
      <c r="O974" s="9" t="s">
        <v>3859</v>
      </c>
      <c r="P974" s="14" t="s">
        <v>3860</v>
      </c>
      <c r="U974" s="17"/>
      <c r="V974" s="18"/>
      <c r="W974" s="16"/>
      <c r="X974" s="16"/>
      <c r="Y974" s="16"/>
    </row>
    <row r="975">
      <c r="A975" s="9" t="s">
        <v>3861</v>
      </c>
      <c r="B975" s="10" t="s">
        <v>3862</v>
      </c>
      <c r="C975" s="10" t="s">
        <v>2850</v>
      </c>
      <c r="D975" s="10" t="s">
        <v>77</v>
      </c>
      <c r="E975" s="10" t="s">
        <v>2483</v>
      </c>
      <c r="F975" s="10" t="s">
        <v>2851</v>
      </c>
      <c r="G975" s="10" t="s">
        <v>2852</v>
      </c>
      <c r="H975" s="10"/>
      <c r="I975" s="11">
        <v>2299.0</v>
      </c>
      <c r="J975" s="11">
        <v>7499.0</v>
      </c>
      <c r="K975" s="12">
        <f t="shared" si="1"/>
        <v>0.6934257901</v>
      </c>
      <c r="L975" s="13">
        <f>IFERROR(__xludf.DUMMYFUNCTION("GOOGLEFINANCE(""CURRENCY:INRBRL"") * I975
"),135.36896939962)</f>
        <v>135.3689694</v>
      </c>
      <c r="M975" s="9">
        <v>4.49</v>
      </c>
      <c r="N975" s="9">
        <v>5554.0</v>
      </c>
      <c r="O975" s="9" t="s">
        <v>3863</v>
      </c>
      <c r="P975" s="14" t="s">
        <v>3864</v>
      </c>
      <c r="U975" s="17"/>
      <c r="V975" s="18"/>
      <c r="W975" s="16"/>
      <c r="X975" s="16"/>
      <c r="Y975" s="16"/>
    </row>
    <row r="976">
      <c r="A976" s="9" t="s">
        <v>316</v>
      </c>
      <c r="B976" s="10" t="s">
        <v>317</v>
      </c>
      <c r="C976" s="10" t="s">
        <v>18</v>
      </c>
      <c r="D976" s="10" t="s">
        <v>19</v>
      </c>
      <c r="E976" s="10" t="s">
        <v>20</v>
      </c>
      <c r="F976" s="10" t="s">
        <v>21</v>
      </c>
      <c r="G976" s="10" t="s">
        <v>22</v>
      </c>
      <c r="H976" s="10" t="s">
        <v>23</v>
      </c>
      <c r="I976" s="11">
        <v>219.0</v>
      </c>
      <c r="J976" s="11">
        <v>700.0</v>
      </c>
      <c r="K976" s="12">
        <f t="shared" si="1"/>
        <v>0.6871428571</v>
      </c>
      <c r="L976" s="13">
        <f>IFERROR(__xludf.DUMMYFUNCTION("GOOGLEFINANCE(""CURRENCY:INRBRL"") * I976
"),12.89508668922)</f>
        <v>12.89508669</v>
      </c>
      <c r="M976" s="9">
        <v>4.5</v>
      </c>
      <c r="N976" s="9">
        <v>20053.0</v>
      </c>
      <c r="O976" s="9" t="s">
        <v>318</v>
      </c>
      <c r="P976" s="14" t="s">
        <v>3865</v>
      </c>
      <c r="U976" s="17"/>
      <c r="V976" s="18"/>
      <c r="W976" s="16"/>
      <c r="X976" s="16"/>
      <c r="Y976" s="16"/>
    </row>
    <row r="977">
      <c r="A977" s="9" t="s">
        <v>3866</v>
      </c>
      <c r="B977" s="10" t="s">
        <v>3867</v>
      </c>
      <c r="C977" s="10" t="s">
        <v>2814</v>
      </c>
      <c r="D977" s="10" t="s">
        <v>19</v>
      </c>
      <c r="E977" s="10" t="s">
        <v>20</v>
      </c>
      <c r="F977" s="10" t="s">
        <v>2815</v>
      </c>
      <c r="G977" s="10" t="s">
        <v>2816</v>
      </c>
      <c r="H977" s="10"/>
      <c r="I977" s="11">
        <v>39.0</v>
      </c>
      <c r="J977" s="11">
        <v>39.0</v>
      </c>
      <c r="K977" s="12">
        <f t="shared" si="1"/>
        <v>0</v>
      </c>
      <c r="L977" s="13">
        <f>IFERROR(__xludf.DUMMYFUNCTION("GOOGLEFINANCE(""CURRENCY:INRBRL"") * I977
"),2.29638530082)</f>
        <v>2.296385301</v>
      </c>
      <c r="M977" s="9">
        <v>4.51</v>
      </c>
      <c r="N977" s="9">
        <v>3344.0</v>
      </c>
      <c r="O977" s="9" t="s">
        <v>3868</v>
      </c>
      <c r="P977" s="14" t="s">
        <v>3869</v>
      </c>
      <c r="U977" s="17"/>
      <c r="V977" s="18"/>
      <c r="W977" s="16"/>
      <c r="X977" s="16"/>
      <c r="Y977" s="16"/>
    </row>
    <row r="978">
      <c r="A978" s="9" t="s">
        <v>3870</v>
      </c>
      <c r="B978" s="10" t="s">
        <v>3871</v>
      </c>
      <c r="C978" s="10" t="s">
        <v>3872</v>
      </c>
      <c r="D978" s="10" t="s">
        <v>19</v>
      </c>
      <c r="E978" s="10" t="s">
        <v>3873</v>
      </c>
      <c r="F978" s="10"/>
      <c r="G978" s="10"/>
      <c r="H978" s="10"/>
      <c r="I978" s="11">
        <v>27.0</v>
      </c>
      <c r="J978" s="11">
        <v>38.0</v>
      </c>
      <c r="K978" s="12">
        <f t="shared" si="1"/>
        <v>0.2894736842</v>
      </c>
      <c r="L978" s="13">
        <f>IFERROR(__xludf.DUMMYFUNCTION("GOOGLEFINANCE(""CURRENCY:INRBRL"") * I978
"),1.58980520826)</f>
        <v>1.589805208</v>
      </c>
      <c r="M978" s="9">
        <v>4.51</v>
      </c>
      <c r="N978" s="9">
        <v>2886.0</v>
      </c>
      <c r="O978" s="9" t="s">
        <v>3874</v>
      </c>
      <c r="P978" s="14" t="s">
        <v>3875</v>
      </c>
      <c r="U978" s="17"/>
      <c r="V978" s="18"/>
      <c r="W978" s="16"/>
      <c r="X978" s="16"/>
      <c r="Y978" s="16"/>
    </row>
    <row r="979">
      <c r="A979" s="9" t="s">
        <v>3876</v>
      </c>
      <c r="B979" s="10" t="s">
        <v>3877</v>
      </c>
      <c r="C979" s="10" t="s">
        <v>1454</v>
      </c>
      <c r="D979" s="10" t="s">
        <v>77</v>
      </c>
      <c r="E979" s="10" t="s">
        <v>1455</v>
      </c>
      <c r="F979" s="10" t="s">
        <v>1456</v>
      </c>
      <c r="G979" s="10" t="s">
        <v>1457</v>
      </c>
      <c r="H979" s="10"/>
      <c r="I979" s="11">
        <v>1499.0</v>
      </c>
      <c r="J979" s="11">
        <v>1999.0</v>
      </c>
      <c r="K979" s="12">
        <f t="shared" si="1"/>
        <v>0.2501250625</v>
      </c>
      <c r="L979" s="13">
        <f>IFERROR(__xludf.DUMMYFUNCTION("GOOGLEFINANCE(""CURRENCY:INRBRL"") * I979
"),88.26362989562)</f>
        <v>88.2636299</v>
      </c>
      <c r="M979" s="9">
        <v>4.49</v>
      </c>
      <c r="N979" s="9">
        <v>9825.0</v>
      </c>
      <c r="O979" s="9" t="s">
        <v>3878</v>
      </c>
      <c r="P979" s="14" t="s">
        <v>3879</v>
      </c>
      <c r="U979" s="17"/>
      <c r="V979" s="18"/>
      <c r="W979" s="16"/>
      <c r="X979" s="16"/>
      <c r="Y979" s="16"/>
    </row>
    <row r="980">
      <c r="A980" s="9" t="s">
        <v>3880</v>
      </c>
      <c r="B980" s="10" t="s">
        <v>3881</v>
      </c>
      <c r="C980" s="10" t="s">
        <v>2358</v>
      </c>
      <c r="D980" s="10" t="s">
        <v>19</v>
      </c>
      <c r="E980" s="10" t="s">
        <v>20</v>
      </c>
      <c r="F980" s="10" t="s">
        <v>2157</v>
      </c>
      <c r="G980" s="10" t="s">
        <v>2359</v>
      </c>
      <c r="H980" s="10"/>
      <c r="I980" s="11">
        <v>398.0</v>
      </c>
      <c r="J980" s="11">
        <v>1949.0</v>
      </c>
      <c r="K980" s="12">
        <f t="shared" si="1"/>
        <v>0.7957927142</v>
      </c>
      <c r="L980" s="13">
        <f>IFERROR(__xludf.DUMMYFUNCTION("GOOGLEFINANCE(""CURRENCY:INRBRL"") * I980
"),23.43490640324)</f>
        <v>23.4349064</v>
      </c>
      <c r="M980" s="9">
        <v>4.0</v>
      </c>
      <c r="N980" s="9">
        <v>75.0</v>
      </c>
      <c r="O980" s="9" t="s">
        <v>3882</v>
      </c>
      <c r="P980" s="14" t="s">
        <v>3883</v>
      </c>
      <c r="U980" s="17"/>
      <c r="V980" s="18"/>
      <c r="W980" s="16"/>
      <c r="X980" s="16"/>
      <c r="Y980" s="16"/>
    </row>
    <row r="981">
      <c r="A981" s="9" t="s">
        <v>320</v>
      </c>
      <c r="B981" s="10" t="s">
        <v>321</v>
      </c>
      <c r="C981" s="10" t="s">
        <v>18</v>
      </c>
      <c r="D981" s="10" t="s">
        <v>19</v>
      </c>
      <c r="E981" s="10" t="s">
        <v>20</v>
      </c>
      <c r="F981" s="10" t="s">
        <v>21</v>
      </c>
      <c r="G981" s="10" t="s">
        <v>22</v>
      </c>
      <c r="H981" s="10" t="s">
        <v>23</v>
      </c>
      <c r="I981" s="11">
        <v>349.0</v>
      </c>
      <c r="J981" s="11">
        <v>899.0</v>
      </c>
      <c r="K981" s="12">
        <f t="shared" si="1"/>
        <v>0.6117908788</v>
      </c>
      <c r="L981" s="13">
        <f>IFERROR(__xludf.DUMMYFUNCTION("GOOGLEFINANCE(""CURRENCY:INRBRL"") * I981
"),20.549704358619998)</f>
        <v>20.54970436</v>
      </c>
      <c r="M981" s="9">
        <v>4.51</v>
      </c>
      <c r="N981" s="9">
        <v>149.0</v>
      </c>
      <c r="O981" s="9" t="s">
        <v>322</v>
      </c>
      <c r="P981" s="14" t="s">
        <v>3884</v>
      </c>
      <c r="U981" s="17"/>
      <c r="V981" s="18"/>
      <c r="W981" s="16"/>
      <c r="X981" s="16"/>
      <c r="Y981" s="16"/>
    </row>
    <row r="982">
      <c r="A982" s="9" t="s">
        <v>3885</v>
      </c>
      <c r="B982" s="10" t="s">
        <v>3886</v>
      </c>
      <c r="C982" s="10" t="s">
        <v>3306</v>
      </c>
      <c r="D982" s="10" t="s">
        <v>19</v>
      </c>
      <c r="E982" s="10" t="s">
        <v>20</v>
      </c>
      <c r="F982" s="10" t="s">
        <v>2157</v>
      </c>
      <c r="G982" s="10" t="s">
        <v>3307</v>
      </c>
      <c r="H982" s="10"/>
      <c r="I982" s="11">
        <v>770.0</v>
      </c>
      <c r="J982" s="11">
        <v>1547.0</v>
      </c>
      <c r="K982" s="12">
        <f t="shared" si="1"/>
        <v>0.5022624434</v>
      </c>
      <c r="L982" s="13">
        <f>IFERROR(__xludf.DUMMYFUNCTION("GOOGLEFINANCE(""CURRENCY:INRBRL"") * I982
"),45.3388892726)</f>
        <v>45.33888927</v>
      </c>
      <c r="M982" s="9">
        <v>4.5</v>
      </c>
      <c r="N982" s="9">
        <v>2585.0</v>
      </c>
      <c r="O982" s="9" t="s">
        <v>3887</v>
      </c>
      <c r="P982" s="14" t="s">
        <v>3888</v>
      </c>
      <c r="U982" s="17"/>
      <c r="V982" s="18"/>
      <c r="W982" s="16"/>
      <c r="X982" s="16"/>
      <c r="Y982" s="16"/>
    </row>
    <row r="983">
      <c r="A983" s="9" t="s">
        <v>3889</v>
      </c>
      <c r="B983" s="10" t="s">
        <v>3890</v>
      </c>
      <c r="C983" s="10" t="s">
        <v>1672</v>
      </c>
      <c r="D983" s="10" t="s">
        <v>77</v>
      </c>
      <c r="E983" s="10" t="s">
        <v>1404</v>
      </c>
      <c r="F983" s="10" t="s">
        <v>1405</v>
      </c>
      <c r="G983" s="10" t="s">
        <v>1673</v>
      </c>
      <c r="H983" s="10"/>
      <c r="I983" s="11">
        <v>279.0</v>
      </c>
      <c r="J983" s="11">
        <v>1299.0</v>
      </c>
      <c r="K983" s="12">
        <f t="shared" si="1"/>
        <v>0.7852193995</v>
      </c>
      <c r="L983" s="13">
        <f>IFERROR(__xludf.DUMMYFUNCTION("GOOGLEFINANCE(""CURRENCY:INRBRL"") * I983
"),16.42798715202)</f>
        <v>16.42798715</v>
      </c>
      <c r="M983" s="9">
        <v>4.0</v>
      </c>
      <c r="N983" s="9">
        <v>5072.0</v>
      </c>
      <c r="O983" s="9" t="s">
        <v>3891</v>
      </c>
      <c r="P983" s="14" t="s">
        <v>3892</v>
      </c>
      <c r="U983" s="17"/>
      <c r="V983" s="18"/>
      <c r="W983" s="16"/>
      <c r="X983" s="16"/>
      <c r="Y983" s="16"/>
    </row>
    <row r="984">
      <c r="A984" s="9" t="s">
        <v>3893</v>
      </c>
      <c r="B984" s="10" t="s">
        <v>3894</v>
      </c>
      <c r="C984" s="10" t="s">
        <v>3895</v>
      </c>
      <c r="D984" s="10" t="s">
        <v>3204</v>
      </c>
      <c r="E984" s="10" t="s">
        <v>3205</v>
      </c>
      <c r="F984" s="10" t="s">
        <v>3896</v>
      </c>
      <c r="G984" s="10"/>
      <c r="H984" s="10"/>
      <c r="I984" s="11">
        <v>249.0</v>
      </c>
      <c r="J984" s="11">
        <v>599.0</v>
      </c>
      <c r="K984" s="12">
        <f t="shared" si="1"/>
        <v>0.5843071786</v>
      </c>
      <c r="L984" s="13">
        <f>IFERROR(__xludf.DUMMYFUNCTION("GOOGLEFINANCE(""CURRENCY:INRBRL"") * I984
"),14.66153692062)</f>
        <v>14.66153692</v>
      </c>
      <c r="M984" s="9">
        <v>4.51</v>
      </c>
      <c r="N984" s="9">
        <v>5985.0</v>
      </c>
      <c r="O984" s="9" t="s">
        <v>3897</v>
      </c>
      <c r="P984" s="14" t="s">
        <v>3898</v>
      </c>
      <c r="U984" s="17"/>
      <c r="V984" s="18"/>
      <c r="W984" s="16"/>
      <c r="X984" s="16"/>
      <c r="Y984" s="16"/>
    </row>
    <row r="985">
      <c r="A985" s="9" t="s">
        <v>332</v>
      </c>
      <c r="B985" s="10" t="s">
        <v>333</v>
      </c>
      <c r="C985" s="10" t="s">
        <v>18</v>
      </c>
      <c r="D985" s="10" t="s">
        <v>19</v>
      </c>
      <c r="E985" s="10" t="s">
        <v>20</v>
      </c>
      <c r="F985" s="10" t="s">
        <v>21</v>
      </c>
      <c r="G985" s="10" t="s">
        <v>22</v>
      </c>
      <c r="H985" s="10" t="s">
        <v>23</v>
      </c>
      <c r="I985" s="11">
        <v>115.0</v>
      </c>
      <c r="J985" s="11">
        <v>499.0</v>
      </c>
      <c r="K985" s="12">
        <f t="shared" si="1"/>
        <v>0.7695390782</v>
      </c>
      <c r="L985" s="13">
        <f>IFERROR(__xludf.DUMMYFUNCTION("GOOGLEFINANCE(""CURRENCY:INRBRL"") * I985
"),6.7713925537)</f>
        <v>6.771392554</v>
      </c>
      <c r="M985" s="9">
        <v>4.0</v>
      </c>
      <c r="N985" s="9">
        <v>7732.0</v>
      </c>
      <c r="O985" s="9" t="s">
        <v>334</v>
      </c>
      <c r="P985" s="14" t="s">
        <v>3899</v>
      </c>
      <c r="U985" s="17"/>
      <c r="V985" s="18"/>
      <c r="W985" s="16"/>
      <c r="X985" s="16"/>
      <c r="Y985" s="16"/>
    </row>
    <row r="986">
      <c r="A986" s="9" t="s">
        <v>3900</v>
      </c>
      <c r="B986" s="10" t="s">
        <v>3901</v>
      </c>
      <c r="C986" s="10" t="s">
        <v>3902</v>
      </c>
      <c r="D986" s="10" t="s">
        <v>2450</v>
      </c>
      <c r="E986" s="10" t="s">
        <v>2451</v>
      </c>
      <c r="F986" s="10" t="s">
        <v>2590</v>
      </c>
      <c r="G986" s="10"/>
      <c r="H986" s="10"/>
      <c r="I986" s="11">
        <v>230.0</v>
      </c>
      <c r="J986" s="11">
        <v>230.0</v>
      </c>
      <c r="K986" s="12">
        <f t="shared" si="1"/>
        <v>0</v>
      </c>
      <c r="L986" s="13">
        <f>IFERROR(__xludf.DUMMYFUNCTION("GOOGLEFINANCE(""CURRENCY:INRBRL"") * I986
"),13.5427851074)</f>
        <v>13.54278511</v>
      </c>
      <c r="M986" s="9">
        <v>4.51</v>
      </c>
      <c r="N986" s="9">
        <v>9427.0</v>
      </c>
      <c r="O986" s="9" t="s">
        <v>3903</v>
      </c>
      <c r="P986" s="14" t="s">
        <v>3904</v>
      </c>
      <c r="U986" s="17"/>
      <c r="V986" s="18"/>
      <c r="W986" s="16"/>
      <c r="X986" s="16"/>
      <c r="Y986" s="16"/>
    </row>
    <row r="987">
      <c r="A987" s="9" t="s">
        <v>336</v>
      </c>
      <c r="B987" s="10" t="s">
        <v>337</v>
      </c>
      <c r="C987" s="10" t="s">
        <v>18</v>
      </c>
      <c r="D987" s="10" t="s">
        <v>19</v>
      </c>
      <c r="E987" s="10" t="s">
        <v>20</v>
      </c>
      <c r="F987" s="10" t="s">
        <v>21</v>
      </c>
      <c r="G987" s="10" t="s">
        <v>22</v>
      </c>
      <c r="H987" s="10" t="s">
        <v>23</v>
      </c>
      <c r="I987" s="11">
        <v>399.0</v>
      </c>
      <c r="J987" s="11">
        <v>999.0</v>
      </c>
      <c r="K987" s="12">
        <f t="shared" si="1"/>
        <v>0.6006006006</v>
      </c>
      <c r="L987" s="13">
        <f>IFERROR(__xludf.DUMMYFUNCTION("GOOGLEFINANCE(""CURRENCY:INRBRL"") * I987
"),23.49378807762)</f>
        <v>23.49378808</v>
      </c>
      <c r="M987" s="9">
        <v>4.49</v>
      </c>
      <c r="N987" s="9">
        <v>178.0</v>
      </c>
      <c r="O987" s="9" t="s">
        <v>338</v>
      </c>
      <c r="P987" s="14" t="s">
        <v>3905</v>
      </c>
      <c r="U987" s="17"/>
      <c r="V987" s="18"/>
      <c r="W987" s="16"/>
      <c r="X987" s="16"/>
      <c r="Y987" s="16"/>
    </row>
    <row r="988">
      <c r="A988" s="9" t="s">
        <v>3906</v>
      </c>
      <c r="B988" s="10" t="s">
        <v>3907</v>
      </c>
      <c r="C988" s="10" t="s">
        <v>2582</v>
      </c>
      <c r="D988" s="10" t="s">
        <v>19</v>
      </c>
      <c r="E988" s="10" t="s">
        <v>20</v>
      </c>
      <c r="F988" s="10" t="s">
        <v>2583</v>
      </c>
      <c r="G988" s="10" t="s">
        <v>2584</v>
      </c>
      <c r="H988" s="10"/>
      <c r="I988" s="11">
        <v>599.0</v>
      </c>
      <c r="J988" s="11">
        <v>700.0</v>
      </c>
      <c r="K988" s="12">
        <f t="shared" si="1"/>
        <v>0.1442857143</v>
      </c>
      <c r="L988" s="13">
        <f>IFERROR(__xludf.DUMMYFUNCTION("GOOGLEFINANCE(""CURRENCY:INRBRL"") * I988
"),35.270122953619996)</f>
        <v>35.27012295</v>
      </c>
      <c r="M988" s="9">
        <v>4.5</v>
      </c>
      <c r="N988" s="9">
        <v>2301.0</v>
      </c>
      <c r="O988" s="9" t="s">
        <v>3908</v>
      </c>
      <c r="P988" s="14" t="s">
        <v>3909</v>
      </c>
      <c r="U988" s="17"/>
      <c r="V988" s="18"/>
      <c r="W988" s="16"/>
      <c r="X988" s="16"/>
      <c r="Y988" s="16"/>
    </row>
    <row r="989">
      <c r="A989" s="9" t="s">
        <v>3910</v>
      </c>
      <c r="B989" s="10" t="s">
        <v>3911</v>
      </c>
      <c r="C989" s="10" t="s">
        <v>3912</v>
      </c>
      <c r="D989" s="10" t="s">
        <v>19</v>
      </c>
      <c r="E989" s="10" t="s">
        <v>2547</v>
      </c>
      <c r="F989" s="10" t="s">
        <v>2548</v>
      </c>
      <c r="G989" s="10" t="s">
        <v>3913</v>
      </c>
      <c r="H989" s="10"/>
      <c r="I989" s="11">
        <v>598.0</v>
      </c>
      <c r="J989" s="11">
        <v>1159.0</v>
      </c>
      <c r="K989" s="12">
        <f t="shared" si="1"/>
        <v>0.4840379638</v>
      </c>
      <c r="L989" s="13">
        <f>IFERROR(__xludf.DUMMYFUNCTION("GOOGLEFINANCE(""CURRENCY:INRBRL"") * I989
"),35.21124127924)</f>
        <v>35.21124128</v>
      </c>
      <c r="M989" s="9">
        <v>4.49</v>
      </c>
      <c r="N989" s="9">
        <v>2535.0</v>
      </c>
      <c r="O989" s="9" t="s">
        <v>3914</v>
      </c>
      <c r="P989" s="14" t="s">
        <v>3915</v>
      </c>
      <c r="U989" s="17"/>
      <c r="V989" s="18"/>
      <c r="W989" s="16"/>
      <c r="X989" s="16"/>
      <c r="Y989" s="16"/>
    </row>
    <row r="990">
      <c r="A990" s="9" t="s">
        <v>3916</v>
      </c>
      <c r="B990" s="10" t="s">
        <v>3917</v>
      </c>
      <c r="C990" s="10" t="s">
        <v>2893</v>
      </c>
      <c r="D990" s="10" t="s">
        <v>19</v>
      </c>
      <c r="E990" s="10" t="s">
        <v>20</v>
      </c>
      <c r="F990" s="10" t="s">
        <v>2894</v>
      </c>
      <c r="G990" s="10" t="s">
        <v>1825</v>
      </c>
      <c r="H990" s="10"/>
      <c r="I990" s="11">
        <v>399.0</v>
      </c>
      <c r="J990" s="11">
        <v>1499.0</v>
      </c>
      <c r="K990" s="12">
        <f t="shared" si="1"/>
        <v>0.7338225484</v>
      </c>
      <c r="L990" s="13">
        <f>IFERROR(__xludf.DUMMYFUNCTION("GOOGLEFINANCE(""CURRENCY:INRBRL"") * I990
"),23.49378807762)</f>
        <v>23.49378808</v>
      </c>
      <c r="M990" s="9">
        <v>4.0</v>
      </c>
      <c r="N990" s="9">
        <v>691.0</v>
      </c>
      <c r="O990" s="9" t="s">
        <v>3918</v>
      </c>
      <c r="P990" s="14" t="s">
        <v>3919</v>
      </c>
      <c r="U990" s="17"/>
      <c r="V990" s="18"/>
      <c r="W990" s="16"/>
      <c r="X990" s="16"/>
      <c r="Y990" s="16"/>
    </row>
    <row r="991">
      <c r="A991" s="9" t="s">
        <v>3920</v>
      </c>
      <c r="B991" s="10" t="s">
        <v>3921</v>
      </c>
      <c r="C991" s="10" t="s">
        <v>2358</v>
      </c>
      <c r="D991" s="10" t="s">
        <v>19</v>
      </c>
      <c r="E991" s="10" t="s">
        <v>20</v>
      </c>
      <c r="F991" s="10" t="s">
        <v>2157</v>
      </c>
      <c r="G991" s="10" t="s">
        <v>2359</v>
      </c>
      <c r="H991" s="10"/>
      <c r="I991" s="11">
        <v>499.0</v>
      </c>
      <c r="J991" s="11">
        <v>1299.0</v>
      </c>
      <c r="K991" s="12">
        <f t="shared" si="1"/>
        <v>0.6158583526</v>
      </c>
      <c r="L991" s="13">
        <f>IFERROR(__xludf.DUMMYFUNCTION("GOOGLEFINANCE(""CURRENCY:INRBRL"") * I991
"),29.38195551562)</f>
        <v>29.38195552</v>
      </c>
      <c r="M991" s="9">
        <v>4.49</v>
      </c>
      <c r="N991" s="9">
        <v>274.0</v>
      </c>
      <c r="O991" s="9" t="s">
        <v>3922</v>
      </c>
      <c r="P991" s="14" t="s">
        <v>3923</v>
      </c>
      <c r="U991" s="17"/>
      <c r="V991" s="18"/>
      <c r="W991" s="16"/>
      <c r="X991" s="16"/>
      <c r="Y991" s="16"/>
    </row>
    <row r="992">
      <c r="A992" s="9" t="s">
        <v>340</v>
      </c>
      <c r="B992" s="10" t="s">
        <v>341</v>
      </c>
      <c r="C992" s="10" t="s">
        <v>18</v>
      </c>
      <c r="D992" s="10" t="s">
        <v>19</v>
      </c>
      <c r="E992" s="10" t="s">
        <v>20</v>
      </c>
      <c r="F992" s="10" t="s">
        <v>21</v>
      </c>
      <c r="G992" s="10" t="s">
        <v>22</v>
      </c>
      <c r="H992" s="10" t="s">
        <v>23</v>
      </c>
      <c r="I992" s="11">
        <v>199.0</v>
      </c>
      <c r="J992" s="11">
        <v>499.0</v>
      </c>
      <c r="K992" s="12">
        <f t="shared" si="1"/>
        <v>0.6012024048</v>
      </c>
      <c r="L992" s="13">
        <f>IFERROR(__xludf.DUMMYFUNCTION("GOOGLEFINANCE(""CURRENCY:INRBRL"") * I992
"),11.71745320162)</f>
        <v>11.7174532</v>
      </c>
      <c r="M992" s="9">
        <v>4.49</v>
      </c>
      <c r="N992" s="9">
        <v>602.0</v>
      </c>
      <c r="O992" s="9" t="s">
        <v>342</v>
      </c>
      <c r="P992" s="14" t="s">
        <v>3924</v>
      </c>
      <c r="U992" s="17"/>
      <c r="V992" s="18"/>
      <c r="W992" s="16"/>
      <c r="X992" s="16"/>
      <c r="Y992" s="16"/>
    </row>
    <row r="993">
      <c r="A993" s="9" t="s">
        <v>3925</v>
      </c>
      <c r="B993" s="10" t="s">
        <v>3926</v>
      </c>
      <c r="C993" s="10" t="s">
        <v>2341</v>
      </c>
      <c r="D993" s="10" t="s">
        <v>19</v>
      </c>
      <c r="E993" s="10" t="s">
        <v>20</v>
      </c>
      <c r="F993" s="10" t="s">
        <v>2342</v>
      </c>
      <c r="G993" s="10" t="s">
        <v>2343</v>
      </c>
      <c r="H993" s="10"/>
      <c r="I993" s="11">
        <v>579.0</v>
      </c>
      <c r="J993" s="11">
        <v>1099.0</v>
      </c>
      <c r="K993" s="12">
        <f t="shared" si="1"/>
        <v>0.4731574158</v>
      </c>
      <c r="L993" s="13">
        <f>IFERROR(__xludf.DUMMYFUNCTION("GOOGLEFINANCE(""CURRENCY:INRBRL"") * I993
"),34.09248946602)</f>
        <v>34.09248947</v>
      </c>
      <c r="M993" s="9">
        <v>4.5</v>
      </c>
      <c r="N993" s="9">
        <v>3482.0</v>
      </c>
      <c r="O993" s="9" t="s">
        <v>3927</v>
      </c>
      <c r="P993" s="14" t="s">
        <v>3928</v>
      </c>
      <c r="U993" s="17"/>
      <c r="V993" s="18"/>
      <c r="W993" s="16"/>
      <c r="X993" s="16"/>
      <c r="Y993" s="16"/>
    </row>
    <row r="994">
      <c r="A994" s="9" t="s">
        <v>344</v>
      </c>
      <c r="B994" s="10" t="s">
        <v>345</v>
      </c>
      <c r="C994" s="10" t="s">
        <v>18</v>
      </c>
      <c r="D994" s="10" t="s">
        <v>19</v>
      </c>
      <c r="E994" s="10" t="s">
        <v>20</v>
      </c>
      <c r="F994" s="10" t="s">
        <v>21</v>
      </c>
      <c r="G994" s="10" t="s">
        <v>22</v>
      </c>
      <c r="H994" s="10" t="s">
        <v>23</v>
      </c>
      <c r="I994" s="11">
        <v>179.0</v>
      </c>
      <c r="J994" s="11">
        <v>399.0</v>
      </c>
      <c r="K994" s="12">
        <f t="shared" si="1"/>
        <v>0.5513784461</v>
      </c>
      <c r="L994" s="13">
        <f>IFERROR(__xludf.DUMMYFUNCTION("GOOGLEFINANCE(""CURRENCY:INRBRL"") * I994
"),10.53981971402)</f>
        <v>10.53981971</v>
      </c>
      <c r="M994" s="9">
        <v>4.0</v>
      </c>
      <c r="N994" s="9">
        <v>1423.0</v>
      </c>
      <c r="O994" s="9" t="s">
        <v>346</v>
      </c>
      <c r="P994" s="14" t="s">
        <v>3929</v>
      </c>
      <c r="U994" s="17"/>
      <c r="V994" s="18"/>
      <c r="W994" s="16"/>
      <c r="X994" s="16"/>
      <c r="Y994" s="16"/>
    </row>
    <row r="995">
      <c r="A995" s="9" t="s">
        <v>3930</v>
      </c>
      <c r="B995" s="10" t="s">
        <v>3931</v>
      </c>
      <c r="C995" s="10" t="s">
        <v>3932</v>
      </c>
      <c r="D995" s="10" t="s">
        <v>2440</v>
      </c>
      <c r="E995" s="10" t="s">
        <v>2441</v>
      </c>
      <c r="F995" s="10" t="s">
        <v>2442</v>
      </c>
      <c r="G995" s="10" t="s">
        <v>2443</v>
      </c>
      <c r="H995" s="10" t="s">
        <v>2444</v>
      </c>
      <c r="I995" s="11">
        <v>90.0</v>
      </c>
      <c r="J995" s="11">
        <v>100.0</v>
      </c>
      <c r="K995" s="12">
        <f t="shared" si="1"/>
        <v>0.1</v>
      </c>
      <c r="L995" s="13">
        <f>IFERROR(__xludf.DUMMYFUNCTION("GOOGLEFINANCE(""CURRENCY:INRBRL"") * I995
"),5.2993506942)</f>
        <v>5.299350694</v>
      </c>
      <c r="M995" s="9">
        <v>4.49</v>
      </c>
      <c r="N995" s="9">
        <v>6199.0</v>
      </c>
      <c r="O995" s="9" t="s">
        <v>3933</v>
      </c>
      <c r="P995" s="14" t="s">
        <v>3934</v>
      </c>
      <c r="U995" s="17"/>
      <c r="V995" s="18"/>
      <c r="W995" s="16"/>
      <c r="X995" s="16"/>
      <c r="Y995" s="16"/>
    </row>
    <row r="996">
      <c r="A996" s="9" t="s">
        <v>3935</v>
      </c>
      <c r="B996" s="10" t="s">
        <v>3936</v>
      </c>
      <c r="C996" s="10" t="s">
        <v>2358</v>
      </c>
      <c r="D996" s="10" t="s">
        <v>19</v>
      </c>
      <c r="E996" s="10" t="s">
        <v>20</v>
      </c>
      <c r="F996" s="10" t="s">
        <v>2157</v>
      </c>
      <c r="G996" s="10" t="s">
        <v>2359</v>
      </c>
      <c r="H996" s="10"/>
      <c r="I996" s="11">
        <v>899.0</v>
      </c>
      <c r="J996" s="11">
        <v>1999.0</v>
      </c>
      <c r="K996" s="12">
        <f t="shared" si="1"/>
        <v>0.5502751376</v>
      </c>
      <c r="L996" s="13">
        <f>IFERROR(__xludf.DUMMYFUNCTION("GOOGLEFINANCE(""CURRENCY:INRBRL"") * I996
"),52.93462526762)</f>
        <v>52.93462527</v>
      </c>
      <c r="M996" s="9">
        <v>4.5</v>
      </c>
      <c r="N996" s="9">
        <v>1667.0</v>
      </c>
      <c r="O996" s="9" t="s">
        <v>3937</v>
      </c>
      <c r="P996" s="14" t="s">
        <v>3938</v>
      </c>
      <c r="U996" s="17"/>
      <c r="V996" s="18"/>
      <c r="W996" s="16"/>
      <c r="X996" s="16"/>
      <c r="Y996" s="16"/>
    </row>
    <row r="997">
      <c r="A997" s="9" t="s">
        <v>3939</v>
      </c>
      <c r="B997" s="10" t="s">
        <v>3940</v>
      </c>
      <c r="C997" s="10" t="s">
        <v>3602</v>
      </c>
      <c r="D997" s="10" t="s">
        <v>19</v>
      </c>
      <c r="E997" s="10" t="s">
        <v>20</v>
      </c>
      <c r="F997" s="10" t="s">
        <v>2583</v>
      </c>
      <c r="G997" s="10" t="s">
        <v>3603</v>
      </c>
      <c r="H997" s="10"/>
      <c r="I997" s="11">
        <v>1149.0</v>
      </c>
      <c r="J997" s="11">
        <v>1799.0</v>
      </c>
      <c r="K997" s="12">
        <f t="shared" si="1"/>
        <v>0.3613118399</v>
      </c>
      <c r="L997" s="13">
        <f>IFERROR(__xludf.DUMMYFUNCTION("GOOGLEFINANCE(""CURRENCY:INRBRL"") * I997
"),67.65504386262)</f>
        <v>67.65504386</v>
      </c>
      <c r="M997" s="9">
        <v>4.5</v>
      </c>
      <c r="N997" s="9">
        <v>4723.0</v>
      </c>
      <c r="O997" s="9" t="s">
        <v>3941</v>
      </c>
      <c r="P997" s="14" t="s">
        <v>3942</v>
      </c>
      <c r="U997" s="17"/>
      <c r="V997" s="18"/>
      <c r="W997" s="16"/>
      <c r="X997" s="16"/>
      <c r="Y997" s="16"/>
    </row>
    <row r="998">
      <c r="A998" s="9" t="s">
        <v>3943</v>
      </c>
      <c r="B998" s="10" t="s">
        <v>3944</v>
      </c>
      <c r="C998" s="10" t="s">
        <v>2988</v>
      </c>
      <c r="D998" s="10" t="s">
        <v>19</v>
      </c>
      <c r="E998" s="10" t="s">
        <v>20</v>
      </c>
      <c r="F998" s="10" t="s">
        <v>2157</v>
      </c>
      <c r="G998" s="10" t="s">
        <v>2989</v>
      </c>
      <c r="H998" s="10" t="s">
        <v>2990</v>
      </c>
      <c r="I998" s="11">
        <v>249.0</v>
      </c>
      <c r="J998" s="11">
        <v>499.0</v>
      </c>
      <c r="K998" s="12">
        <f t="shared" si="1"/>
        <v>0.501002004</v>
      </c>
      <c r="L998" s="13">
        <f>IFERROR(__xludf.DUMMYFUNCTION("GOOGLEFINANCE(""CURRENCY:INRBRL"") * I998
"),14.66153692062)</f>
        <v>14.66153692</v>
      </c>
      <c r="M998" s="9">
        <v>4.5</v>
      </c>
      <c r="N998" s="9">
        <v>2286.0</v>
      </c>
      <c r="O998" s="9" t="s">
        <v>3945</v>
      </c>
      <c r="P998" s="14" t="s">
        <v>3946</v>
      </c>
      <c r="U998" s="17"/>
      <c r="V998" s="18"/>
      <c r="W998" s="16"/>
      <c r="X998" s="16"/>
      <c r="Y998" s="16"/>
    </row>
    <row r="999">
      <c r="A999" s="9" t="s">
        <v>3947</v>
      </c>
      <c r="B999" s="10" t="s">
        <v>3948</v>
      </c>
      <c r="C999" s="10" t="s">
        <v>2814</v>
      </c>
      <c r="D999" s="10" t="s">
        <v>19</v>
      </c>
      <c r="E999" s="10" t="s">
        <v>20</v>
      </c>
      <c r="F999" s="10" t="s">
        <v>2815</v>
      </c>
      <c r="G999" s="10" t="s">
        <v>2816</v>
      </c>
      <c r="H999" s="10"/>
      <c r="I999" s="11">
        <v>39.0</v>
      </c>
      <c r="J999" s="11">
        <v>39.0</v>
      </c>
      <c r="K999" s="12">
        <f t="shared" si="1"/>
        <v>0</v>
      </c>
      <c r="L999" s="13">
        <f>IFERROR(__xludf.DUMMYFUNCTION("GOOGLEFINANCE(""CURRENCY:INRBRL"") * I999
"),2.29638530082)</f>
        <v>2.296385301</v>
      </c>
      <c r="M999" s="9">
        <v>4.51</v>
      </c>
      <c r="N999" s="9">
        <v>13572.0</v>
      </c>
      <c r="O999" s="9" t="s">
        <v>3868</v>
      </c>
      <c r="P999" s="14" t="s">
        <v>3949</v>
      </c>
      <c r="U999" s="17"/>
      <c r="V999" s="18"/>
      <c r="W999" s="16"/>
      <c r="X999" s="16"/>
      <c r="Y999" s="16"/>
    </row>
    <row r="1000">
      <c r="A1000" s="9" t="s">
        <v>3950</v>
      </c>
      <c r="B1000" s="10" t="s">
        <v>3951</v>
      </c>
      <c r="C1000" s="10" t="s">
        <v>2528</v>
      </c>
      <c r="D1000" s="10" t="s">
        <v>19</v>
      </c>
      <c r="E1000" s="10" t="s">
        <v>57</v>
      </c>
      <c r="F1000" s="10" t="s">
        <v>2529</v>
      </c>
      <c r="G1000" s="10"/>
      <c r="H1000" s="10"/>
      <c r="I1000" s="11">
        <v>1599.0</v>
      </c>
      <c r="J1000" s="11">
        <v>3599.0</v>
      </c>
      <c r="K1000" s="12">
        <f t="shared" si="1"/>
        <v>0.5557099194</v>
      </c>
      <c r="L1000" s="13">
        <f>IFERROR(__xludf.DUMMYFUNCTION("GOOGLEFINANCE(""CURRENCY:INRBRL"") * I1000
"),94.15179733362)</f>
        <v>94.15179733</v>
      </c>
      <c r="M1000" s="9">
        <v>4.5</v>
      </c>
      <c r="N1000" s="9">
        <v>16182.0</v>
      </c>
      <c r="O1000" s="9" t="s">
        <v>3952</v>
      </c>
      <c r="P1000" s="14" t="s">
        <v>3953</v>
      </c>
      <c r="U1000" s="17"/>
      <c r="V1000" s="18"/>
      <c r="W1000" s="16"/>
      <c r="X1000" s="16"/>
      <c r="Y1000" s="16"/>
    </row>
    <row r="1001">
      <c r="A1001" s="9" t="s">
        <v>3954</v>
      </c>
      <c r="B1001" s="10" t="s">
        <v>3955</v>
      </c>
      <c r="C1001" s="10" t="s">
        <v>2671</v>
      </c>
      <c r="D1001" s="10" t="s">
        <v>77</v>
      </c>
      <c r="E1001" s="10" t="s">
        <v>569</v>
      </c>
      <c r="F1001" s="10" t="s">
        <v>1129</v>
      </c>
      <c r="G1001" s="10" t="s">
        <v>2672</v>
      </c>
      <c r="H1001" s="10"/>
      <c r="I1001" s="11">
        <v>1199.0</v>
      </c>
      <c r="J1001" s="11">
        <v>3999.0</v>
      </c>
      <c r="K1001" s="12">
        <f t="shared" si="1"/>
        <v>0.7001750438</v>
      </c>
      <c r="L1001" s="13">
        <f>IFERROR(__xludf.DUMMYFUNCTION("GOOGLEFINANCE(""CURRENCY:INRBRL"") * I1001
"),70.59912758162)</f>
        <v>70.59912758</v>
      </c>
      <c r="M1001" s="9">
        <v>4.5</v>
      </c>
      <c r="N1001" s="9">
        <v>2908.0</v>
      </c>
      <c r="O1001" s="9" t="s">
        <v>3956</v>
      </c>
      <c r="P1001" s="14" t="s">
        <v>3957</v>
      </c>
      <c r="U1001" s="17"/>
      <c r="V1001" s="18"/>
      <c r="W1001" s="16"/>
      <c r="X1001" s="16"/>
      <c r="Y1001" s="16"/>
    </row>
    <row r="1002">
      <c r="A1002" s="9" t="s">
        <v>352</v>
      </c>
      <c r="B1002" s="10" t="s">
        <v>353</v>
      </c>
      <c r="C1002" s="10" t="s">
        <v>18</v>
      </c>
      <c r="D1002" s="10" t="s">
        <v>19</v>
      </c>
      <c r="E1002" s="10" t="s">
        <v>20</v>
      </c>
      <c r="F1002" s="10" t="s">
        <v>21</v>
      </c>
      <c r="G1002" s="10" t="s">
        <v>22</v>
      </c>
      <c r="H1002" s="10" t="s">
        <v>23</v>
      </c>
      <c r="I1002" s="11">
        <v>209.0</v>
      </c>
      <c r="J1002" s="11">
        <v>499.0</v>
      </c>
      <c r="K1002" s="12">
        <f t="shared" si="1"/>
        <v>0.5811623246</v>
      </c>
      <c r="L1002" s="13">
        <f>IFERROR(__xludf.DUMMYFUNCTION("GOOGLEFINANCE(""CURRENCY:INRBRL"") * I1002
"),12.30626994542)</f>
        <v>12.30626995</v>
      </c>
      <c r="M1002" s="9">
        <v>4.52</v>
      </c>
      <c r="N1002" s="9">
        <v>536.0</v>
      </c>
      <c r="O1002" s="9" t="s">
        <v>354</v>
      </c>
      <c r="P1002" s="14" t="s">
        <v>3958</v>
      </c>
      <c r="U1002" s="17"/>
      <c r="V1002" s="18"/>
      <c r="W1002" s="16"/>
      <c r="X1002" s="16"/>
      <c r="Y1002" s="16"/>
    </row>
    <row r="1003">
      <c r="A1003" s="9" t="s">
        <v>3959</v>
      </c>
      <c r="B1003" s="10" t="s">
        <v>3960</v>
      </c>
      <c r="C1003" s="10" t="s">
        <v>2341</v>
      </c>
      <c r="D1003" s="10" t="s">
        <v>19</v>
      </c>
      <c r="E1003" s="10" t="s">
        <v>20</v>
      </c>
      <c r="F1003" s="10" t="s">
        <v>2342</v>
      </c>
      <c r="G1003" s="10" t="s">
        <v>2343</v>
      </c>
      <c r="H1003" s="10"/>
      <c r="I1003" s="11">
        <v>1099.0</v>
      </c>
      <c r="J1003" s="11">
        <v>1499.0</v>
      </c>
      <c r="K1003" s="12">
        <f t="shared" si="1"/>
        <v>0.266844563</v>
      </c>
      <c r="L1003" s="13">
        <f>IFERROR(__xludf.DUMMYFUNCTION("GOOGLEFINANCE(""CURRENCY:INRBRL"") * I1003
"),64.71096014362)</f>
        <v>64.71096014</v>
      </c>
      <c r="M1003" s="9">
        <v>4.5</v>
      </c>
      <c r="N1003" s="9">
        <v>2375.0</v>
      </c>
      <c r="O1003" s="9" t="s">
        <v>3961</v>
      </c>
      <c r="P1003" s="14" t="s">
        <v>3962</v>
      </c>
      <c r="U1003" s="17"/>
      <c r="V1003" s="18"/>
      <c r="W1003" s="16"/>
      <c r="X1003" s="16"/>
      <c r="Y1003" s="16"/>
    </row>
    <row r="1004">
      <c r="A1004" s="9" t="s">
        <v>3963</v>
      </c>
      <c r="B1004" s="10" t="s">
        <v>3964</v>
      </c>
      <c r="C1004" s="10" t="s">
        <v>3022</v>
      </c>
      <c r="D1004" s="10" t="s">
        <v>2440</v>
      </c>
      <c r="E1004" s="10" t="s">
        <v>2441</v>
      </c>
      <c r="F1004" s="10" t="s">
        <v>2442</v>
      </c>
      <c r="G1004" s="10" t="s">
        <v>2443</v>
      </c>
      <c r="H1004" s="10" t="s">
        <v>2719</v>
      </c>
      <c r="I1004" s="11">
        <v>120.0</v>
      </c>
      <c r="J1004" s="11">
        <v>120.0</v>
      </c>
      <c r="K1004" s="12">
        <f t="shared" si="1"/>
        <v>0</v>
      </c>
      <c r="L1004" s="13">
        <f>IFERROR(__xludf.DUMMYFUNCTION("GOOGLEFINANCE(""CURRENCY:INRBRL"") * I1004
"),7.0658009256)</f>
        <v>7.065800926</v>
      </c>
      <c r="M1004" s="9">
        <v>4.51</v>
      </c>
      <c r="N1004" s="9">
        <v>4951.0</v>
      </c>
      <c r="O1004" s="9" t="s">
        <v>3965</v>
      </c>
      <c r="P1004" s="14" t="s">
        <v>3966</v>
      </c>
      <c r="U1004" s="17"/>
      <c r="V1004" s="18"/>
      <c r="W1004" s="16"/>
      <c r="X1004" s="16"/>
      <c r="Y1004" s="16"/>
    </row>
    <row r="1005">
      <c r="A1005" s="9" t="s">
        <v>3967</v>
      </c>
      <c r="B1005" s="10" t="s">
        <v>3968</v>
      </c>
      <c r="C1005" s="10" t="s">
        <v>3602</v>
      </c>
      <c r="D1005" s="10" t="s">
        <v>19</v>
      </c>
      <c r="E1005" s="10" t="s">
        <v>20</v>
      </c>
      <c r="F1005" s="10" t="s">
        <v>2583</v>
      </c>
      <c r="G1005" s="10" t="s">
        <v>3603</v>
      </c>
      <c r="H1005" s="10"/>
      <c r="I1005" s="11">
        <v>1519.0</v>
      </c>
      <c r="J1005" s="11">
        <v>3499.0</v>
      </c>
      <c r="K1005" s="12">
        <f t="shared" si="1"/>
        <v>0.5658759646</v>
      </c>
      <c r="L1005" s="13">
        <f>IFERROR(__xludf.DUMMYFUNCTION("GOOGLEFINANCE(""CURRENCY:INRBRL"") * I1005
"),89.44126338322)</f>
        <v>89.44126338</v>
      </c>
      <c r="M1005" s="9">
        <v>4.5</v>
      </c>
      <c r="N1005" s="9">
        <v>408.0</v>
      </c>
      <c r="O1005" s="9" t="s">
        <v>3969</v>
      </c>
      <c r="P1005" s="14" t="s">
        <v>3970</v>
      </c>
      <c r="U1005" s="17"/>
      <c r="V1005" s="18"/>
      <c r="W1005" s="16"/>
      <c r="X1005" s="16"/>
      <c r="Y1005" s="16"/>
    </row>
    <row r="1006">
      <c r="A1006" s="9" t="s">
        <v>3971</v>
      </c>
      <c r="B1006" s="10" t="s">
        <v>3972</v>
      </c>
      <c r="C1006" s="10" t="s">
        <v>3932</v>
      </c>
      <c r="D1006" s="10" t="s">
        <v>2440</v>
      </c>
      <c r="E1006" s="10" t="s">
        <v>2441</v>
      </c>
      <c r="F1006" s="10" t="s">
        <v>2442</v>
      </c>
      <c r="G1006" s="10" t="s">
        <v>2443</v>
      </c>
      <c r="H1006" s="10" t="s">
        <v>2444</v>
      </c>
      <c r="I1006" s="11">
        <v>420.0</v>
      </c>
      <c r="J1006" s="11">
        <v>420.0</v>
      </c>
      <c r="K1006" s="12">
        <f t="shared" si="1"/>
        <v>0</v>
      </c>
      <c r="L1006" s="13">
        <f>IFERROR(__xludf.DUMMYFUNCTION("GOOGLEFINANCE(""CURRENCY:INRBRL"") * I1006
"),24.730303239599998)</f>
        <v>24.73030324</v>
      </c>
      <c r="M1006" s="9">
        <v>4.5</v>
      </c>
      <c r="N1006" s="9">
        <v>1926.0</v>
      </c>
      <c r="O1006" s="9" t="s">
        <v>3973</v>
      </c>
      <c r="P1006" s="14" t="s">
        <v>3974</v>
      </c>
      <c r="U1006" s="17"/>
      <c r="V1006" s="18"/>
      <c r="W1006" s="16"/>
      <c r="X1006" s="16"/>
      <c r="Y1006" s="16"/>
    </row>
    <row r="1007">
      <c r="A1007" s="9" t="s">
        <v>3975</v>
      </c>
      <c r="B1007" s="10" t="s">
        <v>3976</v>
      </c>
      <c r="C1007" s="10" t="s">
        <v>3977</v>
      </c>
      <c r="D1007" s="10" t="s">
        <v>2440</v>
      </c>
      <c r="E1007" s="10" t="s">
        <v>2441</v>
      </c>
      <c r="F1007" s="10" t="s">
        <v>2442</v>
      </c>
      <c r="G1007" s="10" t="s">
        <v>2443</v>
      </c>
      <c r="H1007" s="10" t="s">
        <v>2444</v>
      </c>
      <c r="I1007" s="11">
        <v>225.0</v>
      </c>
      <c r="J1007" s="11">
        <v>225.0</v>
      </c>
      <c r="K1007" s="12">
        <f t="shared" si="1"/>
        <v>0</v>
      </c>
      <c r="L1007" s="13">
        <f>IFERROR(__xludf.DUMMYFUNCTION("GOOGLEFINANCE(""CURRENCY:INRBRL"") * I1007
"),13.248376735499999)</f>
        <v>13.24837674</v>
      </c>
      <c r="M1007" s="9">
        <v>4.49</v>
      </c>
      <c r="N1007" s="9">
        <v>4798.0</v>
      </c>
      <c r="O1007" s="9" t="s">
        <v>3978</v>
      </c>
      <c r="P1007" s="14" t="s">
        <v>3979</v>
      </c>
      <c r="U1007" s="17"/>
      <c r="V1007" s="18"/>
      <c r="W1007" s="16"/>
      <c r="X1007" s="16"/>
      <c r="Y1007" s="16"/>
    </row>
    <row r="1008">
      <c r="A1008" s="9" t="s">
        <v>3980</v>
      </c>
      <c r="B1008" s="10" t="s">
        <v>3981</v>
      </c>
      <c r="C1008" s="10" t="s">
        <v>3982</v>
      </c>
      <c r="D1008" s="10" t="s">
        <v>19</v>
      </c>
      <c r="E1008" s="10" t="s">
        <v>20</v>
      </c>
      <c r="F1008" s="10" t="s">
        <v>3983</v>
      </c>
      <c r="G1008" s="10" t="s">
        <v>3984</v>
      </c>
      <c r="H1008" s="10"/>
      <c r="I1008" s="11">
        <v>199.0</v>
      </c>
      <c r="J1008" s="11">
        <v>799.0</v>
      </c>
      <c r="K1008" s="12">
        <f t="shared" si="1"/>
        <v>0.7509386733</v>
      </c>
      <c r="L1008" s="13">
        <f>IFERROR(__xludf.DUMMYFUNCTION("GOOGLEFINANCE(""CURRENCY:INRBRL"") * I1008
"),11.71745320162)</f>
        <v>11.7174532</v>
      </c>
      <c r="M1008" s="9">
        <v>4.49</v>
      </c>
      <c r="N1008" s="9">
        <v>7333.0</v>
      </c>
      <c r="O1008" s="9" t="s">
        <v>3985</v>
      </c>
      <c r="P1008" s="14" t="s">
        <v>3986</v>
      </c>
      <c r="U1008" s="17"/>
      <c r="V1008" s="18"/>
      <c r="W1008" s="16"/>
      <c r="X1008" s="16"/>
      <c r="Y1008" s="16"/>
    </row>
    <row r="1009">
      <c r="A1009" s="9" t="s">
        <v>2271</v>
      </c>
      <c r="B1009" s="10" t="s">
        <v>2272</v>
      </c>
      <c r="C1009" s="10" t="s">
        <v>1641</v>
      </c>
      <c r="D1009" s="10" t="s">
        <v>77</v>
      </c>
      <c r="E1009" s="10" t="s">
        <v>1404</v>
      </c>
      <c r="F1009" s="10" t="s">
        <v>1405</v>
      </c>
      <c r="G1009" s="10" t="s">
        <v>1599</v>
      </c>
      <c r="H1009" s="10" t="s">
        <v>1642</v>
      </c>
      <c r="I1009" s="11">
        <v>1799.0</v>
      </c>
      <c r="J1009" s="11">
        <v>3999.0</v>
      </c>
      <c r="K1009" s="12">
        <f t="shared" si="1"/>
        <v>0.5501375344</v>
      </c>
      <c r="L1009" s="13">
        <f>IFERROR(__xludf.DUMMYFUNCTION("GOOGLEFINANCE(""CURRENCY:INRBRL"") * I1009
"),105.92813220962)</f>
        <v>105.9281322</v>
      </c>
      <c r="M1009" s="9">
        <v>4.51</v>
      </c>
      <c r="N1009" s="9">
        <v>245.0</v>
      </c>
      <c r="O1009" s="9" t="s">
        <v>2273</v>
      </c>
      <c r="P1009" s="14" t="s">
        <v>3987</v>
      </c>
      <c r="U1009" s="17"/>
      <c r="V1009" s="18"/>
      <c r="W1009" s="16"/>
      <c r="X1009" s="16"/>
      <c r="Y1009" s="16"/>
    </row>
    <row r="1010">
      <c r="A1010" s="9" t="s">
        <v>3988</v>
      </c>
      <c r="B1010" s="10" t="s">
        <v>3989</v>
      </c>
      <c r="C1010" s="10" t="s">
        <v>3658</v>
      </c>
      <c r="D1010" s="10" t="s">
        <v>19</v>
      </c>
      <c r="E1010" s="10" t="s">
        <v>2547</v>
      </c>
      <c r="F1010" s="10" t="s">
        <v>3474</v>
      </c>
      <c r="G1010" s="10" t="s">
        <v>3659</v>
      </c>
      <c r="H1010" s="10"/>
      <c r="I1010" s="11">
        <v>8349.0</v>
      </c>
      <c r="J1010" s="11">
        <v>9625.0</v>
      </c>
      <c r="K1010" s="12">
        <f t="shared" si="1"/>
        <v>0.1325714286</v>
      </c>
      <c r="L1010" s="13">
        <f>IFERROR(__xludf.DUMMYFUNCTION("GOOGLEFINANCE(""CURRENCY:INRBRL"") * I1010
"),491.60309939862)</f>
        <v>491.6030994</v>
      </c>
      <c r="M1010" s="9">
        <v>4.51</v>
      </c>
      <c r="N1010" s="9">
        <v>3652.0</v>
      </c>
      <c r="O1010" s="9" t="s">
        <v>3990</v>
      </c>
      <c r="P1010" s="14" t="s">
        <v>3991</v>
      </c>
      <c r="U1010" s="17"/>
      <c r="V1010" s="18"/>
      <c r="W1010" s="16"/>
      <c r="X1010" s="16"/>
      <c r="Y1010" s="16"/>
    </row>
    <row r="1011">
      <c r="A1011" s="9" t="s">
        <v>3992</v>
      </c>
      <c r="B1011" s="10" t="s">
        <v>3993</v>
      </c>
      <c r="C1011" s="10" t="s">
        <v>3230</v>
      </c>
      <c r="D1011" s="10" t="s">
        <v>19</v>
      </c>
      <c r="E1011" s="10" t="s">
        <v>3076</v>
      </c>
      <c r="F1011" s="10" t="s">
        <v>3231</v>
      </c>
      <c r="G1011" s="10"/>
      <c r="H1011" s="10"/>
      <c r="I1011" s="11">
        <v>3307.0</v>
      </c>
      <c r="J1011" s="11">
        <v>6099.0</v>
      </c>
      <c r="K1011" s="12">
        <f t="shared" si="1"/>
        <v>0.4577799639</v>
      </c>
      <c r="L1011" s="13">
        <f>IFERROR(__xludf.DUMMYFUNCTION("GOOGLEFINANCE(""CURRENCY:INRBRL"") * I1011
"),194.72169717466)</f>
        <v>194.7216972</v>
      </c>
      <c r="M1011" s="9">
        <v>4.5</v>
      </c>
      <c r="N1011" s="9">
        <v>2515.0</v>
      </c>
      <c r="O1011" s="9" t="s">
        <v>3994</v>
      </c>
      <c r="P1011" s="14" t="s">
        <v>3995</v>
      </c>
      <c r="U1011" s="17"/>
      <c r="V1011" s="18"/>
      <c r="W1011" s="16"/>
      <c r="X1011" s="16"/>
      <c r="Y1011" s="16"/>
    </row>
    <row r="1012">
      <c r="A1012" s="9" t="s">
        <v>376</v>
      </c>
      <c r="B1012" s="10" t="s">
        <v>377</v>
      </c>
      <c r="C1012" s="10" t="s">
        <v>18</v>
      </c>
      <c r="D1012" s="10" t="s">
        <v>19</v>
      </c>
      <c r="E1012" s="10" t="s">
        <v>20</v>
      </c>
      <c r="F1012" s="10" t="s">
        <v>21</v>
      </c>
      <c r="G1012" s="10" t="s">
        <v>22</v>
      </c>
      <c r="H1012" s="10" t="s">
        <v>23</v>
      </c>
      <c r="I1012" s="11">
        <v>325.0</v>
      </c>
      <c r="J1012" s="11">
        <v>1299.0</v>
      </c>
      <c r="K1012" s="12">
        <f t="shared" si="1"/>
        <v>0.7498075443</v>
      </c>
      <c r="L1012" s="13">
        <f>IFERROR(__xludf.DUMMYFUNCTION("GOOGLEFINANCE(""CURRENCY:INRBRL"") * I1012
"),19.1365441735)</f>
        <v>19.13654417</v>
      </c>
      <c r="M1012" s="9">
        <v>4.5</v>
      </c>
      <c r="N1012" s="9">
        <v>10576.0</v>
      </c>
      <c r="O1012" s="9" t="s">
        <v>378</v>
      </c>
      <c r="P1012" s="14" t="s">
        <v>3996</v>
      </c>
      <c r="U1012" s="17"/>
      <c r="V1012" s="18"/>
      <c r="W1012" s="16"/>
      <c r="X1012" s="16"/>
      <c r="Y1012" s="16"/>
    </row>
    <row r="1013">
      <c r="A1013" s="9" t="s">
        <v>3997</v>
      </c>
      <c r="B1013" s="10" t="s">
        <v>3998</v>
      </c>
      <c r="C1013" s="10" t="s">
        <v>2334</v>
      </c>
      <c r="D1013" s="10" t="s">
        <v>19</v>
      </c>
      <c r="E1013" s="10" t="s">
        <v>2335</v>
      </c>
      <c r="F1013" s="10" t="s">
        <v>2336</v>
      </c>
      <c r="G1013" s="10"/>
      <c r="H1013" s="10"/>
      <c r="I1013" s="11">
        <v>449.0</v>
      </c>
      <c r="J1013" s="11">
        <v>1299.0</v>
      </c>
      <c r="K1013" s="12">
        <f t="shared" si="1"/>
        <v>0.6543494996</v>
      </c>
      <c r="L1013" s="13">
        <f>IFERROR(__xludf.DUMMYFUNCTION("GOOGLEFINANCE(""CURRENCY:INRBRL"") * I1013
"),26.437871796619998)</f>
        <v>26.4378718</v>
      </c>
      <c r="M1013" s="9">
        <v>4.5</v>
      </c>
      <c r="N1013" s="9">
        <v>4959.0</v>
      </c>
      <c r="O1013" s="9" t="s">
        <v>3999</v>
      </c>
      <c r="P1013" s="14" t="s">
        <v>4000</v>
      </c>
      <c r="U1013" s="17"/>
      <c r="V1013" s="18"/>
      <c r="W1013" s="16"/>
      <c r="X1013" s="16"/>
      <c r="Y1013" s="16"/>
    </row>
    <row r="1014">
      <c r="A1014" s="9" t="s">
        <v>4001</v>
      </c>
      <c r="B1014" s="10" t="s">
        <v>4002</v>
      </c>
      <c r="C1014" s="10" t="s">
        <v>2432</v>
      </c>
      <c r="D1014" s="10" t="s">
        <v>77</v>
      </c>
      <c r="E1014" s="10" t="s">
        <v>2433</v>
      </c>
      <c r="F1014" s="10" t="s">
        <v>2434</v>
      </c>
      <c r="G1014" s="10"/>
      <c r="H1014" s="10"/>
      <c r="I1014" s="11">
        <v>380.0</v>
      </c>
      <c r="J1014" s="11">
        <v>400.0</v>
      </c>
      <c r="K1014" s="12">
        <f t="shared" si="1"/>
        <v>0.05</v>
      </c>
      <c r="L1014" s="13">
        <f>IFERROR(__xludf.DUMMYFUNCTION("GOOGLEFINANCE(""CURRENCY:INRBRL"") * I1014
"),22.3750362644)</f>
        <v>22.37503626</v>
      </c>
      <c r="M1014" s="9">
        <v>4.5</v>
      </c>
      <c r="N1014" s="9">
        <v>2111.0</v>
      </c>
      <c r="O1014" s="9" t="s">
        <v>4003</v>
      </c>
      <c r="P1014" s="14" t="s">
        <v>4004</v>
      </c>
      <c r="U1014" s="17"/>
      <c r="V1014" s="18"/>
      <c r="W1014" s="16"/>
      <c r="X1014" s="16"/>
      <c r="Y1014" s="16"/>
    </row>
    <row r="1015">
      <c r="A1015" s="9" t="s">
        <v>4005</v>
      </c>
      <c r="B1015" s="10" t="s">
        <v>4006</v>
      </c>
      <c r="C1015" s="10" t="s">
        <v>2348</v>
      </c>
      <c r="D1015" s="10" t="s">
        <v>19</v>
      </c>
      <c r="E1015" s="10" t="s">
        <v>20</v>
      </c>
      <c r="F1015" s="10" t="s">
        <v>2342</v>
      </c>
      <c r="G1015" s="10" t="s">
        <v>2349</v>
      </c>
      <c r="H1015" s="10"/>
      <c r="I1015" s="11">
        <v>499.0</v>
      </c>
      <c r="J1015" s="11">
        <v>1399.0</v>
      </c>
      <c r="K1015" s="12">
        <f t="shared" si="1"/>
        <v>0.6433166548</v>
      </c>
      <c r="L1015" s="13">
        <f>IFERROR(__xludf.DUMMYFUNCTION("GOOGLEFINANCE(""CURRENCY:INRBRL"") * I1015
"),29.38195551562)</f>
        <v>29.38195552</v>
      </c>
      <c r="M1015" s="9">
        <v>4.52</v>
      </c>
      <c r="N1015" s="9">
        <v>1462.0</v>
      </c>
      <c r="O1015" s="9" t="s">
        <v>4007</v>
      </c>
      <c r="P1015" s="14" t="s">
        <v>4008</v>
      </c>
      <c r="U1015" s="17"/>
      <c r="V1015" s="18"/>
      <c r="W1015" s="16"/>
      <c r="X1015" s="16"/>
      <c r="Y1015" s="16"/>
    </row>
    <row r="1016">
      <c r="A1016" s="9" t="s">
        <v>4009</v>
      </c>
      <c r="B1016" s="10" t="s">
        <v>4010</v>
      </c>
      <c r="C1016" s="10" t="s">
        <v>4011</v>
      </c>
      <c r="D1016" s="10" t="s">
        <v>19</v>
      </c>
      <c r="E1016" s="10" t="s">
        <v>4012</v>
      </c>
      <c r="F1016" s="10" t="s">
        <v>4013</v>
      </c>
      <c r="G1016" s="10"/>
      <c r="H1016" s="10"/>
      <c r="I1016" s="11">
        <v>37.25</v>
      </c>
      <c r="J1016" s="11">
        <v>59.89</v>
      </c>
      <c r="K1016" s="12">
        <f t="shared" si="1"/>
        <v>0.3780263817</v>
      </c>
      <c r="L1016" s="13">
        <f>IFERROR(__xludf.DUMMYFUNCTION("GOOGLEFINANCE(""CURRENCY:INRBRL"") * I1016
"),2.193342370655)</f>
        <v>2.193342371</v>
      </c>
      <c r="M1016" s="9">
        <v>4.0</v>
      </c>
      <c r="N1016" s="9">
        <v>323.0</v>
      </c>
      <c r="O1016" s="9" t="s">
        <v>4014</v>
      </c>
      <c r="P1016" s="14" t="s">
        <v>4015</v>
      </c>
      <c r="U1016" s="17"/>
      <c r="V1016" s="18"/>
      <c r="W1016" s="16"/>
      <c r="X1016" s="16"/>
      <c r="Y1016" s="16"/>
    </row>
    <row r="1017">
      <c r="A1017" s="9" t="s">
        <v>4016</v>
      </c>
      <c r="B1017" s="10" t="s">
        <v>4017</v>
      </c>
      <c r="C1017" s="10" t="s">
        <v>2142</v>
      </c>
      <c r="D1017" s="10" t="s">
        <v>77</v>
      </c>
      <c r="E1017" s="10" t="s">
        <v>1455</v>
      </c>
      <c r="F1017" s="10" t="s">
        <v>1456</v>
      </c>
      <c r="G1017" s="10" t="s">
        <v>2143</v>
      </c>
      <c r="H1017" s="10"/>
      <c r="I1017" s="11">
        <v>849.0</v>
      </c>
      <c r="J1017" s="11">
        <v>2499.0</v>
      </c>
      <c r="K1017" s="12">
        <f t="shared" si="1"/>
        <v>0.6602641056</v>
      </c>
      <c r="L1017" s="13">
        <f>IFERROR(__xludf.DUMMYFUNCTION("GOOGLEFINANCE(""CURRENCY:INRBRL"") * I1017
"),49.99054154862)</f>
        <v>49.99054155</v>
      </c>
      <c r="M1017" s="9">
        <v>4.5</v>
      </c>
      <c r="N1017" s="9">
        <v>91188.0</v>
      </c>
      <c r="O1017" s="9" t="s">
        <v>4018</v>
      </c>
      <c r="P1017" s="14" t="s">
        <v>4019</v>
      </c>
      <c r="U1017" s="17"/>
      <c r="V1017" s="18"/>
      <c r="W1017" s="16"/>
      <c r="X1017" s="16"/>
      <c r="Y1017" s="16"/>
    </row>
    <row r="1018">
      <c r="A1018" s="9" t="s">
        <v>4020</v>
      </c>
      <c r="B1018" s="10" t="s">
        <v>4021</v>
      </c>
      <c r="C1018" s="10" t="s">
        <v>2982</v>
      </c>
      <c r="D1018" s="10" t="s">
        <v>77</v>
      </c>
      <c r="E1018" s="10" t="s">
        <v>569</v>
      </c>
      <c r="F1018" s="10" t="s">
        <v>1129</v>
      </c>
      <c r="G1018" s="10" t="s">
        <v>2983</v>
      </c>
      <c r="H1018" s="10"/>
      <c r="I1018" s="11">
        <v>799.0</v>
      </c>
      <c r="J1018" s="11">
        <v>1999.0</v>
      </c>
      <c r="K1018" s="12">
        <f t="shared" si="1"/>
        <v>0.6003001501</v>
      </c>
      <c r="L1018" s="13">
        <f>IFERROR(__xludf.DUMMYFUNCTION("GOOGLEFINANCE(""CURRENCY:INRBRL"") * I1018
"),47.046457829619996)</f>
        <v>47.04645783</v>
      </c>
      <c r="M1018" s="9">
        <v>4.51</v>
      </c>
      <c r="N1018" s="9">
        <v>418.0</v>
      </c>
      <c r="O1018" s="9" t="s">
        <v>4022</v>
      </c>
      <c r="P1018" s="14" t="s">
        <v>4023</v>
      </c>
      <c r="U1018" s="17"/>
      <c r="V1018" s="18"/>
      <c r="W1018" s="16"/>
      <c r="X1018" s="16"/>
      <c r="Y1018" s="16"/>
    </row>
    <row r="1019">
      <c r="A1019" s="9" t="s">
        <v>2319</v>
      </c>
      <c r="B1019" s="10" t="s">
        <v>2320</v>
      </c>
      <c r="C1019" s="10" t="s">
        <v>1869</v>
      </c>
      <c r="D1019" s="10" t="s">
        <v>77</v>
      </c>
      <c r="E1019" s="10" t="s">
        <v>1404</v>
      </c>
      <c r="F1019" s="10" t="s">
        <v>1405</v>
      </c>
      <c r="G1019" s="10" t="s">
        <v>1870</v>
      </c>
      <c r="H1019" s="10"/>
      <c r="I1019" s="11">
        <v>2599.0</v>
      </c>
      <c r="J1019" s="11">
        <v>6999.0</v>
      </c>
      <c r="K1019" s="12">
        <f t="shared" si="1"/>
        <v>0.6286612373</v>
      </c>
      <c r="L1019" s="13">
        <f>IFERROR(__xludf.DUMMYFUNCTION("GOOGLEFINANCE(""CURRENCY:INRBRL"") * I1019
"),153.03347171362)</f>
        <v>153.0334717</v>
      </c>
      <c r="M1019" s="9">
        <v>4.51</v>
      </c>
      <c r="N1019" s="9">
        <v>1526.0</v>
      </c>
      <c r="O1019" s="9" t="s">
        <v>2321</v>
      </c>
      <c r="P1019" s="14" t="s">
        <v>4024</v>
      </c>
      <c r="U1019" s="17"/>
      <c r="V1019" s="18"/>
      <c r="W1019" s="16"/>
      <c r="X1019" s="16"/>
      <c r="Y1019" s="16"/>
    </row>
    <row r="1020">
      <c r="A1020" s="9" t="s">
        <v>392</v>
      </c>
      <c r="B1020" s="10" t="s">
        <v>393</v>
      </c>
      <c r="C1020" s="10" t="s">
        <v>18</v>
      </c>
      <c r="D1020" s="10" t="s">
        <v>19</v>
      </c>
      <c r="E1020" s="10" t="s">
        <v>20</v>
      </c>
      <c r="F1020" s="10" t="s">
        <v>21</v>
      </c>
      <c r="G1020" s="10" t="s">
        <v>22</v>
      </c>
      <c r="H1020" s="10" t="s">
        <v>23</v>
      </c>
      <c r="I1020" s="11">
        <v>199.0</v>
      </c>
      <c r="J1020" s="11">
        <v>999.0</v>
      </c>
      <c r="K1020" s="12">
        <f t="shared" si="1"/>
        <v>0.8008008008</v>
      </c>
      <c r="L1020" s="13">
        <f>IFERROR(__xludf.DUMMYFUNCTION("GOOGLEFINANCE(""CURRENCY:INRBRL"") * I1020
"),11.71745320162)</f>
        <v>11.7174532</v>
      </c>
      <c r="M1020" s="9">
        <v>4.51</v>
      </c>
      <c r="N1020" s="9">
        <v>127.0</v>
      </c>
      <c r="O1020" s="9" t="s">
        <v>394</v>
      </c>
      <c r="P1020" s="14" t="s">
        <v>4025</v>
      </c>
      <c r="U1020" s="17"/>
      <c r="V1020" s="18"/>
      <c r="W1020" s="16"/>
      <c r="X1020" s="16"/>
      <c r="Y1020" s="16"/>
    </row>
    <row r="1021">
      <c r="A1021" s="9" t="s">
        <v>399</v>
      </c>
      <c r="B1021" s="10" t="s">
        <v>400</v>
      </c>
      <c r="C1021" s="10" t="s">
        <v>56</v>
      </c>
      <c r="D1021" s="10" t="s">
        <v>19</v>
      </c>
      <c r="E1021" s="10" t="s">
        <v>57</v>
      </c>
      <c r="F1021" s="10" t="s">
        <v>58</v>
      </c>
      <c r="G1021" s="10" t="s">
        <v>59</v>
      </c>
      <c r="H1021" s="10"/>
      <c r="I1021" s="11">
        <v>269.0</v>
      </c>
      <c r="J1021" s="11">
        <v>800.0</v>
      </c>
      <c r="K1021" s="12">
        <f t="shared" si="1"/>
        <v>0.66375</v>
      </c>
      <c r="L1021" s="13">
        <f>IFERROR(__xludf.DUMMYFUNCTION("GOOGLEFINANCE(""CURRENCY:INRBRL"") * I1021
"),15.83917040822)</f>
        <v>15.83917041</v>
      </c>
      <c r="M1021" s="9">
        <v>4.51</v>
      </c>
      <c r="N1021" s="9">
        <v>10134.0</v>
      </c>
      <c r="O1021" s="9" t="s">
        <v>401</v>
      </c>
      <c r="P1021" s="14" t="s">
        <v>4026</v>
      </c>
      <c r="U1021" s="17"/>
      <c r="V1021" s="18"/>
      <c r="W1021" s="16"/>
      <c r="X1021" s="16"/>
      <c r="Y1021" s="16"/>
    </row>
    <row r="1022">
      <c r="A1022" s="9" t="s">
        <v>4027</v>
      </c>
      <c r="B1022" s="10" t="s">
        <v>4028</v>
      </c>
      <c r="C1022" s="10" t="s">
        <v>2814</v>
      </c>
      <c r="D1022" s="10" t="s">
        <v>19</v>
      </c>
      <c r="E1022" s="10" t="s">
        <v>20</v>
      </c>
      <c r="F1022" s="10" t="s">
        <v>2815</v>
      </c>
      <c r="G1022" s="10" t="s">
        <v>2816</v>
      </c>
      <c r="H1022" s="10"/>
      <c r="I1022" s="11">
        <v>298.0</v>
      </c>
      <c r="J1022" s="11">
        <v>999.0</v>
      </c>
      <c r="K1022" s="12">
        <f t="shared" si="1"/>
        <v>0.7017017017</v>
      </c>
      <c r="L1022" s="13">
        <f>IFERROR(__xludf.DUMMYFUNCTION("GOOGLEFINANCE(""CURRENCY:INRBRL"") * I1022
"),17.54673896524)</f>
        <v>17.54673897</v>
      </c>
      <c r="M1022" s="9">
        <v>4.5</v>
      </c>
      <c r="N1022" s="9">
        <v>1552.0</v>
      </c>
      <c r="O1022" s="9" t="s">
        <v>4029</v>
      </c>
      <c r="P1022" s="14" t="s">
        <v>4030</v>
      </c>
      <c r="U1022" s="17"/>
      <c r="V1022" s="18"/>
      <c r="W1022" s="16"/>
      <c r="X1022" s="16"/>
      <c r="Y1022" s="16"/>
    </row>
    <row r="1023">
      <c r="A1023" s="9" t="s">
        <v>4031</v>
      </c>
      <c r="B1023" s="10" t="s">
        <v>4032</v>
      </c>
      <c r="C1023" s="10" t="s">
        <v>2982</v>
      </c>
      <c r="D1023" s="10" t="s">
        <v>77</v>
      </c>
      <c r="E1023" s="10" t="s">
        <v>569</v>
      </c>
      <c r="F1023" s="10" t="s">
        <v>1129</v>
      </c>
      <c r="G1023" s="10" t="s">
        <v>2983</v>
      </c>
      <c r="H1023" s="10"/>
      <c r="I1023" s="11">
        <v>1499.0</v>
      </c>
      <c r="J1023" s="11">
        <v>2999.0</v>
      </c>
      <c r="K1023" s="12">
        <f t="shared" si="1"/>
        <v>0.5001667222</v>
      </c>
      <c r="L1023" s="13">
        <f>IFERROR(__xludf.DUMMYFUNCTION("GOOGLEFINANCE(""CURRENCY:INRBRL"") * I1023
"),88.26362989562)</f>
        <v>88.2636299</v>
      </c>
      <c r="M1023" s="9">
        <v>4.49</v>
      </c>
      <c r="N1023" s="9">
        <v>25262.0</v>
      </c>
      <c r="O1023" s="9" t="s">
        <v>4033</v>
      </c>
      <c r="P1023" s="14" t="s">
        <v>4034</v>
      </c>
      <c r="U1023" s="17"/>
      <c r="V1023" s="18"/>
      <c r="W1023" s="16"/>
      <c r="X1023" s="16"/>
      <c r="Y1023" s="16"/>
    </row>
    <row r="1024">
      <c r="A1024" s="9" t="s">
        <v>4035</v>
      </c>
      <c r="B1024" s="10" t="s">
        <v>4036</v>
      </c>
      <c r="C1024" s="10" t="s">
        <v>4037</v>
      </c>
      <c r="D1024" s="10" t="s">
        <v>2450</v>
      </c>
      <c r="E1024" s="10" t="s">
        <v>4038</v>
      </c>
      <c r="F1024" s="10" t="s">
        <v>4039</v>
      </c>
      <c r="G1024" s="10" t="s">
        <v>4040</v>
      </c>
      <c r="H1024" s="10" t="s">
        <v>4041</v>
      </c>
      <c r="I1024" s="11">
        <v>649.0</v>
      </c>
      <c r="J1024" s="11">
        <v>1245.0</v>
      </c>
      <c r="K1024" s="12">
        <f t="shared" si="1"/>
        <v>0.4787148594</v>
      </c>
      <c r="L1024" s="13">
        <f>IFERROR(__xludf.DUMMYFUNCTION("GOOGLEFINANCE(""CURRENCY:INRBRL"") * I1024
"),38.21420667262)</f>
        <v>38.21420667</v>
      </c>
      <c r="M1024" s="9">
        <v>4.52</v>
      </c>
      <c r="N1024" s="9">
        <v>123365.0</v>
      </c>
      <c r="O1024" s="9" t="s">
        <v>4042</v>
      </c>
      <c r="P1024" s="14" t="s">
        <v>4043</v>
      </c>
      <c r="U1024" s="17"/>
      <c r="V1024" s="18"/>
      <c r="W1024" s="16"/>
      <c r="X1024" s="16"/>
      <c r="Y1024" s="16"/>
    </row>
    <row r="1025">
      <c r="A1025" s="9" t="s">
        <v>4044</v>
      </c>
      <c r="B1025" s="10" t="s">
        <v>4045</v>
      </c>
      <c r="C1025" s="10" t="s">
        <v>4046</v>
      </c>
      <c r="D1025" s="10" t="s">
        <v>2450</v>
      </c>
      <c r="E1025" s="10" t="s">
        <v>4047</v>
      </c>
      <c r="F1025" s="10" t="s">
        <v>4048</v>
      </c>
      <c r="G1025" s="10" t="s">
        <v>4049</v>
      </c>
      <c r="H1025" s="10"/>
      <c r="I1025" s="11">
        <v>1199.0</v>
      </c>
      <c r="J1025" s="11">
        <v>1695.0</v>
      </c>
      <c r="K1025" s="12">
        <f t="shared" si="1"/>
        <v>0.2926253687</v>
      </c>
      <c r="L1025" s="13">
        <f>IFERROR(__xludf.DUMMYFUNCTION("GOOGLEFINANCE(""CURRENCY:INRBRL"") * I1025
"),70.59912758162)</f>
        <v>70.59912758</v>
      </c>
      <c r="M1025" s="9">
        <v>4.51</v>
      </c>
      <c r="N1025" s="9">
        <v>133.0</v>
      </c>
      <c r="O1025" s="9" t="s">
        <v>4050</v>
      </c>
      <c r="P1025" s="14" t="s">
        <v>4051</v>
      </c>
      <c r="U1025" s="17"/>
      <c r="V1025" s="18"/>
      <c r="W1025" s="16"/>
      <c r="X1025" s="16"/>
      <c r="Y1025" s="16"/>
    </row>
    <row r="1026">
      <c r="A1026" s="9" t="s">
        <v>4052</v>
      </c>
      <c r="B1026" s="10" t="s">
        <v>4053</v>
      </c>
      <c r="C1026" s="10" t="s">
        <v>4054</v>
      </c>
      <c r="D1026" s="10" t="s">
        <v>2450</v>
      </c>
      <c r="E1026" s="10" t="s">
        <v>4047</v>
      </c>
      <c r="F1026" s="10" t="s">
        <v>4048</v>
      </c>
      <c r="G1026" s="10" t="s">
        <v>4055</v>
      </c>
      <c r="H1026" s="10"/>
      <c r="I1026" s="11">
        <v>1199.0</v>
      </c>
      <c r="J1026" s="11">
        <v>1999.0</v>
      </c>
      <c r="K1026" s="12">
        <f t="shared" si="1"/>
        <v>0.4002001001</v>
      </c>
      <c r="L1026" s="13">
        <f>IFERROR(__xludf.DUMMYFUNCTION("GOOGLEFINANCE(""CURRENCY:INRBRL"") * I1026
"),70.59912758162)</f>
        <v>70.59912758</v>
      </c>
      <c r="M1026" s="9">
        <v>4.0</v>
      </c>
      <c r="N1026" s="9">
        <v>18543.0</v>
      </c>
      <c r="O1026" s="9" t="s">
        <v>4056</v>
      </c>
      <c r="P1026" s="14" t="s">
        <v>4057</v>
      </c>
      <c r="U1026" s="17"/>
      <c r="V1026" s="18"/>
      <c r="W1026" s="16"/>
      <c r="X1026" s="16"/>
      <c r="Y1026" s="16"/>
    </row>
    <row r="1027">
      <c r="A1027" s="9" t="s">
        <v>4058</v>
      </c>
      <c r="B1027" s="10" t="s">
        <v>4059</v>
      </c>
      <c r="C1027" s="10" t="s">
        <v>4060</v>
      </c>
      <c r="D1027" s="10" t="s">
        <v>2450</v>
      </c>
      <c r="E1027" s="10" t="s">
        <v>4038</v>
      </c>
      <c r="F1027" s="10" t="s">
        <v>4061</v>
      </c>
      <c r="G1027" s="10" t="s">
        <v>4062</v>
      </c>
      <c r="H1027" s="10" t="s">
        <v>4063</v>
      </c>
      <c r="I1027" s="11">
        <v>455.0</v>
      </c>
      <c r="J1027" s="11">
        <v>999.0</v>
      </c>
      <c r="K1027" s="12">
        <f t="shared" si="1"/>
        <v>0.5445445445</v>
      </c>
      <c r="L1027" s="13">
        <f>IFERROR(__xludf.DUMMYFUNCTION("GOOGLEFINANCE(""CURRENCY:INRBRL"") * I1027
"),26.7911618429)</f>
        <v>26.79116184</v>
      </c>
      <c r="M1027" s="9">
        <v>4.49</v>
      </c>
      <c r="N1027" s="9">
        <v>3578.0</v>
      </c>
      <c r="O1027" s="9" t="s">
        <v>4064</v>
      </c>
      <c r="P1027" s="14" t="s">
        <v>4065</v>
      </c>
      <c r="U1027" s="17"/>
      <c r="V1027" s="18"/>
      <c r="W1027" s="16"/>
      <c r="X1027" s="16"/>
      <c r="Y1027" s="16"/>
    </row>
    <row r="1028">
      <c r="A1028" s="9" t="s">
        <v>4066</v>
      </c>
      <c r="B1028" s="10" t="s">
        <v>4067</v>
      </c>
      <c r="C1028" s="10" t="s">
        <v>4068</v>
      </c>
      <c r="D1028" s="10" t="s">
        <v>2450</v>
      </c>
      <c r="E1028" s="10" t="s">
        <v>4038</v>
      </c>
      <c r="F1028" s="10" t="s">
        <v>4039</v>
      </c>
      <c r="G1028" s="10" t="s">
        <v>4069</v>
      </c>
      <c r="H1028" s="10"/>
      <c r="I1028" s="11">
        <v>199.0</v>
      </c>
      <c r="J1028" s="11">
        <v>1999.0</v>
      </c>
      <c r="K1028" s="12">
        <f t="shared" si="1"/>
        <v>0.9004502251</v>
      </c>
      <c r="L1028" s="13">
        <f>IFERROR(__xludf.DUMMYFUNCTION("GOOGLEFINANCE(""CURRENCY:INRBRL"") * I1028
"),11.71745320162)</f>
        <v>11.7174532</v>
      </c>
      <c r="M1028" s="9">
        <v>4.51</v>
      </c>
      <c r="N1028" s="9">
        <v>2031.0</v>
      </c>
      <c r="O1028" s="9" t="s">
        <v>4070</v>
      </c>
      <c r="P1028" s="14" t="s">
        <v>4071</v>
      </c>
      <c r="U1028" s="17"/>
      <c r="V1028" s="18"/>
      <c r="W1028" s="16"/>
      <c r="X1028" s="16"/>
      <c r="Y1028" s="16"/>
    </row>
    <row r="1029">
      <c r="A1029" s="9" t="s">
        <v>4072</v>
      </c>
      <c r="B1029" s="10" t="s">
        <v>4073</v>
      </c>
      <c r="C1029" s="10" t="s">
        <v>4068</v>
      </c>
      <c r="D1029" s="10" t="s">
        <v>2450</v>
      </c>
      <c r="E1029" s="10" t="s">
        <v>4038</v>
      </c>
      <c r="F1029" s="10" t="s">
        <v>4039</v>
      </c>
      <c r="G1029" s="10" t="s">
        <v>4069</v>
      </c>
      <c r="H1029" s="10"/>
      <c r="I1029" s="11">
        <v>293.0</v>
      </c>
      <c r="J1029" s="11">
        <v>499.0</v>
      </c>
      <c r="K1029" s="12">
        <f t="shared" si="1"/>
        <v>0.4128256513</v>
      </c>
      <c r="L1029" s="13">
        <f>IFERROR(__xludf.DUMMYFUNCTION("GOOGLEFINANCE(""CURRENCY:INRBRL"") * I1029
"),17.252330593339998)</f>
        <v>17.25233059</v>
      </c>
      <c r="M1029" s="9">
        <v>4.52</v>
      </c>
      <c r="N1029" s="9">
        <v>44994.0</v>
      </c>
      <c r="O1029" s="9" t="s">
        <v>4074</v>
      </c>
      <c r="P1029" s="14" t="s">
        <v>4075</v>
      </c>
      <c r="U1029" s="17"/>
      <c r="V1029" s="18"/>
      <c r="W1029" s="16"/>
      <c r="X1029" s="16"/>
      <c r="Y1029" s="16"/>
    </row>
    <row r="1030">
      <c r="A1030" s="9" t="s">
        <v>4076</v>
      </c>
      <c r="B1030" s="10" t="s">
        <v>4077</v>
      </c>
      <c r="C1030" s="10" t="s">
        <v>4078</v>
      </c>
      <c r="D1030" s="10" t="s">
        <v>2450</v>
      </c>
      <c r="E1030" s="10" t="s">
        <v>4079</v>
      </c>
      <c r="F1030" s="10" t="s">
        <v>4080</v>
      </c>
      <c r="G1030" s="10" t="s">
        <v>4081</v>
      </c>
      <c r="H1030" s="10" t="s">
        <v>4082</v>
      </c>
      <c r="I1030" s="11">
        <v>199.0</v>
      </c>
      <c r="J1030" s="11">
        <v>495.0</v>
      </c>
      <c r="K1030" s="12">
        <f t="shared" si="1"/>
        <v>0.597979798</v>
      </c>
      <c r="L1030" s="13">
        <f>IFERROR(__xludf.DUMMYFUNCTION("GOOGLEFINANCE(""CURRENCY:INRBRL"") * I1030
"),11.71745320162)</f>
        <v>11.7174532</v>
      </c>
      <c r="M1030" s="9">
        <v>4.49</v>
      </c>
      <c r="N1030" s="9">
        <v>270563.0</v>
      </c>
      <c r="O1030" s="9" t="s">
        <v>4083</v>
      </c>
      <c r="P1030" s="14" t="s">
        <v>4084</v>
      </c>
      <c r="U1030" s="17"/>
      <c r="V1030" s="18"/>
      <c r="W1030" s="16"/>
      <c r="X1030" s="16"/>
      <c r="Y1030" s="16"/>
    </row>
    <row r="1031">
      <c r="A1031" s="9" t="s">
        <v>4085</v>
      </c>
      <c r="B1031" s="10" t="s">
        <v>4086</v>
      </c>
      <c r="C1031" s="10" t="s">
        <v>4037</v>
      </c>
      <c r="D1031" s="10" t="s">
        <v>2450</v>
      </c>
      <c r="E1031" s="10" t="s">
        <v>4038</v>
      </c>
      <c r="F1031" s="10" t="s">
        <v>4039</v>
      </c>
      <c r="G1031" s="10" t="s">
        <v>4040</v>
      </c>
      <c r="H1031" s="10" t="s">
        <v>4041</v>
      </c>
      <c r="I1031" s="11">
        <v>749.0</v>
      </c>
      <c r="J1031" s="11">
        <v>1245.0</v>
      </c>
      <c r="K1031" s="12">
        <f t="shared" si="1"/>
        <v>0.3983935743</v>
      </c>
      <c r="L1031" s="13">
        <f>IFERROR(__xludf.DUMMYFUNCTION("GOOGLEFINANCE(""CURRENCY:INRBRL"") * I1031
"),44.10237411062)</f>
        <v>44.10237411</v>
      </c>
      <c r="M1031" s="9">
        <v>4.52</v>
      </c>
      <c r="N1031" s="9">
        <v>31783.0</v>
      </c>
      <c r="O1031" s="9" t="s">
        <v>4087</v>
      </c>
      <c r="P1031" s="14" t="s">
        <v>4088</v>
      </c>
      <c r="U1031" s="17"/>
      <c r="V1031" s="18"/>
      <c r="W1031" s="16"/>
      <c r="X1031" s="16"/>
      <c r="Y1031" s="16"/>
    </row>
    <row r="1032">
      <c r="A1032" s="9" t="s">
        <v>4089</v>
      </c>
      <c r="B1032" s="10" t="s">
        <v>4090</v>
      </c>
      <c r="C1032" s="10" t="s">
        <v>4046</v>
      </c>
      <c r="D1032" s="10" t="s">
        <v>2450</v>
      </c>
      <c r="E1032" s="10" t="s">
        <v>4047</v>
      </c>
      <c r="F1032" s="10" t="s">
        <v>4048</v>
      </c>
      <c r="G1032" s="10" t="s">
        <v>4049</v>
      </c>
      <c r="H1032" s="10"/>
      <c r="I1032" s="11">
        <v>1399.0</v>
      </c>
      <c r="J1032" s="11">
        <v>1549.0</v>
      </c>
      <c r="K1032" s="12">
        <f t="shared" si="1"/>
        <v>0.09683666882</v>
      </c>
      <c r="L1032" s="13">
        <f>IFERROR(__xludf.DUMMYFUNCTION("GOOGLEFINANCE(""CURRENCY:INRBRL"") * I1032
"),82.37546245762)</f>
        <v>82.37546246</v>
      </c>
      <c r="M1032" s="9">
        <v>4.52</v>
      </c>
      <c r="N1032" s="9">
        <v>2602.0</v>
      </c>
      <c r="O1032" s="9" t="s">
        <v>4091</v>
      </c>
      <c r="P1032" s="14" t="s">
        <v>4092</v>
      </c>
      <c r="U1032" s="17"/>
      <c r="V1032" s="18"/>
      <c r="W1032" s="16"/>
      <c r="X1032" s="16"/>
      <c r="Y1032" s="16"/>
    </row>
    <row r="1033">
      <c r="A1033" s="9" t="s">
        <v>4093</v>
      </c>
      <c r="B1033" s="10" t="s">
        <v>4094</v>
      </c>
      <c r="C1033" s="10" t="s">
        <v>4037</v>
      </c>
      <c r="D1033" s="10" t="s">
        <v>2450</v>
      </c>
      <c r="E1033" s="10" t="s">
        <v>4038</v>
      </c>
      <c r="F1033" s="10" t="s">
        <v>4039</v>
      </c>
      <c r="G1033" s="10" t="s">
        <v>4040</v>
      </c>
      <c r="H1033" s="10" t="s">
        <v>4041</v>
      </c>
      <c r="I1033" s="11">
        <v>749.0</v>
      </c>
      <c r="J1033" s="11">
        <v>1445.0</v>
      </c>
      <c r="K1033" s="12">
        <f t="shared" si="1"/>
        <v>0.4816608997</v>
      </c>
      <c r="L1033" s="13">
        <f>IFERROR(__xludf.DUMMYFUNCTION("GOOGLEFINANCE(""CURRENCY:INRBRL"") * I1033
"),44.10237411062)</f>
        <v>44.10237411</v>
      </c>
      <c r="M1033" s="9">
        <v>4.52</v>
      </c>
      <c r="N1033" s="9">
        <v>6335.0</v>
      </c>
      <c r="O1033" s="9" t="s">
        <v>4095</v>
      </c>
      <c r="P1033" s="14" t="s">
        <v>4096</v>
      </c>
      <c r="U1033" s="17"/>
      <c r="V1033" s="18"/>
      <c r="W1033" s="16"/>
      <c r="X1033" s="16"/>
      <c r="Y1033" s="16"/>
    </row>
    <row r="1034">
      <c r="A1034" s="9" t="s">
        <v>4097</v>
      </c>
      <c r="B1034" s="10" t="s">
        <v>4098</v>
      </c>
      <c r="C1034" s="10" t="s">
        <v>4099</v>
      </c>
      <c r="D1034" s="10" t="s">
        <v>2450</v>
      </c>
      <c r="E1034" s="10" t="s">
        <v>4038</v>
      </c>
      <c r="F1034" s="10" t="s">
        <v>4039</v>
      </c>
      <c r="G1034" s="10" t="s">
        <v>4100</v>
      </c>
      <c r="H1034" s="10"/>
      <c r="I1034" s="11">
        <v>1699.0</v>
      </c>
      <c r="J1034" s="11">
        <v>3193.0</v>
      </c>
      <c r="K1034" s="12">
        <f t="shared" si="1"/>
        <v>0.467898528</v>
      </c>
      <c r="L1034" s="13">
        <f>IFERROR(__xludf.DUMMYFUNCTION("GOOGLEFINANCE(""CURRENCY:INRBRL"") * I1034
"),100.03996477161999)</f>
        <v>100.0399648</v>
      </c>
      <c r="M1034" s="9">
        <v>4.51</v>
      </c>
      <c r="N1034" s="9">
        <v>54032.0</v>
      </c>
      <c r="O1034" s="9" t="s">
        <v>4101</v>
      </c>
      <c r="P1034" s="14" t="s">
        <v>4102</v>
      </c>
      <c r="U1034" s="17"/>
      <c r="V1034" s="18"/>
      <c r="W1034" s="16"/>
      <c r="X1034" s="16"/>
      <c r="Y1034" s="16"/>
    </row>
    <row r="1035">
      <c r="A1035" s="9" t="s">
        <v>4103</v>
      </c>
      <c r="B1035" s="10" t="s">
        <v>4104</v>
      </c>
      <c r="C1035" s="10" t="s">
        <v>4037</v>
      </c>
      <c r="D1035" s="10" t="s">
        <v>2450</v>
      </c>
      <c r="E1035" s="10" t="s">
        <v>4038</v>
      </c>
      <c r="F1035" s="10" t="s">
        <v>4039</v>
      </c>
      <c r="G1035" s="10" t="s">
        <v>4040</v>
      </c>
      <c r="H1035" s="10" t="s">
        <v>4041</v>
      </c>
      <c r="I1035" s="11">
        <v>1043.0</v>
      </c>
      <c r="J1035" s="11">
        <v>1345.0</v>
      </c>
      <c r="K1035" s="12">
        <f t="shared" si="1"/>
        <v>0.224535316</v>
      </c>
      <c r="L1035" s="13">
        <f>IFERROR(__xludf.DUMMYFUNCTION("GOOGLEFINANCE(""CURRENCY:INRBRL"") * I1035
"),61.41358637834)</f>
        <v>61.41358638</v>
      </c>
      <c r="M1035" s="9">
        <v>4.51</v>
      </c>
      <c r="N1035" s="9">
        <v>15592.0</v>
      </c>
      <c r="O1035" s="9" t="s">
        <v>4105</v>
      </c>
      <c r="P1035" s="14" t="s">
        <v>4106</v>
      </c>
      <c r="U1035" s="17"/>
      <c r="V1035" s="18"/>
      <c r="W1035" s="16"/>
      <c r="X1035" s="16"/>
      <c r="Y1035" s="16"/>
    </row>
    <row r="1036">
      <c r="A1036" s="9" t="s">
        <v>4107</v>
      </c>
      <c r="B1036" s="10" t="s">
        <v>4108</v>
      </c>
      <c r="C1036" s="10" t="s">
        <v>4060</v>
      </c>
      <c r="D1036" s="10" t="s">
        <v>2450</v>
      </c>
      <c r="E1036" s="10" t="s">
        <v>4038</v>
      </c>
      <c r="F1036" s="10" t="s">
        <v>4061</v>
      </c>
      <c r="G1036" s="10" t="s">
        <v>4062</v>
      </c>
      <c r="H1036" s="10" t="s">
        <v>4063</v>
      </c>
      <c r="I1036" s="11">
        <v>499.0</v>
      </c>
      <c r="J1036" s="11">
        <v>999.0</v>
      </c>
      <c r="K1036" s="12">
        <f t="shared" si="1"/>
        <v>0.5005005005</v>
      </c>
      <c r="L1036" s="13">
        <f>IFERROR(__xludf.DUMMYFUNCTION("GOOGLEFINANCE(""CURRENCY:INRBRL"") * I1036
"),29.38195551562)</f>
        <v>29.38195552</v>
      </c>
      <c r="M1036" s="9">
        <v>4.49</v>
      </c>
      <c r="N1036" s="9">
        <v>4859.0</v>
      </c>
      <c r="O1036" s="9" t="s">
        <v>4109</v>
      </c>
      <c r="P1036" s="14" t="s">
        <v>4110</v>
      </c>
      <c r="U1036" s="17"/>
      <c r="V1036" s="18"/>
      <c r="W1036" s="16"/>
      <c r="X1036" s="16"/>
      <c r="Y1036" s="16"/>
    </row>
    <row r="1037">
      <c r="A1037" s="9" t="s">
        <v>4111</v>
      </c>
      <c r="B1037" s="10" t="s">
        <v>4112</v>
      </c>
      <c r="C1037" s="10" t="s">
        <v>4054</v>
      </c>
      <c r="D1037" s="10" t="s">
        <v>2450</v>
      </c>
      <c r="E1037" s="10" t="s">
        <v>4047</v>
      </c>
      <c r="F1037" s="10" t="s">
        <v>4048</v>
      </c>
      <c r="G1037" s="10" t="s">
        <v>4055</v>
      </c>
      <c r="H1037" s="10"/>
      <c r="I1037" s="11">
        <v>1464.0</v>
      </c>
      <c r="J1037" s="11">
        <v>1649.0</v>
      </c>
      <c r="K1037" s="12">
        <f t="shared" si="1"/>
        <v>0.1121892056</v>
      </c>
      <c r="L1037" s="13">
        <f>IFERROR(__xludf.DUMMYFUNCTION("GOOGLEFINANCE(""CURRENCY:INRBRL"") * I1037
"),86.20277129232)</f>
        <v>86.20277129</v>
      </c>
      <c r="M1037" s="9">
        <v>4.49</v>
      </c>
      <c r="N1037" s="9">
        <v>1412.0</v>
      </c>
      <c r="O1037" s="9" t="s">
        <v>4113</v>
      </c>
      <c r="P1037" s="14" t="s">
        <v>4114</v>
      </c>
      <c r="U1037" s="17"/>
      <c r="V1037" s="18"/>
      <c r="W1037" s="16"/>
      <c r="X1037" s="16"/>
      <c r="Y1037" s="16"/>
    </row>
    <row r="1038">
      <c r="A1038" s="9" t="s">
        <v>4115</v>
      </c>
      <c r="B1038" s="10" t="s">
        <v>4116</v>
      </c>
      <c r="C1038" s="10" t="s">
        <v>4117</v>
      </c>
      <c r="D1038" s="10" t="s">
        <v>2450</v>
      </c>
      <c r="E1038" s="10" t="s">
        <v>4038</v>
      </c>
      <c r="F1038" s="10" t="s">
        <v>4039</v>
      </c>
      <c r="G1038" s="10" t="s">
        <v>4118</v>
      </c>
      <c r="H1038" s="10"/>
      <c r="I1038" s="11">
        <v>249.0</v>
      </c>
      <c r="J1038" s="11">
        <v>499.0</v>
      </c>
      <c r="K1038" s="12">
        <f t="shared" si="1"/>
        <v>0.501002004</v>
      </c>
      <c r="L1038" s="13">
        <f>IFERROR(__xludf.DUMMYFUNCTION("GOOGLEFINANCE(""CURRENCY:INRBRL"") * I1038
"),14.66153692062)</f>
        <v>14.66153692</v>
      </c>
      <c r="M1038" s="9">
        <v>4.5</v>
      </c>
      <c r="N1038" s="9">
        <v>8427.0</v>
      </c>
      <c r="O1038" s="9" t="s">
        <v>4119</v>
      </c>
      <c r="P1038" s="14" t="s">
        <v>4120</v>
      </c>
      <c r="U1038" s="17"/>
      <c r="V1038" s="18"/>
      <c r="W1038" s="16"/>
      <c r="X1038" s="16"/>
      <c r="Y1038" s="16"/>
    </row>
    <row r="1039">
      <c r="A1039" s="9" t="s">
        <v>4121</v>
      </c>
      <c r="B1039" s="10" t="s">
        <v>4122</v>
      </c>
      <c r="C1039" s="10" t="s">
        <v>4123</v>
      </c>
      <c r="D1039" s="10" t="s">
        <v>2450</v>
      </c>
      <c r="E1039" s="10" t="s">
        <v>4038</v>
      </c>
      <c r="F1039" s="10" t="s">
        <v>4061</v>
      </c>
      <c r="G1039" s="10" t="s">
        <v>4062</v>
      </c>
      <c r="H1039" s="10" t="s">
        <v>4124</v>
      </c>
      <c r="I1039" s="11">
        <v>625.0</v>
      </c>
      <c r="J1039" s="11">
        <v>1399.0</v>
      </c>
      <c r="K1039" s="12">
        <f t="shared" si="1"/>
        <v>0.5532523231</v>
      </c>
      <c r="L1039" s="13">
        <f>IFERROR(__xludf.DUMMYFUNCTION("GOOGLEFINANCE(""CURRENCY:INRBRL"") * I1039
"),36.8010464875)</f>
        <v>36.80104649</v>
      </c>
      <c r="M1039" s="9">
        <v>4.5</v>
      </c>
      <c r="N1039" s="9">
        <v>23316.0</v>
      </c>
      <c r="O1039" s="9" t="s">
        <v>4125</v>
      </c>
      <c r="P1039" s="14" t="s">
        <v>4126</v>
      </c>
      <c r="U1039" s="17"/>
      <c r="V1039" s="18"/>
      <c r="W1039" s="16"/>
      <c r="X1039" s="16"/>
      <c r="Y1039" s="16"/>
    </row>
    <row r="1040">
      <c r="A1040" s="9" t="s">
        <v>4127</v>
      </c>
      <c r="B1040" s="10" t="s">
        <v>4128</v>
      </c>
      <c r="C1040" s="10" t="s">
        <v>4129</v>
      </c>
      <c r="D1040" s="10" t="s">
        <v>2450</v>
      </c>
      <c r="E1040" s="10" t="s">
        <v>4038</v>
      </c>
      <c r="F1040" s="10" t="s">
        <v>4039</v>
      </c>
      <c r="G1040" s="10" t="s">
        <v>4130</v>
      </c>
      <c r="H1040" s="10"/>
      <c r="I1040" s="11">
        <v>1299.0</v>
      </c>
      <c r="J1040" s="11">
        <v>2499.0</v>
      </c>
      <c r="K1040" s="12">
        <f t="shared" si="1"/>
        <v>0.4801920768</v>
      </c>
      <c r="L1040" s="13">
        <f>IFERROR(__xludf.DUMMYFUNCTION("GOOGLEFINANCE(""CURRENCY:INRBRL"") * I1040
"),76.48729501961999)</f>
        <v>76.48729502</v>
      </c>
      <c r="M1040" s="9">
        <v>4.0</v>
      </c>
      <c r="N1040" s="9">
        <v>653.0</v>
      </c>
      <c r="O1040" s="9" t="s">
        <v>4131</v>
      </c>
      <c r="P1040" s="14" t="s">
        <v>4132</v>
      </c>
      <c r="U1040" s="17"/>
      <c r="V1040" s="18"/>
      <c r="W1040" s="16"/>
      <c r="X1040" s="16"/>
      <c r="Y1040" s="16"/>
    </row>
    <row r="1041">
      <c r="A1041" s="9" t="s">
        <v>4133</v>
      </c>
      <c r="B1041" s="10" t="s">
        <v>4134</v>
      </c>
      <c r="C1041" s="10" t="s">
        <v>4135</v>
      </c>
      <c r="D1041" s="10" t="s">
        <v>2450</v>
      </c>
      <c r="E1041" s="10" t="s">
        <v>4047</v>
      </c>
      <c r="F1041" s="10" t="s">
        <v>4136</v>
      </c>
      <c r="G1041" s="10" t="s">
        <v>4137</v>
      </c>
      <c r="H1041" s="10"/>
      <c r="I1041" s="11">
        <v>3599.0</v>
      </c>
      <c r="J1041" s="11">
        <v>6199.0</v>
      </c>
      <c r="K1041" s="12">
        <f t="shared" si="1"/>
        <v>0.4194224875</v>
      </c>
      <c r="L1041" s="13">
        <f>IFERROR(__xludf.DUMMYFUNCTION("GOOGLEFINANCE(""CURRENCY:INRBRL"") * I1041
"),211.91514609362)</f>
        <v>211.9151461</v>
      </c>
      <c r="M1041" s="9">
        <v>4.5</v>
      </c>
      <c r="N1041" s="9">
        <v>11924.0</v>
      </c>
      <c r="O1041" s="9" t="s">
        <v>4138</v>
      </c>
      <c r="P1041" s="14" t="s">
        <v>4139</v>
      </c>
      <c r="U1041" s="17"/>
      <c r="V1041" s="18"/>
      <c r="W1041" s="16"/>
      <c r="X1041" s="16"/>
      <c r="Y1041" s="16"/>
    </row>
    <row r="1042">
      <c r="A1042" s="9" t="s">
        <v>4140</v>
      </c>
      <c r="B1042" s="10" t="s">
        <v>4141</v>
      </c>
      <c r="C1042" s="10" t="s">
        <v>4142</v>
      </c>
      <c r="D1042" s="10" t="s">
        <v>2450</v>
      </c>
      <c r="E1042" s="10" t="s">
        <v>4047</v>
      </c>
      <c r="F1042" s="10" t="s">
        <v>4048</v>
      </c>
      <c r="G1042" s="10"/>
      <c r="H1042" s="10"/>
      <c r="I1042" s="11">
        <v>6549.0</v>
      </c>
      <c r="J1042" s="11">
        <v>13999.0</v>
      </c>
      <c r="K1042" s="12">
        <f t="shared" si="1"/>
        <v>0.5321808701</v>
      </c>
      <c r="L1042" s="13">
        <f>IFERROR(__xludf.DUMMYFUNCTION("GOOGLEFINANCE(""CURRENCY:INRBRL"") * I1042
"),385.61608551462)</f>
        <v>385.6160855</v>
      </c>
      <c r="M1042" s="9">
        <v>4.0</v>
      </c>
      <c r="N1042" s="9">
        <v>2961.0</v>
      </c>
      <c r="O1042" s="9" t="s">
        <v>4143</v>
      </c>
      <c r="P1042" s="14" t="s">
        <v>4144</v>
      </c>
      <c r="U1042" s="17"/>
      <c r="V1042" s="18"/>
      <c r="W1042" s="16"/>
      <c r="X1042" s="16"/>
      <c r="Y1042" s="16"/>
    </row>
    <row r="1043">
      <c r="A1043" s="9" t="s">
        <v>4145</v>
      </c>
      <c r="B1043" s="10" t="s">
        <v>4146</v>
      </c>
      <c r="C1043" s="10" t="s">
        <v>4037</v>
      </c>
      <c r="D1043" s="10" t="s">
        <v>2450</v>
      </c>
      <c r="E1043" s="10" t="s">
        <v>4038</v>
      </c>
      <c r="F1043" s="10" t="s">
        <v>4039</v>
      </c>
      <c r="G1043" s="10" t="s">
        <v>4040</v>
      </c>
      <c r="H1043" s="10" t="s">
        <v>4041</v>
      </c>
      <c r="I1043" s="11">
        <v>1625.0</v>
      </c>
      <c r="J1043" s="11">
        <v>2995.0</v>
      </c>
      <c r="K1043" s="12">
        <f t="shared" si="1"/>
        <v>0.4574290484</v>
      </c>
      <c r="L1043" s="13">
        <f>IFERROR(__xludf.DUMMYFUNCTION("GOOGLEFINANCE(""CURRENCY:INRBRL"") * I1043
"),95.6827208675)</f>
        <v>95.68272087</v>
      </c>
      <c r="M1043" s="9">
        <v>4.51</v>
      </c>
      <c r="N1043" s="9">
        <v>23484.0</v>
      </c>
      <c r="O1043" s="9" t="s">
        <v>4147</v>
      </c>
      <c r="P1043" s="14" t="s">
        <v>4148</v>
      </c>
      <c r="U1043" s="17"/>
      <c r="V1043" s="18"/>
      <c r="W1043" s="16"/>
      <c r="X1043" s="16"/>
      <c r="Y1043" s="16"/>
    </row>
    <row r="1044">
      <c r="A1044" s="9" t="s">
        <v>4149</v>
      </c>
      <c r="B1044" s="10" t="s">
        <v>4150</v>
      </c>
      <c r="C1044" s="10" t="s">
        <v>4135</v>
      </c>
      <c r="D1044" s="10" t="s">
        <v>2450</v>
      </c>
      <c r="E1044" s="10" t="s">
        <v>4047</v>
      </c>
      <c r="F1044" s="10" t="s">
        <v>4136</v>
      </c>
      <c r="G1044" s="10" t="s">
        <v>4137</v>
      </c>
      <c r="H1044" s="10"/>
      <c r="I1044" s="11">
        <v>2599.0</v>
      </c>
      <c r="J1044" s="11">
        <v>5899.0</v>
      </c>
      <c r="K1044" s="12">
        <f t="shared" si="1"/>
        <v>0.5594168503</v>
      </c>
      <c r="L1044" s="13">
        <f>IFERROR(__xludf.DUMMYFUNCTION("GOOGLEFINANCE(""CURRENCY:INRBRL"") * I1044
"),153.03347171362)</f>
        <v>153.0334717</v>
      </c>
      <c r="M1044" s="9">
        <v>4.49</v>
      </c>
      <c r="N1044" s="9">
        <v>21783.0</v>
      </c>
      <c r="O1044" s="9" t="s">
        <v>4151</v>
      </c>
      <c r="P1044" s="14" t="s">
        <v>4152</v>
      </c>
      <c r="U1044" s="17"/>
      <c r="V1044" s="18"/>
      <c r="W1044" s="16"/>
      <c r="X1044" s="16"/>
      <c r="Y1044" s="16"/>
    </row>
    <row r="1045">
      <c r="A1045" s="9" t="s">
        <v>4153</v>
      </c>
      <c r="B1045" s="10" t="s">
        <v>4154</v>
      </c>
      <c r="C1045" s="10" t="s">
        <v>4155</v>
      </c>
      <c r="D1045" s="10" t="s">
        <v>2450</v>
      </c>
      <c r="E1045" s="10" t="s">
        <v>4038</v>
      </c>
      <c r="F1045" s="10" t="s">
        <v>4039</v>
      </c>
      <c r="G1045" s="10" t="s">
        <v>4040</v>
      </c>
      <c r="H1045" s="10" t="s">
        <v>4156</v>
      </c>
      <c r="I1045" s="11">
        <v>1199.0</v>
      </c>
      <c r="J1045" s="11">
        <v>1999.0</v>
      </c>
      <c r="K1045" s="12">
        <f t="shared" si="1"/>
        <v>0.4002001001</v>
      </c>
      <c r="L1045" s="13">
        <f>IFERROR(__xludf.DUMMYFUNCTION("GOOGLEFINANCE(""CURRENCY:INRBRL"") * I1045
"),70.59912758162)</f>
        <v>70.59912758</v>
      </c>
      <c r="M1045" s="9">
        <v>4.0</v>
      </c>
      <c r="N1045" s="9">
        <v>1403.0</v>
      </c>
      <c r="O1045" s="9" t="s">
        <v>4157</v>
      </c>
      <c r="P1045" s="14" t="s">
        <v>4158</v>
      </c>
      <c r="U1045" s="17"/>
      <c r="V1045" s="18"/>
      <c r="W1045" s="16"/>
      <c r="X1045" s="16"/>
      <c r="Y1045" s="16"/>
    </row>
    <row r="1046">
      <c r="A1046" s="9" t="s">
        <v>4159</v>
      </c>
      <c r="B1046" s="10" t="s">
        <v>4160</v>
      </c>
      <c r="C1046" s="10" t="s">
        <v>4161</v>
      </c>
      <c r="D1046" s="10" t="s">
        <v>2450</v>
      </c>
      <c r="E1046" s="10" t="s">
        <v>4047</v>
      </c>
      <c r="F1046" s="10" t="s">
        <v>4136</v>
      </c>
      <c r="G1046" s="10" t="s">
        <v>4162</v>
      </c>
      <c r="H1046" s="10"/>
      <c r="I1046" s="11">
        <v>5499.0</v>
      </c>
      <c r="J1046" s="11">
        <v>13149.0</v>
      </c>
      <c r="K1046" s="12">
        <f t="shared" si="1"/>
        <v>0.5817932923</v>
      </c>
      <c r="L1046" s="13">
        <f>IFERROR(__xludf.DUMMYFUNCTION("GOOGLEFINANCE(""CURRENCY:INRBRL"") * I1046
"),323.79032741561997)</f>
        <v>323.7903274</v>
      </c>
      <c r="M1046" s="9">
        <v>4.5</v>
      </c>
      <c r="N1046" s="9">
        <v>6398.0</v>
      </c>
      <c r="O1046" s="9" t="s">
        <v>4163</v>
      </c>
      <c r="P1046" s="14" t="s">
        <v>4164</v>
      </c>
      <c r="U1046" s="17"/>
      <c r="V1046" s="18"/>
      <c r="W1046" s="16"/>
      <c r="X1046" s="16"/>
      <c r="Y1046" s="16"/>
    </row>
    <row r="1047">
      <c r="A1047" s="9" t="s">
        <v>4165</v>
      </c>
      <c r="B1047" s="10" t="s">
        <v>4166</v>
      </c>
      <c r="C1047" s="10" t="s">
        <v>4129</v>
      </c>
      <c r="D1047" s="10" t="s">
        <v>2450</v>
      </c>
      <c r="E1047" s="10" t="s">
        <v>4038</v>
      </c>
      <c r="F1047" s="10" t="s">
        <v>4039</v>
      </c>
      <c r="G1047" s="10" t="s">
        <v>4130</v>
      </c>
      <c r="H1047" s="10"/>
      <c r="I1047" s="11">
        <v>1299.0</v>
      </c>
      <c r="J1047" s="11">
        <v>3499.0</v>
      </c>
      <c r="K1047" s="12">
        <f t="shared" si="1"/>
        <v>0.6287510717</v>
      </c>
      <c r="L1047" s="13">
        <f>IFERROR(__xludf.DUMMYFUNCTION("GOOGLEFINANCE(""CURRENCY:INRBRL"") * I1047
"),76.48729501961999)</f>
        <v>76.48729502</v>
      </c>
      <c r="M1047" s="9">
        <v>4.51</v>
      </c>
      <c r="N1047" s="9">
        <v>4405.0</v>
      </c>
      <c r="O1047" s="9" t="s">
        <v>4167</v>
      </c>
      <c r="P1047" s="14" t="s">
        <v>4168</v>
      </c>
      <c r="U1047" s="17"/>
      <c r="V1047" s="18"/>
      <c r="W1047" s="16"/>
      <c r="X1047" s="16"/>
      <c r="Y1047" s="16"/>
    </row>
    <row r="1048">
      <c r="A1048" s="9" t="s">
        <v>4169</v>
      </c>
      <c r="B1048" s="10" t="s">
        <v>4170</v>
      </c>
      <c r="C1048" s="10" t="s">
        <v>4123</v>
      </c>
      <c r="D1048" s="10" t="s">
        <v>2450</v>
      </c>
      <c r="E1048" s="10" t="s">
        <v>4038</v>
      </c>
      <c r="F1048" s="10" t="s">
        <v>4061</v>
      </c>
      <c r="G1048" s="10" t="s">
        <v>4062</v>
      </c>
      <c r="H1048" s="10" t="s">
        <v>4124</v>
      </c>
      <c r="I1048" s="11">
        <v>599.0</v>
      </c>
      <c r="J1048" s="11">
        <v>785.0</v>
      </c>
      <c r="K1048" s="12">
        <f t="shared" si="1"/>
        <v>0.2369426752</v>
      </c>
      <c r="L1048" s="13">
        <f>IFERROR(__xludf.DUMMYFUNCTION("GOOGLEFINANCE(""CURRENCY:INRBRL"") * I1048
"),35.270122953619996)</f>
        <v>35.27012295</v>
      </c>
      <c r="M1048" s="9">
        <v>4.5</v>
      </c>
      <c r="N1048" s="9">
        <v>24247.0</v>
      </c>
      <c r="O1048" s="9" t="s">
        <v>4171</v>
      </c>
      <c r="P1048" s="14" t="s">
        <v>4172</v>
      </c>
      <c r="U1048" s="17"/>
      <c r="V1048" s="18"/>
      <c r="W1048" s="16"/>
      <c r="X1048" s="16"/>
      <c r="Y1048" s="16"/>
    </row>
    <row r="1049">
      <c r="A1049" s="9" t="s">
        <v>4173</v>
      </c>
      <c r="B1049" s="10" t="s">
        <v>4174</v>
      </c>
      <c r="C1049" s="10" t="s">
        <v>4129</v>
      </c>
      <c r="D1049" s="10" t="s">
        <v>2450</v>
      </c>
      <c r="E1049" s="10" t="s">
        <v>4038</v>
      </c>
      <c r="F1049" s="10" t="s">
        <v>4039</v>
      </c>
      <c r="G1049" s="10" t="s">
        <v>4130</v>
      </c>
      <c r="H1049" s="10"/>
      <c r="I1049" s="11">
        <v>1999.0</v>
      </c>
      <c r="J1049" s="11">
        <v>3209.0</v>
      </c>
      <c r="K1049" s="12">
        <f t="shared" si="1"/>
        <v>0.3770645061</v>
      </c>
      <c r="L1049" s="13">
        <f>IFERROR(__xludf.DUMMYFUNCTION("GOOGLEFINANCE(""CURRENCY:INRBRL"") * I1049
"),117.70446708562)</f>
        <v>117.7044671</v>
      </c>
      <c r="M1049" s="9">
        <v>4.5</v>
      </c>
      <c r="N1049" s="9">
        <v>41349.0</v>
      </c>
      <c r="O1049" s="9" t="s">
        <v>4175</v>
      </c>
      <c r="P1049" s="14" t="s">
        <v>4176</v>
      </c>
      <c r="U1049" s="17"/>
      <c r="V1049" s="18"/>
      <c r="W1049" s="16"/>
      <c r="X1049" s="16"/>
      <c r="Y1049" s="16"/>
    </row>
    <row r="1050">
      <c r="A1050" s="9" t="s">
        <v>4177</v>
      </c>
      <c r="B1050" s="10" t="s">
        <v>4178</v>
      </c>
      <c r="C1050" s="10" t="s">
        <v>4155</v>
      </c>
      <c r="D1050" s="10" t="s">
        <v>2450</v>
      </c>
      <c r="E1050" s="10" t="s">
        <v>4038</v>
      </c>
      <c r="F1050" s="10" t="s">
        <v>4039</v>
      </c>
      <c r="G1050" s="10" t="s">
        <v>4040</v>
      </c>
      <c r="H1050" s="10" t="s">
        <v>4156</v>
      </c>
      <c r="I1050" s="11">
        <v>549.0</v>
      </c>
      <c r="J1050" s="11">
        <v>999.0</v>
      </c>
      <c r="K1050" s="12">
        <f t="shared" si="1"/>
        <v>0.4504504505</v>
      </c>
      <c r="L1050" s="13">
        <f>IFERROR(__xludf.DUMMYFUNCTION("GOOGLEFINANCE(""CURRENCY:INRBRL"") * I1050
"),32.32603923462)</f>
        <v>32.32603923</v>
      </c>
      <c r="M1050" s="9">
        <v>4.51</v>
      </c>
      <c r="N1050" s="9">
        <v>1074.0</v>
      </c>
      <c r="O1050" s="9" t="s">
        <v>4179</v>
      </c>
      <c r="P1050" s="14" t="s">
        <v>4180</v>
      </c>
      <c r="U1050" s="17"/>
      <c r="V1050" s="18"/>
      <c r="W1050" s="16"/>
      <c r="X1050" s="16"/>
      <c r="Y1050" s="16"/>
    </row>
    <row r="1051">
      <c r="A1051" s="9" t="s">
        <v>4181</v>
      </c>
      <c r="B1051" s="10" t="s">
        <v>4182</v>
      </c>
      <c r="C1051" s="10" t="s">
        <v>4046</v>
      </c>
      <c r="D1051" s="10" t="s">
        <v>2450</v>
      </c>
      <c r="E1051" s="10" t="s">
        <v>4047</v>
      </c>
      <c r="F1051" s="10" t="s">
        <v>4048</v>
      </c>
      <c r="G1051" s="10" t="s">
        <v>4049</v>
      </c>
      <c r="H1051" s="10"/>
      <c r="I1051" s="11">
        <v>999.0</v>
      </c>
      <c r="J1051" s="11">
        <v>1999.0</v>
      </c>
      <c r="K1051" s="12">
        <f t="shared" si="1"/>
        <v>0.5002501251</v>
      </c>
      <c r="L1051" s="13">
        <f>IFERROR(__xludf.DUMMYFUNCTION("GOOGLEFINANCE(""CURRENCY:INRBRL"") * I1051
"),58.822792705619996)</f>
        <v>58.82279271</v>
      </c>
      <c r="M1051" s="9">
        <v>4.51</v>
      </c>
      <c r="N1051" s="9">
        <v>1163.0</v>
      </c>
      <c r="O1051" s="9" t="s">
        <v>4183</v>
      </c>
      <c r="P1051" s="14" t="s">
        <v>4184</v>
      </c>
      <c r="U1051" s="17"/>
      <c r="V1051" s="18"/>
      <c r="W1051" s="16"/>
      <c r="X1051" s="16"/>
      <c r="Y1051" s="16"/>
    </row>
    <row r="1052">
      <c r="A1052" s="9" t="s">
        <v>4185</v>
      </c>
      <c r="B1052" s="10" t="s">
        <v>4186</v>
      </c>
      <c r="C1052" s="10" t="s">
        <v>4060</v>
      </c>
      <c r="D1052" s="10" t="s">
        <v>2450</v>
      </c>
      <c r="E1052" s="10" t="s">
        <v>4038</v>
      </c>
      <c r="F1052" s="10" t="s">
        <v>4061</v>
      </c>
      <c r="G1052" s="10" t="s">
        <v>4062</v>
      </c>
      <c r="H1052" s="10" t="s">
        <v>4063</v>
      </c>
      <c r="I1052" s="11">
        <v>398.0</v>
      </c>
      <c r="J1052" s="11">
        <v>1999.0</v>
      </c>
      <c r="K1052" s="12">
        <f t="shared" si="1"/>
        <v>0.8009004502</v>
      </c>
      <c r="L1052" s="13">
        <f>IFERROR(__xludf.DUMMYFUNCTION("GOOGLEFINANCE(""CURRENCY:INRBRL"") * I1052
"),23.43490640324)</f>
        <v>23.4349064</v>
      </c>
      <c r="M1052" s="9">
        <v>4.49</v>
      </c>
      <c r="N1052" s="9">
        <v>257.0</v>
      </c>
      <c r="O1052" s="9" t="s">
        <v>4187</v>
      </c>
      <c r="P1052" s="14" t="s">
        <v>4188</v>
      </c>
      <c r="U1052" s="17"/>
      <c r="V1052" s="18"/>
      <c r="W1052" s="16"/>
      <c r="X1052" s="16"/>
      <c r="Y1052" s="16"/>
    </row>
    <row r="1053">
      <c r="A1053" s="9" t="s">
        <v>4189</v>
      </c>
      <c r="B1053" s="10" t="s">
        <v>4190</v>
      </c>
      <c r="C1053" s="10" t="s">
        <v>4191</v>
      </c>
      <c r="D1053" s="10" t="s">
        <v>2450</v>
      </c>
      <c r="E1053" s="10" t="s">
        <v>4047</v>
      </c>
      <c r="F1053" s="10" t="s">
        <v>4136</v>
      </c>
      <c r="G1053" s="10" t="s">
        <v>4192</v>
      </c>
      <c r="H1053" s="10"/>
      <c r="I1053" s="11">
        <v>539.0</v>
      </c>
      <c r="J1053" s="11">
        <v>720.0</v>
      </c>
      <c r="K1053" s="12">
        <f t="shared" si="1"/>
        <v>0.2513888889</v>
      </c>
      <c r="L1053" s="13">
        <f>IFERROR(__xludf.DUMMYFUNCTION("GOOGLEFINANCE(""CURRENCY:INRBRL"") * I1053
"),31.73722249082)</f>
        <v>31.73722249</v>
      </c>
      <c r="M1053" s="9">
        <v>4.49</v>
      </c>
      <c r="N1053" s="9">
        <v>36017.0</v>
      </c>
      <c r="O1053" s="9" t="s">
        <v>4193</v>
      </c>
      <c r="P1053" s="14" t="s">
        <v>4194</v>
      </c>
      <c r="U1053" s="17"/>
      <c r="V1053" s="18"/>
      <c r="W1053" s="16"/>
      <c r="X1053" s="16"/>
      <c r="Y1053" s="16"/>
    </row>
    <row r="1054">
      <c r="A1054" s="9" t="s">
        <v>4195</v>
      </c>
      <c r="B1054" s="10" t="s">
        <v>4196</v>
      </c>
      <c r="C1054" s="10" t="s">
        <v>4037</v>
      </c>
      <c r="D1054" s="10" t="s">
        <v>2450</v>
      </c>
      <c r="E1054" s="10" t="s">
        <v>4038</v>
      </c>
      <c r="F1054" s="10" t="s">
        <v>4039</v>
      </c>
      <c r="G1054" s="10" t="s">
        <v>4040</v>
      </c>
      <c r="H1054" s="10" t="s">
        <v>4041</v>
      </c>
      <c r="I1054" s="11">
        <v>699.0</v>
      </c>
      <c r="J1054" s="11">
        <v>1595.0</v>
      </c>
      <c r="K1054" s="12">
        <f t="shared" si="1"/>
        <v>0.5617554859</v>
      </c>
      <c r="L1054" s="13">
        <f>IFERROR(__xludf.DUMMYFUNCTION("GOOGLEFINANCE(""CURRENCY:INRBRL"") * I1054
"),41.15829039162)</f>
        <v>41.15829039</v>
      </c>
      <c r="M1054" s="9">
        <v>4.49</v>
      </c>
      <c r="N1054" s="9">
        <v>809.0</v>
      </c>
      <c r="O1054" s="9" t="s">
        <v>4197</v>
      </c>
      <c r="P1054" s="14" t="s">
        <v>4198</v>
      </c>
      <c r="U1054" s="17"/>
      <c r="V1054" s="18"/>
      <c r="W1054" s="16"/>
      <c r="X1054" s="16"/>
      <c r="Y1054" s="16"/>
    </row>
    <row r="1055">
      <c r="A1055" s="9" t="s">
        <v>4199</v>
      </c>
      <c r="B1055" s="10" t="s">
        <v>4200</v>
      </c>
      <c r="C1055" s="10" t="s">
        <v>4099</v>
      </c>
      <c r="D1055" s="10" t="s">
        <v>2450</v>
      </c>
      <c r="E1055" s="10" t="s">
        <v>4038</v>
      </c>
      <c r="F1055" s="10" t="s">
        <v>4039</v>
      </c>
      <c r="G1055" s="10" t="s">
        <v>4100</v>
      </c>
      <c r="H1055" s="10"/>
      <c r="I1055" s="11">
        <v>2148.0</v>
      </c>
      <c r="J1055" s="11">
        <v>3645.0</v>
      </c>
      <c r="K1055" s="12">
        <f t="shared" si="1"/>
        <v>0.4106995885</v>
      </c>
      <c r="L1055" s="13">
        <f>IFERROR(__xludf.DUMMYFUNCTION("GOOGLEFINANCE(""CURRENCY:INRBRL"") * I1055
"),126.47783656824)</f>
        <v>126.4778366</v>
      </c>
      <c r="M1055" s="9">
        <v>4.49</v>
      </c>
      <c r="N1055" s="9">
        <v>31388.0</v>
      </c>
      <c r="O1055" s="9" t="s">
        <v>4201</v>
      </c>
      <c r="P1055" s="14" t="s">
        <v>4202</v>
      </c>
      <c r="U1055" s="17"/>
      <c r="V1055" s="18"/>
      <c r="W1055" s="16"/>
      <c r="X1055" s="16"/>
      <c r="Y1055" s="16"/>
    </row>
    <row r="1056">
      <c r="A1056" s="9" t="s">
        <v>4203</v>
      </c>
      <c r="B1056" s="10" t="s">
        <v>4204</v>
      </c>
      <c r="C1056" s="10" t="s">
        <v>4205</v>
      </c>
      <c r="D1056" s="10" t="s">
        <v>2450</v>
      </c>
      <c r="E1056" s="10" t="s">
        <v>4038</v>
      </c>
      <c r="F1056" s="10" t="s">
        <v>4039</v>
      </c>
      <c r="G1056" s="10" t="s">
        <v>4206</v>
      </c>
      <c r="H1056" s="10" t="s">
        <v>4207</v>
      </c>
      <c r="I1056" s="11">
        <v>3599.0</v>
      </c>
      <c r="J1056" s="11">
        <v>7949.0</v>
      </c>
      <c r="K1056" s="12">
        <f t="shared" si="1"/>
        <v>0.5472386464</v>
      </c>
      <c r="L1056" s="13">
        <f>IFERROR(__xludf.DUMMYFUNCTION("GOOGLEFINANCE(""CURRENCY:INRBRL"") * I1056
"),211.91514609362)</f>
        <v>211.9151461</v>
      </c>
      <c r="M1056" s="9">
        <v>4.5</v>
      </c>
      <c r="N1056" s="9">
        <v>136.0</v>
      </c>
      <c r="O1056" s="9" t="s">
        <v>4208</v>
      </c>
      <c r="P1056" s="14" t="s">
        <v>4209</v>
      </c>
      <c r="U1056" s="17"/>
      <c r="V1056" s="18"/>
      <c r="W1056" s="16"/>
      <c r="X1056" s="16"/>
      <c r="Y1056" s="16"/>
    </row>
    <row r="1057">
      <c r="A1057" s="9" t="s">
        <v>4210</v>
      </c>
      <c r="B1057" s="10" t="s">
        <v>4211</v>
      </c>
      <c r="C1057" s="10" t="s">
        <v>4212</v>
      </c>
      <c r="D1057" s="10" t="s">
        <v>2450</v>
      </c>
      <c r="E1057" s="10" t="s">
        <v>4213</v>
      </c>
      <c r="F1057" s="10" t="s">
        <v>4214</v>
      </c>
      <c r="G1057" s="10" t="s">
        <v>4215</v>
      </c>
      <c r="H1057" s="10"/>
      <c r="I1057" s="11">
        <v>351.0</v>
      </c>
      <c r="J1057" s="11">
        <v>999.0</v>
      </c>
      <c r="K1057" s="12">
        <f t="shared" si="1"/>
        <v>0.6486486486</v>
      </c>
      <c r="L1057" s="13">
        <f>IFERROR(__xludf.DUMMYFUNCTION("GOOGLEFINANCE(""CURRENCY:INRBRL"") * I1057
"),20.66746770738)</f>
        <v>20.66746771</v>
      </c>
      <c r="M1057" s="9">
        <v>4.0</v>
      </c>
      <c r="N1057" s="9">
        <v>538.0</v>
      </c>
      <c r="O1057" s="9" t="s">
        <v>4216</v>
      </c>
      <c r="P1057" s="14" t="s">
        <v>4217</v>
      </c>
      <c r="U1057" s="17"/>
      <c r="V1057" s="18"/>
      <c r="W1057" s="16"/>
      <c r="X1057" s="16"/>
      <c r="Y1057" s="16"/>
    </row>
    <row r="1058">
      <c r="A1058" s="9" t="s">
        <v>4218</v>
      </c>
      <c r="B1058" s="10" t="s">
        <v>4219</v>
      </c>
      <c r="C1058" s="10" t="s">
        <v>4220</v>
      </c>
      <c r="D1058" s="10" t="s">
        <v>2450</v>
      </c>
      <c r="E1058" s="10" t="s">
        <v>4038</v>
      </c>
      <c r="F1058" s="10" t="s">
        <v>4061</v>
      </c>
      <c r="G1058" s="10" t="s">
        <v>4062</v>
      </c>
      <c r="H1058" s="10" t="s">
        <v>4124</v>
      </c>
      <c r="I1058" s="11">
        <v>1614.0</v>
      </c>
      <c r="J1058" s="11">
        <v>1745.0</v>
      </c>
      <c r="K1058" s="12">
        <f t="shared" si="1"/>
        <v>0.07507163324</v>
      </c>
      <c r="L1058" s="13">
        <f>IFERROR(__xludf.DUMMYFUNCTION("GOOGLEFINANCE(""CURRENCY:INRBRL"") * I1058
"),95.03502244932)</f>
        <v>95.03502245</v>
      </c>
      <c r="M1058" s="9">
        <v>4.5</v>
      </c>
      <c r="N1058" s="9">
        <v>37974.0</v>
      </c>
      <c r="O1058" s="9" t="s">
        <v>4221</v>
      </c>
      <c r="P1058" s="14" t="s">
        <v>4222</v>
      </c>
      <c r="U1058" s="17"/>
      <c r="V1058" s="18"/>
      <c r="W1058" s="16"/>
      <c r="X1058" s="16"/>
      <c r="Y1058" s="16"/>
    </row>
    <row r="1059">
      <c r="A1059" s="9" t="s">
        <v>4223</v>
      </c>
      <c r="B1059" s="10" t="s">
        <v>4224</v>
      </c>
      <c r="C1059" s="10" t="s">
        <v>4191</v>
      </c>
      <c r="D1059" s="10" t="s">
        <v>2450</v>
      </c>
      <c r="E1059" s="10" t="s">
        <v>4047</v>
      </c>
      <c r="F1059" s="10" t="s">
        <v>4136</v>
      </c>
      <c r="G1059" s="10" t="s">
        <v>4192</v>
      </c>
      <c r="H1059" s="10"/>
      <c r="I1059" s="11">
        <v>719.0</v>
      </c>
      <c r="J1059" s="11">
        <v>1295.0</v>
      </c>
      <c r="K1059" s="12">
        <f t="shared" si="1"/>
        <v>0.4447876448</v>
      </c>
      <c r="L1059" s="13">
        <f>IFERROR(__xludf.DUMMYFUNCTION("GOOGLEFINANCE(""CURRENCY:INRBRL"") * I1059
"),42.33592387922)</f>
        <v>42.33592388</v>
      </c>
      <c r="M1059" s="9">
        <v>4.5</v>
      </c>
      <c r="N1059" s="9">
        <v>17218.0</v>
      </c>
      <c r="O1059" s="9" t="s">
        <v>4225</v>
      </c>
      <c r="P1059" s="14" t="s">
        <v>4226</v>
      </c>
      <c r="U1059" s="17"/>
      <c r="V1059" s="18"/>
      <c r="W1059" s="16"/>
      <c r="X1059" s="16"/>
      <c r="Y1059" s="16"/>
    </row>
    <row r="1060">
      <c r="A1060" s="9" t="s">
        <v>4227</v>
      </c>
      <c r="B1060" s="10" t="s">
        <v>4228</v>
      </c>
      <c r="C1060" s="10" t="s">
        <v>4060</v>
      </c>
      <c r="D1060" s="10" t="s">
        <v>2450</v>
      </c>
      <c r="E1060" s="10" t="s">
        <v>4038</v>
      </c>
      <c r="F1060" s="10" t="s">
        <v>4061</v>
      </c>
      <c r="G1060" s="10" t="s">
        <v>4062</v>
      </c>
      <c r="H1060" s="10" t="s">
        <v>4063</v>
      </c>
      <c r="I1060" s="11">
        <v>678.0</v>
      </c>
      <c r="J1060" s="11">
        <v>1499.0</v>
      </c>
      <c r="K1060" s="12">
        <f t="shared" si="1"/>
        <v>0.5476984656</v>
      </c>
      <c r="L1060" s="13">
        <f>IFERROR(__xludf.DUMMYFUNCTION("GOOGLEFINANCE(""CURRENCY:INRBRL"") * I1060
"),39.92177522964)</f>
        <v>39.92177523</v>
      </c>
      <c r="M1060" s="9">
        <v>4.5</v>
      </c>
      <c r="N1060" s="9">
        <v>900.0</v>
      </c>
      <c r="O1060" s="9" t="s">
        <v>4229</v>
      </c>
      <c r="P1060" s="14" t="s">
        <v>4230</v>
      </c>
      <c r="U1060" s="17"/>
      <c r="V1060" s="18"/>
      <c r="W1060" s="16"/>
      <c r="X1060" s="16"/>
      <c r="Y1060" s="16"/>
    </row>
    <row r="1061">
      <c r="A1061" s="9" t="s">
        <v>4231</v>
      </c>
      <c r="B1061" s="10" t="s">
        <v>4232</v>
      </c>
      <c r="C1061" s="10" t="s">
        <v>4155</v>
      </c>
      <c r="D1061" s="10" t="s">
        <v>2450</v>
      </c>
      <c r="E1061" s="10" t="s">
        <v>4038</v>
      </c>
      <c r="F1061" s="10" t="s">
        <v>4039</v>
      </c>
      <c r="G1061" s="10" t="s">
        <v>4040</v>
      </c>
      <c r="H1061" s="10" t="s">
        <v>4156</v>
      </c>
      <c r="I1061" s="11">
        <v>809.0</v>
      </c>
      <c r="J1061" s="11">
        <v>1545.0</v>
      </c>
      <c r="K1061" s="12">
        <f t="shared" si="1"/>
        <v>0.4763754045</v>
      </c>
      <c r="L1061" s="13">
        <f>IFERROR(__xludf.DUMMYFUNCTION("GOOGLEFINANCE(""CURRENCY:INRBRL"") * I1061
"),47.63527457342)</f>
        <v>47.63527457</v>
      </c>
      <c r="M1061" s="9">
        <v>4.51</v>
      </c>
      <c r="N1061" s="9">
        <v>976.0</v>
      </c>
      <c r="O1061" s="9" t="s">
        <v>4233</v>
      </c>
      <c r="P1061" s="14" t="s">
        <v>4234</v>
      </c>
      <c r="U1061" s="17"/>
      <c r="V1061" s="18"/>
      <c r="W1061" s="16"/>
      <c r="X1061" s="16"/>
      <c r="Y1061" s="16"/>
    </row>
    <row r="1062">
      <c r="A1062" s="9" t="s">
        <v>4235</v>
      </c>
      <c r="B1062" s="10" t="s">
        <v>4236</v>
      </c>
      <c r="C1062" s="10" t="s">
        <v>4237</v>
      </c>
      <c r="D1062" s="10" t="s">
        <v>2450</v>
      </c>
      <c r="E1062" s="10" t="s">
        <v>4038</v>
      </c>
      <c r="F1062" s="10" t="s">
        <v>4039</v>
      </c>
      <c r="G1062" s="10" t="s">
        <v>4238</v>
      </c>
      <c r="H1062" s="10"/>
      <c r="I1062" s="11">
        <v>1969.0</v>
      </c>
      <c r="J1062" s="11">
        <v>4999.0</v>
      </c>
      <c r="K1062" s="12">
        <f t="shared" si="1"/>
        <v>0.6061212242</v>
      </c>
      <c r="L1062" s="13">
        <f>IFERROR(__xludf.DUMMYFUNCTION("GOOGLEFINANCE(""CURRENCY:INRBRL"") * I1062
"),115.93801685422)</f>
        <v>115.9380169</v>
      </c>
      <c r="M1062" s="9">
        <v>4.49</v>
      </c>
      <c r="N1062" s="9">
        <v>4927.0</v>
      </c>
      <c r="O1062" s="9" t="s">
        <v>4239</v>
      </c>
      <c r="P1062" s="14" t="s">
        <v>4240</v>
      </c>
      <c r="U1062" s="17"/>
      <c r="V1062" s="18"/>
      <c r="W1062" s="16"/>
      <c r="X1062" s="16"/>
      <c r="Y1062" s="16"/>
    </row>
    <row r="1063">
      <c r="A1063" s="9" t="s">
        <v>4241</v>
      </c>
      <c r="B1063" s="10" t="s">
        <v>4242</v>
      </c>
      <c r="C1063" s="10" t="s">
        <v>4060</v>
      </c>
      <c r="D1063" s="10" t="s">
        <v>2450</v>
      </c>
      <c r="E1063" s="10" t="s">
        <v>4038</v>
      </c>
      <c r="F1063" s="10" t="s">
        <v>4061</v>
      </c>
      <c r="G1063" s="10" t="s">
        <v>4062</v>
      </c>
      <c r="H1063" s="10" t="s">
        <v>4063</v>
      </c>
      <c r="I1063" s="11">
        <v>1499.0</v>
      </c>
      <c r="J1063" s="11">
        <v>1695.0</v>
      </c>
      <c r="K1063" s="12">
        <f t="shared" si="1"/>
        <v>0.1156342183</v>
      </c>
      <c r="L1063" s="13">
        <f>IFERROR(__xludf.DUMMYFUNCTION("GOOGLEFINANCE(""CURRENCY:INRBRL"") * I1063
"),88.26362989562)</f>
        <v>88.2636299</v>
      </c>
      <c r="M1063" s="9">
        <v>4.5</v>
      </c>
      <c r="N1063" s="9">
        <v>3543.0</v>
      </c>
      <c r="O1063" s="9" t="s">
        <v>4243</v>
      </c>
      <c r="P1063" s="14" t="s">
        <v>4244</v>
      </c>
      <c r="U1063" s="17"/>
      <c r="V1063" s="18"/>
      <c r="W1063" s="16"/>
      <c r="X1063" s="16"/>
      <c r="Y1063" s="16"/>
    </row>
    <row r="1064">
      <c r="A1064" s="9" t="s">
        <v>4245</v>
      </c>
      <c r="B1064" s="10" t="s">
        <v>4246</v>
      </c>
      <c r="C1064" s="10" t="s">
        <v>4046</v>
      </c>
      <c r="D1064" s="10" t="s">
        <v>2450</v>
      </c>
      <c r="E1064" s="10" t="s">
        <v>4047</v>
      </c>
      <c r="F1064" s="10" t="s">
        <v>4048</v>
      </c>
      <c r="G1064" s="10" t="s">
        <v>4049</v>
      </c>
      <c r="H1064" s="10"/>
      <c r="I1064" s="11">
        <v>2499.0</v>
      </c>
      <c r="J1064" s="11">
        <v>3945.0</v>
      </c>
      <c r="K1064" s="12">
        <f t="shared" si="1"/>
        <v>0.366539924</v>
      </c>
      <c r="L1064" s="13">
        <f>IFERROR(__xludf.DUMMYFUNCTION("GOOGLEFINANCE(""CURRENCY:INRBRL"") * I1064
"),147.14530427562)</f>
        <v>147.1453043</v>
      </c>
      <c r="M1064" s="9">
        <v>4.51</v>
      </c>
      <c r="N1064" s="9">
        <v>2732.0</v>
      </c>
      <c r="O1064" s="9" t="s">
        <v>4247</v>
      </c>
      <c r="P1064" s="14" t="s">
        <v>4248</v>
      </c>
      <c r="U1064" s="17"/>
      <c r="V1064" s="18"/>
      <c r="W1064" s="16"/>
      <c r="X1064" s="16"/>
      <c r="Y1064" s="16"/>
    </row>
    <row r="1065">
      <c r="A1065" s="9" t="s">
        <v>4249</v>
      </c>
      <c r="B1065" s="10" t="s">
        <v>4250</v>
      </c>
      <c r="C1065" s="10" t="s">
        <v>4251</v>
      </c>
      <c r="D1065" s="10" t="s">
        <v>2450</v>
      </c>
      <c r="E1065" s="10" t="s">
        <v>4038</v>
      </c>
      <c r="F1065" s="10" t="s">
        <v>4061</v>
      </c>
      <c r="G1065" s="10" t="s">
        <v>4252</v>
      </c>
      <c r="H1065" s="10" t="s">
        <v>4253</v>
      </c>
      <c r="I1065" s="11">
        <v>1665.0</v>
      </c>
      <c r="J1065" s="11">
        <v>2099.0</v>
      </c>
      <c r="K1065" s="12">
        <f t="shared" si="1"/>
        <v>0.2067651263</v>
      </c>
      <c r="L1065" s="13">
        <f>IFERROR(__xludf.DUMMYFUNCTION("GOOGLEFINANCE(""CURRENCY:INRBRL"") * I1065
"),98.03798784269999)</f>
        <v>98.03798784</v>
      </c>
      <c r="M1065" s="9">
        <v>4.0</v>
      </c>
      <c r="N1065" s="9">
        <v>14368.0</v>
      </c>
      <c r="O1065" s="9" t="s">
        <v>4254</v>
      </c>
      <c r="P1065" s="14" t="s">
        <v>4255</v>
      </c>
      <c r="U1065" s="17"/>
      <c r="V1065" s="18"/>
      <c r="W1065" s="16"/>
      <c r="X1065" s="16"/>
      <c r="Y1065" s="16"/>
    </row>
    <row r="1066">
      <c r="A1066" s="9" t="s">
        <v>4256</v>
      </c>
      <c r="B1066" s="10" t="s">
        <v>4257</v>
      </c>
      <c r="C1066" s="10" t="s">
        <v>4099</v>
      </c>
      <c r="D1066" s="10" t="s">
        <v>2450</v>
      </c>
      <c r="E1066" s="10" t="s">
        <v>4038</v>
      </c>
      <c r="F1066" s="10" t="s">
        <v>4039</v>
      </c>
      <c r="G1066" s="10" t="s">
        <v>4100</v>
      </c>
      <c r="H1066" s="10"/>
      <c r="I1066" s="11">
        <v>3229.0</v>
      </c>
      <c r="J1066" s="11">
        <v>5295.0</v>
      </c>
      <c r="K1066" s="12">
        <f t="shared" si="1"/>
        <v>0.3901794145</v>
      </c>
      <c r="L1066" s="13">
        <f>IFERROR(__xludf.DUMMYFUNCTION("GOOGLEFINANCE(""CURRENCY:INRBRL"") * I1066
"),190.12892657301998)</f>
        <v>190.1289266</v>
      </c>
      <c r="M1066" s="9">
        <v>4.5</v>
      </c>
      <c r="N1066" s="9">
        <v>39724.0</v>
      </c>
      <c r="O1066" s="9" t="s">
        <v>4258</v>
      </c>
      <c r="P1066" s="14" t="s">
        <v>4259</v>
      </c>
      <c r="U1066" s="17"/>
      <c r="V1066" s="18"/>
      <c r="W1066" s="16"/>
      <c r="X1066" s="16"/>
      <c r="Y1066" s="16"/>
    </row>
    <row r="1067">
      <c r="A1067" s="9" t="s">
        <v>4260</v>
      </c>
      <c r="B1067" s="10" t="s">
        <v>4261</v>
      </c>
      <c r="C1067" s="10" t="s">
        <v>4099</v>
      </c>
      <c r="D1067" s="10" t="s">
        <v>2450</v>
      </c>
      <c r="E1067" s="10" t="s">
        <v>4038</v>
      </c>
      <c r="F1067" s="10" t="s">
        <v>4039</v>
      </c>
      <c r="G1067" s="10" t="s">
        <v>4100</v>
      </c>
      <c r="H1067" s="10"/>
      <c r="I1067" s="11">
        <v>1799.0</v>
      </c>
      <c r="J1067" s="11">
        <v>3595.0</v>
      </c>
      <c r="K1067" s="12">
        <f t="shared" si="1"/>
        <v>0.4995827538</v>
      </c>
      <c r="L1067" s="13">
        <f>IFERROR(__xludf.DUMMYFUNCTION("GOOGLEFINANCE(""CURRENCY:INRBRL"") * I1067
"),105.92813220962)</f>
        <v>105.9281322</v>
      </c>
      <c r="M1067" s="9">
        <v>4.51</v>
      </c>
      <c r="N1067" s="9">
        <v>9791.0</v>
      </c>
      <c r="O1067" s="9" t="s">
        <v>4262</v>
      </c>
      <c r="P1067" s="14" t="s">
        <v>4263</v>
      </c>
      <c r="U1067" s="17"/>
      <c r="V1067" s="18"/>
      <c r="W1067" s="16"/>
      <c r="X1067" s="16"/>
      <c r="Y1067" s="16"/>
    </row>
    <row r="1068">
      <c r="A1068" s="9" t="s">
        <v>4264</v>
      </c>
      <c r="B1068" s="10" t="s">
        <v>4265</v>
      </c>
      <c r="C1068" s="10" t="s">
        <v>4037</v>
      </c>
      <c r="D1068" s="10" t="s">
        <v>2450</v>
      </c>
      <c r="E1068" s="10" t="s">
        <v>4038</v>
      </c>
      <c r="F1068" s="10" t="s">
        <v>4039</v>
      </c>
      <c r="G1068" s="10" t="s">
        <v>4040</v>
      </c>
      <c r="H1068" s="10" t="s">
        <v>4041</v>
      </c>
      <c r="I1068" s="11">
        <v>1269.0</v>
      </c>
      <c r="J1068" s="11">
        <v>1699.0</v>
      </c>
      <c r="K1068" s="12">
        <f t="shared" si="1"/>
        <v>0.253090053</v>
      </c>
      <c r="L1068" s="13">
        <f>IFERROR(__xludf.DUMMYFUNCTION("GOOGLEFINANCE(""CURRENCY:INRBRL"") * I1068
"),74.72084478821999)</f>
        <v>74.72084479</v>
      </c>
      <c r="M1068" s="9">
        <v>4.5</v>
      </c>
      <c r="N1068" s="9">
        <v>2891.0</v>
      </c>
      <c r="O1068" s="9" t="s">
        <v>4266</v>
      </c>
      <c r="P1068" s="14" t="s">
        <v>4267</v>
      </c>
      <c r="U1068" s="17"/>
      <c r="V1068" s="18"/>
      <c r="W1068" s="16"/>
      <c r="X1068" s="16"/>
      <c r="Y1068" s="16"/>
    </row>
    <row r="1069">
      <c r="A1069" s="9" t="s">
        <v>4268</v>
      </c>
      <c r="B1069" s="10" t="s">
        <v>4269</v>
      </c>
      <c r="C1069" s="10" t="s">
        <v>4046</v>
      </c>
      <c r="D1069" s="10" t="s">
        <v>2450</v>
      </c>
      <c r="E1069" s="10" t="s">
        <v>4047</v>
      </c>
      <c r="F1069" s="10" t="s">
        <v>4048</v>
      </c>
      <c r="G1069" s="10" t="s">
        <v>4049</v>
      </c>
      <c r="H1069" s="10"/>
      <c r="I1069" s="11">
        <v>749.0</v>
      </c>
      <c r="J1069" s="11">
        <v>1129.0</v>
      </c>
      <c r="K1069" s="12">
        <f t="shared" si="1"/>
        <v>0.3365810452</v>
      </c>
      <c r="L1069" s="13">
        <f>IFERROR(__xludf.DUMMYFUNCTION("GOOGLEFINANCE(""CURRENCY:INRBRL"") * I1069
"),44.10237411062)</f>
        <v>44.10237411</v>
      </c>
      <c r="M1069" s="9">
        <v>4.0</v>
      </c>
      <c r="N1069" s="9">
        <v>2446.0</v>
      </c>
      <c r="O1069" s="9" t="s">
        <v>4270</v>
      </c>
      <c r="P1069" s="14" t="s">
        <v>4271</v>
      </c>
      <c r="U1069" s="17"/>
      <c r="V1069" s="18"/>
      <c r="W1069" s="16"/>
      <c r="X1069" s="16"/>
      <c r="Y1069" s="16"/>
    </row>
    <row r="1070">
      <c r="A1070" s="9" t="s">
        <v>4272</v>
      </c>
      <c r="B1070" s="10" t="s">
        <v>4273</v>
      </c>
      <c r="C1070" s="10" t="s">
        <v>4129</v>
      </c>
      <c r="D1070" s="10" t="s">
        <v>2450</v>
      </c>
      <c r="E1070" s="10" t="s">
        <v>4038</v>
      </c>
      <c r="F1070" s="10" t="s">
        <v>4039</v>
      </c>
      <c r="G1070" s="10" t="s">
        <v>4130</v>
      </c>
      <c r="H1070" s="10"/>
      <c r="I1070" s="11">
        <v>3499.0</v>
      </c>
      <c r="J1070" s="11">
        <v>5795.0</v>
      </c>
      <c r="K1070" s="12">
        <f t="shared" si="1"/>
        <v>0.3962036238</v>
      </c>
      <c r="L1070" s="13">
        <f>IFERROR(__xludf.DUMMYFUNCTION("GOOGLEFINANCE(""CURRENCY:INRBRL"") * I1070
"),206.02697865561998)</f>
        <v>206.0269787</v>
      </c>
      <c r="M1070" s="9">
        <v>4.52</v>
      </c>
      <c r="N1070" s="9">
        <v>2534.0</v>
      </c>
      <c r="O1070" s="9" t="s">
        <v>4274</v>
      </c>
      <c r="P1070" s="14" t="s">
        <v>4275</v>
      </c>
      <c r="U1070" s="17"/>
      <c r="V1070" s="18"/>
      <c r="W1070" s="16"/>
      <c r="X1070" s="16"/>
      <c r="Y1070" s="16"/>
    </row>
    <row r="1071">
      <c r="A1071" s="9" t="s">
        <v>4276</v>
      </c>
      <c r="B1071" s="10" t="s">
        <v>4277</v>
      </c>
      <c r="C1071" s="10" t="s">
        <v>4278</v>
      </c>
      <c r="D1071" s="10" t="s">
        <v>2450</v>
      </c>
      <c r="E1071" s="10" t="s">
        <v>4038</v>
      </c>
      <c r="F1071" s="10" t="s">
        <v>4039</v>
      </c>
      <c r="G1071" s="10" t="s">
        <v>4279</v>
      </c>
      <c r="H1071" s="10"/>
      <c r="I1071" s="11">
        <v>379.0</v>
      </c>
      <c r="J1071" s="11">
        <v>999.0</v>
      </c>
      <c r="K1071" s="12">
        <f t="shared" si="1"/>
        <v>0.6206206206</v>
      </c>
      <c r="L1071" s="13">
        <f>IFERROR(__xludf.DUMMYFUNCTION("GOOGLEFINANCE(""CURRENCY:INRBRL"") * I1071
"),22.31615459002)</f>
        <v>22.31615459</v>
      </c>
      <c r="M1071" s="9">
        <v>4.5</v>
      </c>
      <c r="N1071" s="9">
        <v>3096.0</v>
      </c>
      <c r="O1071" s="9" t="s">
        <v>4280</v>
      </c>
      <c r="P1071" s="14" t="s">
        <v>4281</v>
      </c>
      <c r="U1071" s="17"/>
      <c r="V1071" s="18"/>
      <c r="W1071" s="16"/>
      <c r="X1071" s="16"/>
      <c r="Y1071" s="16"/>
    </row>
    <row r="1072">
      <c r="A1072" s="9" t="s">
        <v>4282</v>
      </c>
      <c r="B1072" s="10" t="s">
        <v>4283</v>
      </c>
      <c r="C1072" s="10" t="s">
        <v>4046</v>
      </c>
      <c r="D1072" s="10" t="s">
        <v>2450</v>
      </c>
      <c r="E1072" s="10" t="s">
        <v>4047</v>
      </c>
      <c r="F1072" s="10" t="s">
        <v>4048</v>
      </c>
      <c r="G1072" s="10" t="s">
        <v>4049</v>
      </c>
      <c r="H1072" s="10"/>
      <c r="I1072" s="11">
        <v>1099.0</v>
      </c>
      <c r="J1072" s="11">
        <v>2399.0</v>
      </c>
      <c r="K1072" s="12">
        <f t="shared" si="1"/>
        <v>0.5418924552</v>
      </c>
      <c r="L1072" s="13">
        <f>IFERROR(__xludf.DUMMYFUNCTION("GOOGLEFINANCE(""CURRENCY:INRBRL"") * I1072
"),64.71096014362)</f>
        <v>64.71096014</v>
      </c>
      <c r="M1072" s="9">
        <v>4.51</v>
      </c>
      <c r="N1072" s="9">
        <v>4.0</v>
      </c>
      <c r="O1072" s="9" t="s">
        <v>4284</v>
      </c>
      <c r="P1072" s="14" t="s">
        <v>4285</v>
      </c>
      <c r="U1072" s="17"/>
      <c r="V1072" s="18"/>
      <c r="W1072" s="16"/>
      <c r="X1072" s="16"/>
      <c r="Y1072" s="16"/>
    </row>
    <row r="1073">
      <c r="A1073" s="9" t="s">
        <v>4286</v>
      </c>
      <c r="B1073" s="10" t="s">
        <v>4287</v>
      </c>
      <c r="C1073" s="10" t="s">
        <v>4155</v>
      </c>
      <c r="D1073" s="10" t="s">
        <v>2450</v>
      </c>
      <c r="E1073" s="10" t="s">
        <v>4038</v>
      </c>
      <c r="F1073" s="10" t="s">
        <v>4039</v>
      </c>
      <c r="G1073" s="10" t="s">
        <v>4040</v>
      </c>
      <c r="H1073" s="10" t="s">
        <v>4156</v>
      </c>
      <c r="I1073" s="11">
        <v>749.0</v>
      </c>
      <c r="J1073" s="11">
        <v>1299.0</v>
      </c>
      <c r="K1073" s="12">
        <f t="shared" si="1"/>
        <v>0.4234026174</v>
      </c>
      <c r="L1073" s="13">
        <f>IFERROR(__xludf.DUMMYFUNCTION("GOOGLEFINANCE(""CURRENCY:INRBRL"") * I1073
"),44.10237411062)</f>
        <v>44.10237411</v>
      </c>
      <c r="M1073" s="9">
        <v>4.0</v>
      </c>
      <c r="N1073" s="9">
        <v>119.0</v>
      </c>
      <c r="O1073" s="9" t="s">
        <v>4288</v>
      </c>
      <c r="P1073" s="14" t="s">
        <v>4289</v>
      </c>
      <c r="U1073" s="17"/>
      <c r="V1073" s="18"/>
      <c r="W1073" s="16"/>
      <c r="X1073" s="16"/>
      <c r="Y1073" s="16"/>
    </row>
    <row r="1074">
      <c r="A1074" s="9" t="s">
        <v>4290</v>
      </c>
      <c r="B1074" s="10" t="s">
        <v>4291</v>
      </c>
      <c r="C1074" s="10" t="s">
        <v>4292</v>
      </c>
      <c r="D1074" s="10" t="s">
        <v>2450</v>
      </c>
      <c r="E1074" s="10" t="s">
        <v>4038</v>
      </c>
      <c r="F1074" s="10" t="s">
        <v>4039</v>
      </c>
      <c r="G1074" s="10" t="s">
        <v>4293</v>
      </c>
      <c r="H1074" s="10"/>
      <c r="I1074" s="11">
        <v>1299.0</v>
      </c>
      <c r="J1074" s="11">
        <v>1299.0</v>
      </c>
      <c r="K1074" s="12">
        <f t="shared" si="1"/>
        <v>0</v>
      </c>
      <c r="L1074" s="13">
        <f>IFERROR(__xludf.DUMMYFUNCTION("GOOGLEFINANCE(""CURRENCY:INRBRL"") * I1074
"),76.48729501961999)</f>
        <v>76.48729502</v>
      </c>
      <c r="M1074" s="9">
        <v>4.5</v>
      </c>
      <c r="N1074" s="9">
        <v>40106.0</v>
      </c>
      <c r="O1074" s="9" t="s">
        <v>4294</v>
      </c>
      <c r="P1074" s="14" t="s">
        <v>4295</v>
      </c>
      <c r="U1074" s="17"/>
      <c r="V1074" s="18"/>
      <c r="W1074" s="16"/>
      <c r="X1074" s="16"/>
      <c r="Y1074" s="16"/>
    </row>
    <row r="1075">
      <c r="A1075" s="9" t="s">
        <v>4296</v>
      </c>
      <c r="B1075" s="10" t="s">
        <v>4297</v>
      </c>
      <c r="C1075" s="10" t="s">
        <v>4123</v>
      </c>
      <c r="D1075" s="10" t="s">
        <v>2450</v>
      </c>
      <c r="E1075" s="10" t="s">
        <v>4038</v>
      </c>
      <c r="F1075" s="10" t="s">
        <v>4061</v>
      </c>
      <c r="G1075" s="10" t="s">
        <v>4062</v>
      </c>
      <c r="H1075" s="10" t="s">
        <v>4124</v>
      </c>
      <c r="I1075" s="11">
        <v>549.0</v>
      </c>
      <c r="J1075" s="11">
        <v>1099.0</v>
      </c>
      <c r="K1075" s="12">
        <f t="shared" si="1"/>
        <v>0.5004549591</v>
      </c>
      <c r="L1075" s="13">
        <f>IFERROR(__xludf.DUMMYFUNCTION("GOOGLEFINANCE(""CURRENCY:INRBRL"") * I1075
"),32.32603923462)</f>
        <v>32.32603923</v>
      </c>
      <c r="M1075" s="9">
        <v>4.5</v>
      </c>
      <c r="N1075" s="9">
        <v>13029.0</v>
      </c>
      <c r="O1075" s="9" t="s">
        <v>4298</v>
      </c>
      <c r="P1075" s="14" t="s">
        <v>4299</v>
      </c>
      <c r="U1075" s="17"/>
      <c r="V1075" s="18"/>
      <c r="W1075" s="16"/>
      <c r="X1075" s="16"/>
      <c r="Y1075" s="16"/>
    </row>
    <row r="1076">
      <c r="A1076" s="9" t="s">
        <v>4300</v>
      </c>
      <c r="B1076" s="10" t="s">
        <v>4301</v>
      </c>
      <c r="C1076" s="10" t="s">
        <v>4054</v>
      </c>
      <c r="D1076" s="10" t="s">
        <v>2450</v>
      </c>
      <c r="E1076" s="10" t="s">
        <v>4047</v>
      </c>
      <c r="F1076" s="10" t="s">
        <v>4048</v>
      </c>
      <c r="G1076" s="10" t="s">
        <v>4055</v>
      </c>
      <c r="H1076" s="10"/>
      <c r="I1076" s="11">
        <v>899.0</v>
      </c>
      <c r="J1076" s="11">
        <v>1999.0</v>
      </c>
      <c r="K1076" s="12">
        <f t="shared" si="1"/>
        <v>0.5502751376</v>
      </c>
      <c r="L1076" s="13">
        <f>IFERROR(__xludf.DUMMYFUNCTION("GOOGLEFINANCE(""CURRENCY:INRBRL"") * I1076
"),52.93462526762)</f>
        <v>52.93462527</v>
      </c>
      <c r="M1076" s="9">
        <v>4.51</v>
      </c>
      <c r="N1076" s="9">
        <v>291.0</v>
      </c>
      <c r="O1076" s="9" t="s">
        <v>4302</v>
      </c>
      <c r="P1076" s="14" t="s">
        <v>4303</v>
      </c>
      <c r="U1076" s="17"/>
      <c r="V1076" s="18"/>
      <c r="W1076" s="16"/>
      <c r="X1076" s="16"/>
      <c r="Y1076" s="16"/>
    </row>
    <row r="1077">
      <c r="A1077" s="9" t="s">
        <v>4304</v>
      </c>
      <c r="B1077" s="10" t="s">
        <v>4305</v>
      </c>
      <c r="C1077" s="10" t="s">
        <v>4123</v>
      </c>
      <c r="D1077" s="10" t="s">
        <v>2450</v>
      </c>
      <c r="E1077" s="10" t="s">
        <v>4038</v>
      </c>
      <c r="F1077" s="10" t="s">
        <v>4061</v>
      </c>
      <c r="G1077" s="10" t="s">
        <v>4062</v>
      </c>
      <c r="H1077" s="10" t="s">
        <v>4124</v>
      </c>
      <c r="I1077" s="11">
        <v>1321.0</v>
      </c>
      <c r="J1077" s="11">
        <v>1545.0</v>
      </c>
      <c r="K1077" s="12">
        <f t="shared" si="1"/>
        <v>0.1449838188</v>
      </c>
      <c r="L1077" s="13">
        <f>IFERROR(__xludf.DUMMYFUNCTION("GOOGLEFINANCE(""CURRENCY:INRBRL"") * I1077
"),77.78269185598)</f>
        <v>77.78269186</v>
      </c>
      <c r="M1077" s="9">
        <v>4.5</v>
      </c>
      <c r="N1077" s="9">
        <v>15453.0</v>
      </c>
      <c r="O1077" s="9" t="s">
        <v>4306</v>
      </c>
      <c r="P1077" s="14" t="s">
        <v>4307</v>
      </c>
      <c r="U1077" s="17"/>
      <c r="V1077" s="18"/>
      <c r="W1077" s="16"/>
      <c r="X1077" s="16"/>
      <c r="Y1077" s="16"/>
    </row>
    <row r="1078">
      <c r="A1078" s="9" t="s">
        <v>4308</v>
      </c>
      <c r="B1078" s="10" t="s">
        <v>4309</v>
      </c>
      <c r="C1078" s="10" t="s">
        <v>4060</v>
      </c>
      <c r="D1078" s="10" t="s">
        <v>2450</v>
      </c>
      <c r="E1078" s="10" t="s">
        <v>4038</v>
      </c>
      <c r="F1078" s="10" t="s">
        <v>4061</v>
      </c>
      <c r="G1078" s="10" t="s">
        <v>4062</v>
      </c>
      <c r="H1078" s="10" t="s">
        <v>4063</v>
      </c>
      <c r="I1078" s="11">
        <v>1099.0</v>
      </c>
      <c r="J1078" s="11">
        <v>1999.0</v>
      </c>
      <c r="K1078" s="12">
        <f t="shared" si="1"/>
        <v>0.4502251126</v>
      </c>
      <c r="L1078" s="13">
        <f>IFERROR(__xludf.DUMMYFUNCTION("GOOGLEFINANCE(""CURRENCY:INRBRL"") * I1078
"),64.71096014362)</f>
        <v>64.71096014</v>
      </c>
      <c r="M1078" s="9">
        <v>4.0</v>
      </c>
      <c r="N1078" s="9">
        <v>604.0</v>
      </c>
      <c r="O1078" s="9" t="s">
        <v>4310</v>
      </c>
      <c r="P1078" s="14" t="s">
        <v>4311</v>
      </c>
      <c r="U1078" s="17"/>
      <c r="V1078" s="18"/>
      <c r="W1078" s="16"/>
      <c r="X1078" s="16"/>
      <c r="Y1078" s="16"/>
    </row>
    <row r="1079">
      <c r="A1079" s="9" t="s">
        <v>4312</v>
      </c>
      <c r="B1079" s="10" t="s">
        <v>4313</v>
      </c>
      <c r="C1079" s="10" t="s">
        <v>4123</v>
      </c>
      <c r="D1079" s="10" t="s">
        <v>2450</v>
      </c>
      <c r="E1079" s="10" t="s">
        <v>4038</v>
      </c>
      <c r="F1079" s="10" t="s">
        <v>4061</v>
      </c>
      <c r="G1079" s="10" t="s">
        <v>4062</v>
      </c>
      <c r="H1079" s="10" t="s">
        <v>4124</v>
      </c>
      <c r="I1079" s="11">
        <v>775.0</v>
      </c>
      <c r="J1079" s="11">
        <v>875.0</v>
      </c>
      <c r="K1079" s="12">
        <f t="shared" si="1"/>
        <v>0.1142857143</v>
      </c>
      <c r="L1079" s="13">
        <f>IFERROR(__xludf.DUMMYFUNCTION("GOOGLEFINANCE(""CURRENCY:INRBRL"") * I1079
"),45.6332976445)</f>
        <v>45.63329764</v>
      </c>
      <c r="M1079" s="9">
        <v>4.5</v>
      </c>
      <c r="N1079" s="9">
        <v>46647.0</v>
      </c>
      <c r="O1079" s="9" t="s">
        <v>4314</v>
      </c>
      <c r="P1079" s="14" t="s">
        <v>4315</v>
      </c>
      <c r="U1079" s="17"/>
      <c r="V1079" s="18"/>
      <c r="W1079" s="16"/>
      <c r="X1079" s="16"/>
      <c r="Y1079" s="16"/>
    </row>
    <row r="1080">
      <c r="A1080" s="9" t="s">
        <v>4316</v>
      </c>
      <c r="B1080" s="10" t="s">
        <v>4317</v>
      </c>
      <c r="C1080" s="10" t="s">
        <v>4161</v>
      </c>
      <c r="D1080" s="10" t="s">
        <v>2450</v>
      </c>
      <c r="E1080" s="10" t="s">
        <v>4047</v>
      </c>
      <c r="F1080" s="10" t="s">
        <v>4136</v>
      </c>
      <c r="G1080" s="10" t="s">
        <v>4162</v>
      </c>
      <c r="H1080" s="10"/>
      <c r="I1080" s="11">
        <v>6299.0</v>
      </c>
      <c r="J1080" s="11">
        <v>15279.0</v>
      </c>
      <c r="K1080" s="12">
        <f t="shared" si="1"/>
        <v>0.5877347994</v>
      </c>
      <c r="L1080" s="13">
        <f>IFERROR(__xludf.DUMMYFUNCTION("GOOGLEFINANCE(""CURRENCY:INRBRL"") * I1080
"),370.89566691962)</f>
        <v>370.8956669</v>
      </c>
      <c r="M1080" s="9">
        <v>4.49</v>
      </c>
      <c r="N1080" s="9">
        <v>3233.0</v>
      </c>
      <c r="O1080" s="9" t="s">
        <v>4318</v>
      </c>
      <c r="P1080" s="14" t="s">
        <v>4319</v>
      </c>
      <c r="U1080" s="17"/>
      <c r="V1080" s="18"/>
      <c r="W1080" s="16"/>
      <c r="X1080" s="16"/>
      <c r="Y1080" s="16"/>
    </row>
    <row r="1081">
      <c r="A1081" s="9" t="s">
        <v>4320</v>
      </c>
      <c r="B1081" s="10" t="s">
        <v>4321</v>
      </c>
      <c r="C1081" s="10" t="s">
        <v>4220</v>
      </c>
      <c r="D1081" s="10" t="s">
        <v>2450</v>
      </c>
      <c r="E1081" s="10" t="s">
        <v>4038</v>
      </c>
      <c r="F1081" s="10" t="s">
        <v>4061</v>
      </c>
      <c r="G1081" s="10" t="s">
        <v>4062</v>
      </c>
      <c r="H1081" s="10" t="s">
        <v>4124</v>
      </c>
      <c r="I1081" s="11">
        <v>3199.0</v>
      </c>
      <c r="J1081" s="11">
        <v>4195.0</v>
      </c>
      <c r="K1081" s="12">
        <f t="shared" si="1"/>
        <v>0.2374255066</v>
      </c>
      <c r="L1081" s="13">
        <f>IFERROR(__xludf.DUMMYFUNCTION("GOOGLEFINANCE(""CURRENCY:INRBRL"") * I1081
"),188.36247634162)</f>
        <v>188.3624763</v>
      </c>
      <c r="M1081" s="9">
        <v>4.0</v>
      </c>
      <c r="N1081" s="9">
        <v>1282.0</v>
      </c>
      <c r="O1081" s="9" t="s">
        <v>4322</v>
      </c>
      <c r="P1081" s="14" t="s">
        <v>4323</v>
      </c>
      <c r="U1081" s="17"/>
      <c r="V1081" s="18"/>
      <c r="W1081" s="16"/>
      <c r="X1081" s="16"/>
      <c r="Y1081" s="16"/>
    </row>
    <row r="1082">
      <c r="A1082" s="9" t="s">
        <v>4324</v>
      </c>
      <c r="B1082" s="10" t="s">
        <v>4325</v>
      </c>
      <c r="C1082" s="10" t="s">
        <v>4046</v>
      </c>
      <c r="D1082" s="10" t="s">
        <v>2450</v>
      </c>
      <c r="E1082" s="10" t="s">
        <v>4047</v>
      </c>
      <c r="F1082" s="10" t="s">
        <v>4048</v>
      </c>
      <c r="G1082" s="10" t="s">
        <v>4049</v>
      </c>
      <c r="H1082" s="10"/>
      <c r="I1082" s="11">
        <v>799.0</v>
      </c>
      <c r="J1082" s="11">
        <v>1989.0</v>
      </c>
      <c r="K1082" s="12">
        <f t="shared" si="1"/>
        <v>0.5982905983</v>
      </c>
      <c r="L1082" s="13">
        <f>IFERROR(__xludf.DUMMYFUNCTION("GOOGLEFINANCE(""CURRENCY:INRBRL"") * I1082
"),47.046457829619996)</f>
        <v>47.04645783</v>
      </c>
      <c r="M1082" s="9">
        <v>4.5</v>
      </c>
      <c r="N1082" s="9">
        <v>70.0</v>
      </c>
      <c r="O1082" s="9" t="s">
        <v>4326</v>
      </c>
      <c r="P1082" s="14" t="s">
        <v>4327</v>
      </c>
      <c r="U1082" s="17"/>
      <c r="V1082" s="18"/>
      <c r="W1082" s="16"/>
      <c r="X1082" s="16"/>
      <c r="Y1082" s="16"/>
    </row>
    <row r="1083">
      <c r="A1083" s="9" t="s">
        <v>4328</v>
      </c>
      <c r="B1083" s="10" t="s">
        <v>4329</v>
      </c>
      <c r="C1083" s="10" t="s">
        <v>4237</v>
      </c>
      <c r="D1083" s="10" t="s">
        <v>2450</v>
      </c>
      <c r="E1083" s="10" t="s">
        <v>4038</v>
      </c>
      <c r="F1083" s="10" t="s">
        <v>4039</v>
      </c>
      <c r="G1083" s="10" t="s">
        <v>4238</v>
      </c>
      <c r="H1083" s="10"/>
      <c r="I1083" s="11">
        <v>2699.0</v>
      </c>
      <c r="J1083" s="11">
        <v>4999.0</v>
      </c>
      <c r="K1083" s="12">
        <f t="shared" si="1"/>
        <v>0.4600920184</v>
      </c>
      <c r="L1083" s="13">
        <f>IFERROR(__xludf.DUMMYFUNCTION("GOOGLEFINANCE(""CURRENCY:INRBRL"") * I1083
"),158.92163915161998)</f>
        <v>158.9216392</v>
      </c>
      <c r="M1083" s="9">
        <v>4.0</v>
      </c>
      <c r="N1083" s="9">
        <v>26164.0</v>
      </c>
      <c r="O1083" s="9" t="s">
        <v>4330</v>
      </c>
      <c r="P1083" s="14" t="s">
        <v>4331</v>
      </c>
      <c r="U1083" s="17"/>
      <c r="V1083" s="18"/>
      <c r="W1083" s="16"/>
      <c r="X1083" s="16"/>
      <c r="Y1083" s="16"/>
    </row>
    <row r="1084">
      <c r="A1084" s="9" t="s">
        <v>4332</v>
      </c>
      <c r="B1084" s="10" t="s">
        <v>4333</v>
      </c>
      <c r="C1084" s="10" t="s">
        <v>4123</v>
      </c>
      <c r="D1084" s="10" t="s">
        <v>2450</v>
      </c>
      <c r="E1084" s="10" t="s">
        <v>4038</v>
      </c>
      <c r="F1084" s="10" t="s">
        <v>4061</v>
      </c>
      <c r="G1084" s="10" t="s">
        <v>4062</v>
      </c>
      <c r="H1084" s="10" t="s">
        <v>4124</v>
      </c>
      <c r="I1084" s="11">
        <v>599.0</v>
      </c>
      <c r="J1084" s="11">
        <v>990.0</v>
      </c>
      <c r="K1084" s="12">
        <f t="shared" si="1"/>
        <v>0.3949494949</v>
      </c>
      <c r="L1084" s="13">
        <f>IFERROR(__xludf.DUMMYFUNCTION("GOOGLEFINANCE(""CURRENCY:INRBRL"") * I1084
"),35.270122953619996)</f>
        <v>35.27012295</v>
      </c>
      <c r="M1084" s="9">
        <v>4.52</v>
      </c>
      <c r="N1084" s="9">
        <v>16166.0</v>
      </c>
      <c r="O1084" s="9" t="s">
        <v>4334</v>
      </c>
      <c r="P1084" s="14" t="s">
        <v>4335</v>
      </c>
      <c r="U1084" s="17"/>
      <c r="V1084" s="18"/>
      <c r="W1084" s="16"/>
      <c r="X1084" s="16"/>
      <c r="Y1084" s="16"/>
    </row>
    <row r="1085">
      <c r="A1085" s="9" t="s">
        <v>4336</v>
      </c>
      <c r="B1085" s="10" t="s">
        <v>4337</v>
      </c>
      <c r="C1085" s="10" t="s">
        <v>4155</v>
      </c>
      <c r="D1085" s="10" t="s">
        <v>2450</v>
      </c>
      <c r="E1085" s="10" t="s">
        <v>4038</v>
      </c>
      <c r="F1085" s="10" t="s">
        <v>4039</v>
      </c>
      <c r="G1085" s="10" t="s">
        <v>4040</v>
      </c>
      <c r="H1085" s="10" t="s">
        <v>4156</v>
      </c>
      <c r="I1085" s="11">
        <v>749.0</v>
      </c>
      <c r="J1085" s="11">
        <v>1111.0</v>
      </c>
      <c r="K1085" s="12">
        <f t="shared" si="1"/>
        <v>0.3258325833</v>
      </c>
      <c r="L1085" s="13">
        <f>IFERROR(__xludf.DUMMYFUNCTION("GOOGLEFINANCE(""CURRENCY:INRBRL"") * I1085
"),44.10237411062)</f>
        <v>44.10237411</v>
      </c>
      <c r="M1085" s="9">
        <v>4.5</v>
      </c>
      <c r="N1085" s="9">
        <v>35693.0</v>
      </c>
      <c r="O1085" s="9" t="s">
        <v>4338</v>
      </c>
      <c r="P1085" s="14" t="s">
        <v>4339</v>
      </c>
      <c r="U1085" s="17"/>
      <c r="V1085" s="18"/>
      <c r="W1085" s="16"/>
      <c r="X1085" s="16"/>
      <c r="Y1085" s="16"/>
    </row>
    <row r="1086">
      <c r="A1086" s="9" t="s">
        <v>4340</v>
      </c>
      <c r="B1086" s="10" t="s">
        <v>4341</v>
      </c>
      <c r="C1086" s="10" t="s">
        <v>4161</v>
      </c>
      <c r="D1086" s="10" t="s">
        <v>2450</v>
      </c>
      <c r="E1086" s="10" t="s">
        <v>4047</v>
      </c>
      <c r="F1086" s="10" t="s">
        <v>4136</v>
      </c>
      <c r="G1086" s="10" t="s">
        <v>4162</v>
      </c>
      <c r="H1086" s="10"/>
      <c r="I1086" s="11">
        <v>6199.0</v>
      </c>
      <c r="J1086" s="11">
        <v>10399.0</v>
      </c>
      <c r="K1086" s="12">
        <f t="shared" si="1"/>
        <v>0.4038849889</v>
      </c>
      <c r="L1086" s="13">
        <f>IFERROR(__xludf.DUMMYFUNCTION("GOOGLEFINANCE(""CURRENCY:INRBRL"") * I1086
"),365.00749948162)</f>
        <v>365.0074995</v>
      </c>
      <c r="M1086" s="9">
        <v>4.49</v>
      </c>
      <c r="N1086" s="9">
        <v>14391.0</v>
      </c>
      <c r="O1086" s="9" t="s">
        <v>4342</v>
      </c>
      <c r="P1086" s="14" t="s">
        <v>4343</v>
      </c>
      <c r="U1086" s="17"/>
      <c r="V1086" s="18"/>
      <c r="W1086" s="16"/>
      <c r="X1086" s="16"/>
      <c r="Y1086" s="16"/>
    </row>
    <row r="1087">
      <c r="A1087" s="9" t="s">
        <v>4344</v>
      </c>
      <c r="B1087" s="10" t="s">
        <v>4345</v>
      </c>
      <c r="C1087" s="10" t="s">
        <v>4346</v>
      </c>
      <c r="D1087" s="10" t="s">
        <v>2450</v>
      </c>
      <c r="E1087" s="10" t="s">
        <v>4038</v>
      </c>
      <c r="F1087" s="10" t="s">
        <v>4039</v>
      </c>
      <c r="G1087" s="10" t="s">
        <v>4347</v>
      </c>
      <c r="H1087" s="10"/>
      <c r="I1087" s="11">
        <v>1819.0</v>
      </c>
      <c r="J1087" s="11">
        <v>2499.0</v>
      </c>
      <c r="K1087" s="12">
        <f t="shared" si="1"/>
        <v>0.2721088435</v>
      </c>
      <c r="L1087" s="13">
        <f>IFERROR(__xludf.DUMMYFUNCTION("GOOGLEFINANCE(""CURRENCY:INRBRL"") * I1087
"),107.10576569722)</f>
        <v>107.1057657</v>
      </c>
      <c r="M1087" s="9">
        <v>4.5</v>
      </c>
      <c r="N1087" s="9">
        <v>7946.0</v>
      </c>
      <c r="O1087" s="9" t="s">
        <v>4348</v>
      </c>
      <c r="P1087" s="14" t="s">
        <v>4349</v>
      </c>
      <c r="U1087" s="17"/>
      <c r="V1087" s="18"/>
      <c r="W1087" s="16"/>
      <c r="X1087" s="16"/>
      <c r="Y1087" s="16"/>
    </row>
    <row r="1088">
      <c r="A1088" s="9" t="s">
        <v>4350</v>
      </c>
      <c r="B1088" s="10" t="s">
        <v>4351</v>
      </c>
      <c r="C1088" s="10" t="s">
        <v>4155</v>
      </c>
      <c r="D1088" s="10" t="s">
        <v>2450</v>
      </c>
      <c r="E1088" s="10" t="s">
        <v>4038</v>
      </c>
      <c r="F1088" s="10" t="s">
        <v>4039</v>
      </c>
      <c r="G1088" s="10" t="s">
        <v>4040</v>
      </c>
      <c r="H1088" s="10" t="s">
        <v>4156</v>
      </c>
      <c r="I1088" s="11">
        <v>1199.0</v>
      </c>
      <c r="J1088" s="11">
        <v>1899.0</v>
      </c>
      <c r="K1088" s="12">
        <f t="shared" si="1"/>
        <v>0.3686150606</v>
      </c>
      <c r="L1088" s="13">
        <f>IFERROR(__xludf.DUMMYFUNCTION("GOOGLEFINANCE(""CURRENCY:INRBRL"") * I1088
"),70.59912758162)</f>
        <v>70.59912758</v>
      </c>
      <c r="M1088" s="9">
        <v>4.0</v>
      </c>
      <c r="N1088" s="9">
        <v>1765.0</v>
      </c>
      <c r="O1088" s="9" t="s">
        <v>4352</v>
      </c>
      <c r="P1088" s="14" t="s">
        <v>4353</v>
      </c>
      <c r="U1088" s="17"/>
      <c r="V1088" s="18"/>
      <c r="W1088" s="16"/>
      <c r="X1088" s="16"/>
      <c r="Y1088" s="16"/>
    </row>
    <row r="1089">
      <c r="A1089" s="9" t="s">
        <v>4354</v>
      </c>
      <c r="B1089" s="10" t="s">
        <v>4355</v>
      </c>
      <c r="C1089" s="10" t="s">
        <v>4129</v>
      </c>
      <c r="D1089" s="10" t="s">
        <v>2450</v>
      </c>
      <c r="E1089" s="10" t="s">
        <v>4038</v>
      </c>
      <c r="F1089" s="10" t="s">
        <v>4039</v>
      </c>
      <c r="G1089" s="10" t="s">
        <v>4130</v>
      </c>
      <c r="H1089" s="10"/>
      <c r="I1089" s="11">
        <v>3249.0</v>
      </c>
      <c r="J1089" s="11">
        <v>6295.0</v>
      </c>
      <c r="K1089" s="12">
        <f t="shared" si="1"/>
        <v>0.4838760921</v>
      </c>
      <c r="L1089" s="13">
        <f>IFERROR(__xludf.DUMMYFUNCTION("GOOGLEFINANCE(""CURRENCY:INRBRL"") * I1089
"),191.30656006062)</f>
        <v>191.3065601</v>
      </c>
      <c r="M1089" s="9">
        <v>4.51</v>
      </c>
      <c r="N1089" s="9">
        <v>14062.0</v>
      </c>
      <c r="O1089" s="9" t="s">
        <v>4356</v>
      </c>
      <c r="P1089" s="14" t="s">
        <v>4357</v>
      </c>
      <c r="U1089" s="17"/>
      <c r="V1089" s="18"/>
      <c r="W1089" s="16"/>
      <c r="X1089" s="16"/>
      <c r="Y1089" s="16"/>
    </row>
    <row r="1090">
      <c r="A1090" s="9" t="s">
        <v>4358</v>
      </c>
      <c r="B1090" s="10" t="s">
        <v>4359</v>
      </c>
      <c r="C1090" s="10" t="s">
        <v>4278</v>
      </c>
      <c r="D1090" s="10" t="s">
        <v>2450</v>
      </c>
      <c r="E1090" s="10" t="s">
        <v>4038</v>
      </c>
      <c r="F1090" s="10" t="s">
        <v>4039</v>
      </c>
      <c r="G1090" s="10" t="s">
        <v>4279</v>
      </c>
      <c r="H1090" s="10"/>
      <c r="I1090" s="11">
        <v>349.0</v>
      </c>
      <c r="J1090" s="11">
        <v>999.0</v>
      </c>
      <c r="K1090" s="12">
        <f t="shared" si="1"/>
        <v>0.6506506507</v>
      </c>
      <c r="L1090" s="13">
        <f>IFERROR(__xludf.DUMMYFUNCTION("GOOGLEFINANCE(""CURRENCY:INRBRL"") * I1090
"),20.549704358619998)</f>
        <v>20.54970436</v>
      </c>
      <c r="M1090" s="9">
        <v>4.0</v>
      </c>
      <c r="N1090" s="9">
        <v>15646.0</v>
      </c>
      <c r="O1090" s="9" t="s">
        <v>4360</v>
      </c>
      <c r="P1090" s="14" t="s">
        <v>4361</v>
      </c>
      <c r="U1090" s="17"/>
      <c r="V1090" s="18"/>
      <c r="W1090" s="16"/>
      <c r="X1090" s="16"/>
      <c r="Y1090" s="16"/>
    </row>
    <row r="1091">
      <c r="A1091" s="9" t="s">
        <v>4362</v>
      </c>
      <c r="B1091" s="10" t="s">
        <v>4363</v>
      </c>
      <c r="C1091" s="10" t="s">
        <v>4054</v>
      </c>
      <c r="D1091" s="10" t="s">
        <v>2450</v>
      </c>
      <c r="E1091" s="10" t="s">
        <v>4047</v>
      </c>
      <c r="F1091" s="10" t="s">
        <v>4048</v>
      </c>
      <c r="G1091" s="10" t="s">
        <v>4055</v>
      </c>
      <c r="H1091" s="10"/>
      <c r="I1091" s="11">
        <v>1049.0</v>
      </c>
      <c r="J1091" s="11">
        <v>1699.0</v>
      </c>
      <c r="K1091" s="12">
        <f t="shared" si="1"/>
        <v>0.3825779871</v>
      </c>
      <c r="L1091" s="13">
        <f>IFERROR(__xludf.DUMMYFUNCTION("GOOGLEFINANCE(""CURRENCY:INRBRL"") * I1091
"),61.76687642462)</f>
        <v>61.76687642</v>
      </c>
      <c r="M1091" s="9">
        <v>4.49</v>
      </c>
      <c r="N1091" s="9">
        <v>111.0</v>
      </c>
      <c r="O1091" s="9" t="s">
        <v>4364</v>
      </c>
      <c r="P1091" s="14" t="s">
        <v>4365</v>
      </c>
      <c r="U1091" s="17"/>
      <c r="V1091" s="18"/>
      <c r="W1091" s="16"/>
      <c r="X1091" s="16"/>
      <c r="Y1091" s="16"/>
    </row>
    <row r="1092">
      <c r="A1092" s="9" t="s">
        <v>4366</v>
      </c>
      <c r="B1092" s="10" t="s">
        <v>4367</v>
      </c>
      <c r="C1092" s="10" t="s">
        <v>4368</v>
      </c>
      <c r="D1092" s="10" t="s">
        <v>2450</v>
      </c>
      <c r="E1092" s="10" t="s">
        <v>4038</v>
      </c>
      <c r="F1092" s="10" t="s">
        <v>4039</v>
      </c>
      <c r="G1092" s="10" t="s">
        <v>4069</v>
      </c>
      <c r="H1092" s="10" t="s">
        <v>4369</v>
      </c>
      <c r="I1092" s="11">
        <v>799.0</v>
      </c>
      <c r="J1092" s="11">
        <v>1499.0</v>
      </c>
      <c r="K1092" s="12">
        <f t="shared" si="1"/>
        <v>0.4669779853</v>
      </c>
      <c r="L1092" s="13">
        <f>IFERROR(__xludf.DUMMYFUNCTION("GOOGLEFINANCE(""CURRENCY:INRBRL"") * I1092
"),47.046457829619996)</f>
        <v>47.04645783</v>
      </c>
      <c r="M1092" s="9">
        <v>4.5</v>
      </c>
      <c r="N1092" s="9">
        <v>9695.0</v>
      </c>
      <c r="O1092" s="9" t="s">
        <v>4370</v>
      </c>
      <c r="P1092" s="14" t="s">
        <v>4371</v>
      </c>
      <c r="U1092" s="17"/>
      <c r="V1092" s="18"/>
      <c r="W1092" s="16"/>
      <c r="X1092" s="16"/>
      <c r="Y1092" s="16"/>
    </row>
    <row r="1093">
      <c r="A1093" s="9" t="s">
        <v>4372</v>
      </c>
      <c r="B1093" s="10" t="s">
        <v>4373</v>
      </c>
      <c r="C1093" s="10" t="s">
        <v>4161</v>
      </c>
      <c r="D1093" s="10" t="s">
        <v>2450</v>
      </c>
      <c r="E1093" s="10" t="s">
        <v>4047</v>
      </c>
      <c r="F1093" s="10" t="s">
        <v>4136</v>
      </c>
      <c r="G1093" s="10" t="s">
        <v>4162</v>
      </c>
      <c r="H1093" s="10"/>
      <c r="I1093" s="11">
        <v>4999.0</v>
      </c>
      <c r="J1093" s="11">
        <v>9649.0</v>
      </c>
      <c r="K1093" s="12">
        <f t="shared" si="1"/>
        <v>0.4819152244</v>
      </c>
      <c r="L1093" s="13">
        <f>IFERROR(__xludf.DUMMYFUNCTION("GOOGLEFINANCE(""CURRENCY:INRBRL"") * I1093
"),294.34949022562)</f>
        <v>294.3494902</v>
      </c>
      <c r="M1093" s="9">
        <v>4.5</v>
      </c>
      <c r="N1093" s="9">
        <v>1772.0</v>
      </c>
      <c r="O1093" s="9" t="s">
        <v>4374</v>
      </c>
      <c r="P1093" s="14" t="s">
        <v>4375</v>
      </c>
      <c r="U1093" s="17"/>
      <c r="V1093" s="18"/>
      <c r="W1093" s="16"/>
      <c r="X1093" s="16"/>
      <c r="Y1093" s="16"/>
    </row>
    <row r="1094">
      <c r="A1094" s="9" t="s">
        <v>4376</v>
      </c>
      <c r="B1094" s="10" t="s">
        <v>4377</v>
      </c>
      <c r="C1094" s="10" t="s">
        <v>4129</v>
      </c>
      <c r="D1094" s="10" t="s">
        <v>2450</v>
      </c>
      <c r="E1094" s="10" t="s">
        <v>4038</v>
      </c>
      <c r="F1094" s="10" t="s">
        <v>4039</v>
      </c>
      <c r="G1094" s="10" t="s">
        <v>4130</v>
      </c>
      <c r="H1094" s="10"/>
      <c r="I1094" s="11">
        <v>6999.0</v>
      </c>
      <c r="J1094" s="11">
        <v>10599.0</v>
      </c>
      <c r="K1094" s="12">
        <f t="shared" si="1"/>
        <v>0.3396546844</v>
      </c>
      <c r="L1094" s="13">
        <f>IFERROR(__xludf.DUMMYFUNCTION("GOOGLEFINANCE(""CURRENCY:INRBRL"") * I1094
"),412.11283898562)</f>
        <v>412.112839</v>
      </c>
      <c r="M1094" s="9">
        <v>4.5</v>
      </c>
      <c r="N1094" s="9">
        <v>11499.0</v>
      </c>
      <c r="O1094" s="9" t="s">
        <v>4378</v>
      </c>
      <c r="P1094" s="14" t="s">
        <v>4379</v>
      </c>
      <c r="U1094" s="17"/>
      <c r="V1094" s="18"/>
      <c r="W1094" s="16"/>
      <c r="X1094" s="16"/>
      <c r="Y1094" s="16"/>
    </row>
    <row r="1095">
      <c r="A1095" s="9" t="s">
        <v>4380</v>
      </c>
      <c r="B1095" s="10" t="s">
        <v>4381</v>
      </c>
      <c r="C1095" s="10" t="s">
        <v>4068</v>
      </c>
      <c r="D1095" s="10" t="s">
        <v>2450</v>
      </c>
      <c r="E1095" s="10" t="s">
        <v>4038</v>
      </c>
      <c r="F1095" s="10" t="s">
        <v>4039</v>
      </c>
      <c r="G1095" s="10" t="s">
        <v>4069</v>
      </c>
      <c r="H1095" s="10"/>
      <c r="I1095" s="11">
        <v>799.0</v>
      </c>
      <c r="J1095" s="11">
        <v>1999.0</v>
      </c>
      <c r="K1095" s="12">
        <f t="shared" si="1"/>
        <v>0.6003001501</v>
      </c>
      <c r="L1095" s="13">
        <f>IFERROR(__xludf.DUMMYFUNCTION("GOOGLEFINANCE(""CURRENCY:INRBRL"") * I1095
"),47.046457829619996)</f>
        <v>47.04645783</v>
      </c>
      <c r="M1095" s="9">
        <v>4.49</v>
      </c>
      <c r="N1095" s="9">
        <v>2162.0</v>
      </c>
      <c r="O1095" s="9" t="s">
        <v>4382</v>
      </c>
      <c r="P1095" s="14" t="s">
        <v>4383</v>
      </c>
      <c r="U1095" s="17"/>
      <c r="V1095" s="18"/>
      <c r="W1095" s="16"/>
      <c r="X1095" s="16"/>
      <c r="Y1095" s="16"/>
    </row>
    <row r="1096">
      <c r="A1096" s="9" t="s">
        <v>4384</v>
      </c>
      <c r="B1096" s="10" t="s">
        <v>4385</v>
      </c>
      <c r="C1096" s="10" t="s">
        <v>4386</v>
      </c>
      <c r="D1096" s="10" t="s">
        <v>2450</v>
      </c>
      <c r="E1096" s="10" t="s">
        <v>4038</v>
      </c>
      <c r="F1096" s="10" t="s">
        <v>4039</v>
      </c>
      <c r="G1096" s="10" t="s">
        <v>4387</v>
      </c>
      <c r="H1096" s="10"/>
      <c r="I1096" s="11">
        <v>89.0</v>
      </c>
      <c r="J1096" s="11">
        <v>89.0</v>
      </c>
      <c r="K1096" s="12">
        <f t="shared" si="1"/>
        <v>0</v>
      </c>
      <c r="L1096" s="13">
        <f>IFERROR(__xludf.DUMMYFUNCTION("GOOGLEFINANCE(""CURRENCY:INRBRL"") * I1096
"),5.24046901982)</f>
        <v>5.24046902</v>
      </c>
      <c r="M1096" s="9">
        <v>4.5</v>
      </c>
      <c r="N1096" s="9">
        <v>19621.0</v>
      </c>
      <c r="O1096" s="9" t="s">
        <v>4388</v>
      </c>
      <c r="P1096" s="14" t="s">
        <v>4389</v>
      </c>
      <c r="U1096" s="17"/>
      <c r="V1096" s="18"/>
      <c r="W1096" s="16"/>
      <c r="X1096" s="16"/>
      <c r="Y1096" s="16"/>
    </row>
    <row r="1097">
      <c r="A1097" s="9" t="s">
        <v>4390</v>
      </c>
      <c r="B1097" s="10" t="s">
        <v>4391</v>
      </c>
      <c r="C1097" s="10" t="s">
        <v>4392</v>
      </c>
      <c r="D1097" s="10" t="s">
        <v>2450</v>
      </c>
      <c r="E1097" s="10" t="s">
        <v>4047</v>
      </c>
      <c r="F1097" s="10" t="s">
        <v>4393</v>
      </c>
      <c r="G1097" s="10" t="s">
        <v>4394</v>
      </c>
      <c r="H1097" s="10"/>
      <c r="I1097" s="11">
        <v>1399.0</v>
      </c>
      <c r="J1097" s="11">
        <v>2485.0</v>
      </c>
      <c r="K1097" s="12">
        <f t="shared" si="1"/>
        <v>0.4370221328</v>
      </c>
      <c r="L1097" s="13">
        <f>IFERROR(__xludf.DUMMYFUNCTION("GOOGLEFINANCE(""CURRENCY:INRBRL"") * I1097
"),82.37546245762)</f>
        <v>82.37546246</v>
      </c>
      <c r="M1097" s="9">
        <v>4.49</v>
      </c>
      <c r="N1097" s="9">
        <v>19998.0</v>
      </c>
      <c r="O1097" s="9" t="s">
        <v>4395</v>
      </c>
      <c r="P1097" s="14" t="s">
        <v>4396</v>
      </c>
      <c r="U1097" s="17"/>
      <c r="V1097" s="18"/>
      <c r="W1097" s="16"/>
      <c r="X1097" s="16"/>
      <c r="Y1097" s="16"/>
    </row>
    <row r="1098">
      <c r="A1098" s="9" t="s">
        <v>4397</v>
      </c>
      <c r="B1098" s="10" t="s">
        <v>4398</v>
      </c>
      <c r="C1098" s="10" t="s">
        <v>4212</v>
      </c>
      <c r="D1098" s="10" t="s">
        <v>2450</v>
      </c>
      <c r="E1098" s="10" t="s">
        <v>4213</v>
      </c>
      <c r="F1098" s="10" t="s">
        <v>4214</v>
      </c>
      <c r="G1098" s="10" t="s">
        <v>4215</v>
      </c>
      <c r="H1098" s="10"/>
      <c r="I1098" s="11">
        <v>355.0</v>
      </c>
      <c r="J1098" s="11">
        <v>899.0</v>
      </c>
      <c r="K1098" s="12">
        <f t="shared" si="1"/>
        <v>0.6051167964</v>
      </c>
      <c r="L1098" s="13">
        <f>IFERROR(__xludf.DUMMYFUNCTION("GOOGLEFINANCE(""CURRENCY:INRBRL"") * I1098
"),20.9029944049)</f>
        <v>20.9029944</v>
      </c>
      <c r="M1098" s="9">
        <v>4.49</v>
      </c>
      <c r="N1098" s="9">
        <v>1051.0</v>
      </c>
      <c r="O1098" s="9" t="s">
        <v>4399</v>
      </c>
      <c r="P1098" s="14" t="s">
        <v>4400</v>
      </c>
      <c r="U1098" s="17"/>
      <c r="V1098" s="18"/>
      <c r="W1098" s="16"/>
      <c r="X1098" s="16"/>
      <c r="Y1098" s="16"/>
    </row>
    <row r="1099">
      <c r="A1099" s="9" t="s">
        <v>4401</v>
      </c>
      <c r="B1099" s="10" t="s">
        <v>4402</v>
      </c>
      <c r="C1099" s="10" t="s">
        <v>4046</v>
      </c>
      <c r="D1099" s="10" t="s">
        <v>2450</v>
      </c>
      <c r="E1099" s="10" t="s">
        <v>4047</v>
      </c>
      <c r="F1099" s="10" t="s">
        <v>4048</v>
      </c>
      <c r="G1099" s="10" t="s">
        <v>4049</v>
      </c>
      <c r="H1099" s="10"/>
      <c r="I1099" s="11">
        <v>2169.0</v>
      </c>
      <c r="J1099" s="11">
        <v>3279.0</v>
      </c>
      <c r="K1099" s="12">
        <f t="shared" si="1"/>
        <v>0.3385178408</v>
      </c>
      <c r="L1099" s="13">
        <f>IFERROR(__xludf.DUMMYFUNCTION("GOOGLEFINANCE(""CURRENCY:INRBRL"") * I1099
"),127.71435173022)</f>
        <v>127.7143517</v>
      </c>
      <c r="M1099" s="9">
        <v>4.49</v>
      </c>
      <c r="N1099" s="9">
        <v>1716.0</v>
      </c>
      <c r="O1099" s="9" t="s">
        <v>4403</v>
      </c>
      <c r="P1099" s="14" t="s">
        <v>4404</v>
      </c>
      <c r="U1099" s="17"/>
      <c r="V1099" s="18"/>
      <c r="W1099" s="16"/>
      <c r="X1099" s="16"/>
      <c r="Y1099" s="16"/>
    </row>
    <row r="1100">
      <c r="A1100" s="9" t="s">
        <v>4405</v>
      </c>
      <c r="B1100" s="10" t="s">
        <v>4406</v>
      </c>
      <c r="C1100" s="10" t="s">
        <v>4407</v>
      </c>
      <c r="D1100" s="10" t="s">
        <v>2450</v>
      </c>
      <c r="E1100" s="10" t="s">
        <v>4038</v>
      </c>
      <c r="F1100" s="10" t="s">
        <v>4061</v>
      </c>
      <c r="G1100" s="10" t="s">
        <v>4252</v>
      </c>
      <c r="H1100" s="10" t="s">
        <v>4253</v>
      </c>
      <c r="I1100" s="11">
        <v>2799.0</v>
      </c>
      <c r="J1100" s="11">
        <v>3799.0</v>
      </c>
      <c r="K1100" s="12">
        <f t="shared" si="1"/>
        <v>0.263227165</v>
      </c>
      <c r="L1100" s="13">
        <f>IFERROR(__xludf.DUMMYFUNCTION("GOOGLEFINANCE(""CURRENCY:INRBRL"") * I1100
"),164.80980658962)</f>
        <v>164.8098066</v>
      </c>
      <c r="M1100" s="9">
        <v>4.52</v>
      </c>
      <c r="N1100" s="9">
        <v>32931.0</v>
      </c>
      <c r="O1100" s="9" t="s">
        <v>4408</v>
      </c>
      <c r="P1100" s="14" t="s">
        <v>4409</v>
      </c>
      <c r="U1100" s="17"/>
      <c r="V1100" s="18"/>
      <c r="W1100" s="16"/>
      <c r="X1100" s="16"/>
      <c r="Y1100" s="16"/>
    </row>
    <row r="1101">
      <c r="A1101" s="9" t="s">
        <v>4410</v>
      </c>
      <c r="B1101" s="10" t="s">
        <v>4411</v>
      </c>
      <c r="C1101" s="10" t="s">
        <v>4037</v>
      </c>
      <c r="D1101" s="10" t="s">
        <v>2450</v>
      </c>
      <c r="E1101" s="10" t="s">
        <v>4038</v>
      </c>
      <c r="F1101" s="10" t="s">
        <v>4039</v>
      </c>
      <c r="G1101" s="10" t="s">
        <v>4040</v>
      </c>
      <c r="H1101" s="10" t="s">
        <v>4041</v>
      </c>
      <c r="I1101" s="11">
        <v>899.0</v>
      </c>
      <c r="J1101" s="11">
        <v>1249.0</v>
      </c>
      <c r="K1101" s="12">
        <f t="shared" si="1"/>
        <v>0.2802241793</v>
      </c>
      <c r="L1101" s="13">
        <f>IFERROR(__xludf.DUMMYFUNCTION("GOOGLEFINANCE(""CURRENCY:INRBRL"") * I1101
"),52.93462526762)</f>
        <v>52.93462527</v>
      </c>
      <c r="M1101" s="9">
        <v>4.52</v>
      </c>
      <c r="N1101" s="9">
        <v>17424.0</v>
      </c>
      <c r="O1101" s="9" t="s">
        <v>4412</v>
      </c>
      <c r="P1101" s="14" t="s">
        <v>4413</v>
      </c>
      <c r="U1101" s="17"/>
      <c r="V1101" s="18"/>
      <c r="W1101" s="16"/>
      <c r="X1101" s="16"/>
      <c r="Y1101" s="16"/>
    </row>
    <row r="1102">
      <c r="A1102" s="9" t="s">
        <v>4414</v>
      </c>
      <c r="B1102" s="10" t="s">
        <v>4415</v>
      </c>
      <c r="C1102" s="10" t="s">
        <v>4142</v>
      </c>
      <c r="D1102" s="10" t="s">
        <v>2450</v>
      </c>
      <c r="E1102" s="10" t="s">
        <v>4047</v>
      </c>
      <c r="F1102" s="10" t="s">
        <v>4048</v>
      </c>
      <c r="G1102" s="10"/>
      <c r="H1102" s="10"/>
      <c r="I1102" s="11">
        <v>2.5</v>
      </c>
      <c r="J1102" s="11">
        <v>4999.0</v>
      </c>
      <c r="K1102" s="12">
        <f t="shared" si="1"/>
        <v>0.9994999</v>
      </c>
      <c r="L1102" s="13">
        <f>IFERROR(__xludf.DUMMYFUNCTION("GOOGLEFINANCE(""CURRENCY:INRBRL"") * I1102
"),0.14720418595)</f>
        <v>0.147204186</v>
      </c>
      <c r="M1102" s="9">
        <v>4.51</v>
      </c>
      <c r="N1102" s="9">
        <v>1889.0</v>
      </c>
      <c r="O1102" s="9" t="s">
        <v>4416</v>
      </c>
      <c r="P1102" s="14" t="s">
        <v>4417</v>
      </c>
      <c r="U1102" s="17"/>
      <c r="V1102" s="18"/>
      <c r="W1102" s="16"/>
      <c r="X1102" s="16"/>
      <c r="Y1102" s="16"/>
    </row>
    <row r="1103">
      <c r="A1103" s="9" t="s">
        <v>4418</v>
      </c>
      <c r="B1103" s="10" t="s">
        <v>4419</v>
      </c>
      <c r="C1103" s="10" t="s">
        <v>4135</v>
      </c>
      <c r="D1103" s="10" t="s">
        <v>2450</v>
      </c>
      <c r="E1103" s="10" t="s">
        <v>4047</v>
      </c>
      <c r="F1103" s="10" t="s">
        <v>4136</v>
      </c>
      <c r="G1103" s="10" t="s">
        <v>4137</v>
      </c>
      <c r="H1103" s="10"/>
      <c r="I1103" s="11">
        <v>3.6</v>
      </c>
      <c r="J1103" s="11">
        <v>7299.0</v>
      </c>
      <c r="K1103" s="12">
        <f t="shared" si="1"/>
        <v>0.9995067818</v>
      </c>
      <c r="L1103" s="13">
        <f>IFERROR(__xludf.DUMMYFUNCTION("GOOGLEFINANCE(""CURRENCY:INRBRL"") * I1103
"),0.211974027768)</f>
        <v>0.2119740278</v>
      </c>
      <c r="M1103" s="9">
        <v>4.0</v>
      </c>
      <c r="N1103" s="9">
        <v>10324.0</v>
      </c>
      <c r="O1103" s="9" t="s">
        <v>4420</v>
      </c>
      <c r="P1103" s="14" t="s">
        <v>4421</v>
      </c>
      <c r="U1103" s="17"/>
      <c r="V1103" s="18"/>
      <c r="W1103" s="16"/>
      <c r="X1103" s="16"/>
      <c r="Y1103" s="16"/>
    </row>
    <row r="1104">
      <c r="A1104" s="9" t="s">
        <v>4422</v>
      </c>
      <c r="B1104" s="10" t="s">
        <v>4423</v>
      </c>
      <c r="C1104" s="10" t="s">
        <v>4123</v>
      </c>
      <c r="D1104" s="10" t="s">
        <v>2450</v>
      </c>
      <c r="E1104" s="10" t="s">
        <v>4038</v>
      </c>
      <c r="F1104" s="10" t="s">
        <v>4061</v>
      </c>
      <c r="G1104" s="10" t="s">
        <v>4062</v>
      </c>
      <c r="H1104" s="10" t="s">
        <v>4124</v>
      </c>
      <c r="I1104" s="11">
        <v>499.0</v>
      </c>
      <c r="J1104" s="11">
        <v>625.0</v>
      </c>
      <c r="K1104" s="12">
        <f t="shared" si="1"/>
        <v>0.2016</v>
      </c>
      <c r="L1104" s="13">
        <f>IFERROR(__xludf.DUMMYFUNCTION("GOOGLEFINANCE(""CURRENCY:INRBRL"") * I1104
"),29.38195551562)</f>
        <v>29.38195552</v>
      </c>
      <c r="M1104" s="9">
        <v>4.5</v>
      </c>
      <c r="N1104" s="9">
        <v>5355.0</v>
      </c>
      <c r="O1104" s="9" t="s">
        <v>4424</v>
      </c>
      <c r="P1104" s="14" t="s">
        <v>4425</v>
      </c>
      <c r="U1104" s="17"/>
      <c r="V1104" s="18"/>
      <c r="W1104" s="16"/>
      <c r="X1104" s="16"/>
      <c r="Y1104" s="16"/>
    </row>
    <row r="1105">
      <c r="A1105" s="9" t="s">
        <v>4426</v>
      </c>
      <c r="B1105" s="10" t="s">
        <v>4427</v>
      </c>
      <c r="C1105" s="10" t="s">
        <v>4191</v>
      </c>
      <c r="D1105" s="10" t="s">
        <v>2450</v>
      </c>
      <c r="E1105" s="10" t="s">
        <v>4047</v>
      </c>
      <c r="F1105" s="10" t="s">
        <v>4136</v>
      </c>
      <c r="G1105" s="10" t="s">
        <v>4192</v>
      </c>
      <c r="H1105" s="10"/>
      <c r="I1105" s="11">
        <v>653.0</v>
      </c>
      <c r="J1105" s="11">
        <v>1099.0</v>
      </c>
      <c r="K1105" s="12">
        <f t="shared" si="1"/>
        <v>0.4058234759</v>
      </c>
      <c r="L1105" s="13">
        <f>IFERROR(__xludf.DUMMYFUNCTION("GOOGLEFINANCE(""CURRENCY:INRBRL"") * I1105
"),38.44973337014)</f>
        <v>38.44973337</v>
      </c>
      <c r="M1105" s="9">
        <v>4.49</v>
      </c>
      <c r="N1105" s="9">
        <v>3366.0</v>
      </c>
      <c r="O1105" s="9" t="s">
        <v>4428</v>
      </c>
      <c r="P1105" s="14" t="s">
        <v>4429</v>
      </c>
      <c r="U1105" s="17"/>
      <c r="V1105" s="18"/>
      <c r="W1105" s="16"/>
      <c r="X1105" s="16"/>
      <c r="Y1105" s="16"/>
    </row>
    <row r="1106">
      <c r="A1106" s="9" t="s">
        <v>4430</v>
      </c>
      <c r="B1106" s="10" t="s">
        <v>4431</v>
      </c>
      <c r="C1106" s="10" t="s">
        <v>4432</v>
      </c>
      <c r="D1106" s="10" t="s">
        <v>2450</v>
      </c>
      <c r="E1106" s="10" t="s">
        <v>4038</v>
      </c>
      <c r="F1106" s="10" t="s">
        <v>4061</v>
      </c>
      <c r="G1106" s="10" t="s">
        <v>4433</v>
      </c>
      <c r="H1106" s="10"/>
      <c r="I1106" s="11">
        <v>4789.0</v>
      </c>
      <c r="J1106" s="11">
        <v>8999.0</v>
      </c>
      <c r="K1106" s="12">
        <f t="shared" si="1"/>
        <v>0.4678297589</v>
      </c>
      <c r="L1106" s="13">
        <f>IFERROR(__xludf.DUMMYFUNCTION("GOOGLEFINANCE(""CURRENCY:INRBRL"") * I1106
"),281.98433860581997)</f>
        <v>281.9843386</v>
      </c>
      <c r="M1106" s="9">
        <v>4.5</v>
      </c>
      <c r="N1106" s="9">
        <v>1017.0</v>
      </c>
      <c r="O1106" s="9" t="s">
        <v>4434</v>
      </c>
      <c r="P1106" s="14" t="s">
        <v>4435</v>
      </c>
      <c r="U1106" s="17"/>
      <c r="V1106" s="18"/>
      <c r="W1106" s="16"/>
      <c r="X1106" s="16"/>
      <c r="Y1106" s="16"/>
    </row>
    <row r="1107">
      <c r="A1107" s="9" t="s">
        <v>4436</v>
      </c>
      <c r="B1107" s="10" t="s">
        <v>4437</v>
      </c>
      <c r="C1107" s="10" t="s">
        <v>4438</v>
      </c>
      <c r="D1107" s="10" t="s">
        <v>2450</v>
      </c>
      <c r="E1107" s="10" t="s">
        <v>4047</v>
      </c>
      <c r="F1107" s="10" t="s">
        <v>4048</v>
      </c>
      <c r="G1107" s="10" t="s">
        <v>4439</v>
      </c>
      <c r="H1107" s="10"/>
      <c r="I1107" s="11">
        <v>1409.0</v>
      </c>
      <c r="J1107" s="11">
        <v>1639.0</v>
      </c>
      <c r="K1107" s="12">
        <f t="shared" si="1"/>
        <v>0.1403294692</v>
      </c>
      <c r="L1107" s="13">
        <f>IFERROR(__xludf.DUMMYFUNCTION("GOOGLEFINANCE(""CURRENCY:INRBRL"") * I1107
"),82.96427920142)</f>
        <v>82.9642792</v>
      </c>
      <c r="M1107" s="9">
        <v>4.51</v>
      </c>
      <c r="N1107" s="9">
        <v>787.0</v>
      </c>
      <c r="O1107" s="9" t="s">
        <v>4440</v>
      </c>
      <c r="P1107" s="14" t="s">
        <v>4441</v>
      </c>
      <c r="U1107" s="17"/>
      <c r="V1107" s="18"/>
      <c r="W1107" s="16"/>
      <c r="X1107" s="16"/>
      <c r="Y1107" s="16"/>
    </row>
    <row r="1108">
      <c r="A1108" s="9" t="s">
        <v>4442</v>
      </c>
      <c r="B1108" s="10" t="s">
        <v>4443</v>
      </c>
      <c r="C1108" s="10" t="s">
        <v>4117</v>
      </c>
      <c r="D1108" s="10" t="s">
        <v>2450</v>
      </c>
      <c r="E1108" s="10" t="s">
        <v>4038</v>
      </c>
      <c r="F1108" s="10" t="s">
        <v>4039</v>
      </c>
      <c r="G1108" s="10" t="s">
        <v>4118</v>
      </c>
      <c r="H1108" s="10"/>
      <c r="I1108" s="11">
        <v>753.0</v>
      </c>
      <c r="J1108" s="11">
        <v>899.0</v>
      </c>
      <c r="K1108" s="12">
        <f t="shared" si="1"/>
        <v>0.1624026696</v>
      </c>
      <c r="L1108" s="13">
        <f>IFERROR(__xludf.DUMMYFUNCTION("GOOGLEFINANCE(""CURRENCY:INRBRL"") * I1108
"),44.33790080814)</f>
        <v>44.33790081</v>
      </c>
      <c r="M1108" s="9">
        <v>4.5</v>
      </c>
      <c r="N1108" s="9">
        <v>18462.0</v>
      </c>
      <c r="O1108" s="9" t="s">
        <v>4444</v>
      </c>
      <c r="P1108" s="14" t="s">
        <v>4445</v>
      </c>
      <c r="U1108" s="17"/>
      <c r="V1108" s="18"/>
      <c r="W1108" s="16"/>
      <c r="X1108" s="16"/>
      <c r="Y1108" s="16"/>
    </row>
    <row r="1109">
      <c r="A1109" s="9" t="s">
        <v>4446</v>
      </c>
      <c r="B1109" s="10" t="s">
        <v>4447</v>
      </c>
      <c r="C1109" s="10" t="s">
        <v>4278</v>
      </c>
      <c r="D1109" s="10" t="s">
        <v>2450</v>
      </c>
      <c r="E1109" s="10" t="s">
        <v>4038</v>
      </c>
      <c r="F1109" s="10" t="s">
        <v>4039</v>
      </c>
      <c r="G1109" s="10" t="s">
        <v>4279</v>
      </c>
      <c r="H1109" s="10"/>
      <c r="I1109" s="11">
        <v>353.0</v>
      </c>
      <c r="J1109" s="11">
        <v>1199.0</v>
      </c>
      <c r="K1109" s="12">
        <f t="shared" si="1"/>
        <v>0.70558799</v>
      </c>
      <c r="L1109" s="13">
        <f>IFERROR(__xludf.DUMMYFUNCTION("GOOGLEFINANCE(""CURRENCY:INRBRL"") * I1109
"),20.78523105614)</f>
        <v>20.78523106</v>
      </c>
      <c r="M1109" s="9">
        <v>4.5</v>
      </c>
      <c r="N1109" s="9">
        <v>629.0</v>
      </c>
      <c r="O1109" s="9" t="s">
        <v>4448</v>
      </c>
      <c r="P1109" s="14" t="s">
        <v>4449</v>
      </c>
      <c r="U1109" s="17"/>
      <c r="V1109" s="18"/>
      <c r="W1109" s="16"/>
      <c r="X1109" s="16"/>
      <c r="Y1109" s="16"/>
    </row>
    <row r="1110">
      <c r="A1110" s="9" t="s">
        <v>4450</v>
      </c>
      <c r="B1110" s="10" t="s">
        <v>4451</v>
      </c>
      <c r="C1110" s="10" t="s">
        <v>4068</v>
      </c>
      <c r="D1110" s="10" t="s">
        <v>2450</v>
      </c>
      <c r="E1110" s="10" t="s">
        <v>4038</v>
      </c>
      <c r="F1110" s="10" t="s">
        <v>4039</v>
      </c>
      <c r="G1110" s="10" t="s">
        <v>4069</v>
      </c>
      <c r="H1110" s="10"/>
      <c r="I1110" s="11">
        <v>1099.0</v>
      </c>
      <c r="J1110" s="11">
        <v>1899.0</v>
      </c>
      <c r="K1110" s="12">
        <f t="shared" si="1"/>
        <v>0.4212743549</v>
      </c>
      <c r="L1110" s="13">
        <f>IFERROR(__xludf.DUMMYFUNCTION("GOOGLEFINANCE(""CURRENCY:INRBRL"") * I1110
"),64.71096014362)</f>
        <v>64.71096014</v>
      </c>
      <c r="M1110" s="9">
        <v>4.5</v>
      </c>
      <c r="N1110" s="9">
        <v>15276.0</v>
      </c>
      <c r="O1110" s="9" t="s">
        <v>4452</v>
      </c>
      <c r="P1110" s="14" t="s">
        <v>4453</v>
      </c>
      <c r="U1110" s="17"/>
      <c r="V1110" s="18"/>
      <c r="W1110" s="16"/>
      <c r="X1110" s="16"/>
      <c r="Y1110" s="16"/>
    </row>
    <row r="1111">
      <c r="A1111" s="9" t="s">
        <v>4454</v>
      </c>
      <c r="B1111" s="10" t="s">
        <v>4455</v>
      </c>
      <c r="C1111" s="10" t="s">
        <v>4205</v>
      </c>
      <c r="D1111" s="10" t="s">
        <v>2450</v>
      </c>
      <c r="E1111" s="10" t="s">
        <v>4038</v>
      </c>
      <c r="F1111" s="10" t="s">
        <v>4039</v>
      </c>
      <c r="G1111" s="10" t="s">
        <v>4206</v>
      </c>
      <c r="H1111" s="10" t="s">
        <v>4207</v>
      </c>
      <c r="I1111" s="11">
        <v>8799.0</v>
      </c>
      <c r="J1111" s="11">
        <v>11595.0</v>
      </c>
      <c r="K1111" s="12">
        <f t="shared" si="1"/>
        <v>0.2411384217</v>
      </c>
      <c r="L1111" s="13">
        <f>IFERROR(__xludf.DUMMYFUNCTION("GOOGLEFINANCE(""CURRENCY:INRBRL"") * I1111
"),518.09985286962)</f>
        <v>518.0998529</v>
      </c>
      <c r="M1111" s="9">
        <v>4.5</v>
      </c>
      <c r="N1111" s="9">
        <v>2981.0</v>
      </c>
      <c r="O1111" s="9" t="s">
        <v>4456</v>
      </c>
      <c r="P1111" s="14" t="s">
        <v>4457</v>
      </c>
      <c r="U1111" s="17"/>
      <c r="V1111" s="18"/>
      <c r="W1111" s="16"/>
      <c r="X1111" s="16"/>
      <c r="Y1111" s="16"/>
    </row>
    <row r="1112">
      <c r="A1112" s="9" t="s">
        <v>4458</v>
      </c>
      <c r="B1112" s="10" t="s">
        <v>4459</v>
      </c>
      <c r="C1112" s="10" t="s">
        <v>4037</v>
      </c>
      <c r="D1112" s="10" t="s">
        <v>2450</v>
      </c>
      <c r="E1112" s="10" t="s">
        <v>4038</v>
      </c>
      <c r="F1112" s="10" t="s">
        <v>4039</v>
      </c>
      <c r="G1112" s="10" t="s">
        <v>4040</v>
      </c>
      <c r="H1112" s="10" t="s">
        <v>4041</v>
      </c>
      <c r="I1112" s="11">
        <v>1345.0</v>
      </c>
      <c r="J1112" s="11">
        <v>1749.0</v>
      </c>
      <c r="K1112" s="12">
        <f t="shared" si="1"/>
        <v>0.2309891366</v>
      </c>
      <c r="L1112" s="13">
        <f>IFERROR(__xludf.DUMMYFUNCTION("GOOGLEFINANCE(""CURRENCY:INRBRL"") * I1112
"),79.1958520411)</f>
        <v>79.19585204</v>
      </c>
      <c r="M1112" s="9">
        <v>4.51</v>
      </c>
      <c r="N1112" s="9">
        <v>2466.0</v>
      </c>
      <c r="O1112" s="9" t="s">
        <v>4460</v>
      </c>
      <c r="P1112" s="14" t="s">
        <v>4461</v>
      </c>
      <c r="U1112" s="17"/>
      <c r="V1112" s="18"/>
      <c r="W1112" s="16"/>
      <c r="X1112" s="16"/>
      <c r="Y1112" s="16"/>
    </row>
    <row r="1113">
      <c r="A1113" s="9" t="s">
        <v>4462</v>
      </c>
      <c r="B1113" s="10" t="s">
        <v>4463</v>
      </c>
      <c r="C1113" s="10" t="s">
        <v>4464</v>
      </c>
      <c r="D1113" s="10" t="s">
        <v>2450</v>
      </c>
      <c r="E1113" s="10" t="s">
        <v>4038</v>
      </c>
      <c r="F1113" s="10" t="s">
        <v>4039</v>
      </c>
      <c r="G1113" s="10" t="s">
        <v>4465</v>
      </c>
      <c r="H1113" s="10"/>
      <c r="I1113" s="11">
        <v>2095.0</v>
      </c>
      <c r="J1113" s="11">
        <v>2095.0</v>
      </c>
      <c r="K1113" s="12">
        <f t="shared" si="1"/>
        <v>0</v>
      </c>
      <c r="L1113" s="13">
        <f>IFERROR(__xludf.DUMMYFUNCTION("GOOGLEFINANCE(""CURRENCY:INRBRL"") * I1113
"),123.35710782609999)</f>
        <v>123.3571078</v>
      </c>
      <c r="M1113" s="9">
        <v>4.51</v>
      </c>
      <c r="N1113" s="9">
        <v>7949.0</v>
      </c>
      <c r="O1113" s="9" t="s">
        <v>4466</v>
      </c>
      <c r="P1113" s="14" t="s">
        <v>4467</v>
      </c>
      <c r="U1113" s="17"/>
      <c r="V1113" s="18"/>
      <c r="W1113" s="16"/>
      <c r="X1113" s="16"/>
      <c r="Y1113" s="16"/>
    </row>
    <row r="1114">
      <c r="A1114" s="9" t="s">
        <v>4468</v>
      </c>
      <c r="B1114" s="10" t="s">
        <v>4469</v>
      </c>
      <c r="C1114" s="10" t="s">
        <v>4046</v>
      </c>
      <c r="D1114" s="10" t="s">
        <v>2450</v>
      </c>
      <c r="E1114" s="10" t="s">
        <v>4047</v>
      </c>
      <c r="F1114" s="10" t="s">
        <v>4048</v>
      </c>
      <c r="G1114" s="10" t="s">
        <v>4049</v>
      </c>
      <c r="H1114" s="10"/>
      <c r="I1114" s="11">
        <v>1498.0</v>
      </c>
      <c r="J1114" s="11">
        <v>2299.0</v>
      </c>
      <c r="K1114" s="12">
        <f t="shared" si="1"/>
        <v>0.3484123532</v>
      </c>
      <c r="L1114" s="13">
        <f>IFERROR(__xludf.DUMMYFUNCTION("GOOGLEFINANCE(""CURRENCY:INRBRL"") * I1114
"),88.20474822124)</f>
        <v>88.20474822</v>
      </c>
      <c r="M1114" s="9">
        <v>4.51</v>
      </c>
      <c r="N1114" s="9">
        <v>95.0</v>
      </c>
      <c r="O1114" s="9" t="s">
        <v>4470</v>
      </c>
      <c r="P1114" s="14" t="s">
        <v>4471</v>
      </c>
      <c r="U1114" s="17"/>
      <c r="V1114" s="18"/>
      <c r="W1114" s="16"/>
      <c r="X1114" s="16"/>
      <c r="Y1114" s="16"/>
    </row>
    <row r="1115">
      <c r="A1115" s="9" t="s">
        <v>4472</v>
      </c>
      <c r="B1115" s="10" t="s">
        <v>4473</v>
      </c>
      <c r="C1115" s="10" t="s">
        <v>4474</v>
      </c>
      <c r="D1115" s="10" t="s">
        <v>2450</v>
      </c>
      <c r="E1115" s="10" t="s">
        <v>4047</v>
      </c>
      <c r="F1115" s="10" t="s">
        <v>4048</v>
      </c>
      <c r="G1115" s="10" t="s">
        <v>4475</v>
      </c>
      <c r="H1115" s="10"/>
      <c r="I1115" s="11">
        <v>2199.0</v>
      </c>
      <c r="J1115" s="11">
        <v>2999.0</v>
      </c>
      <c r="K1115" s="12">
        <f t="shared" si="1"/>
        <v>0.2667555852</v>
      </c>
      <c r="L1115" s="13">
        <f>IFERROR(__xludf.DUMMYFUNCTION("GOOGLEFINANCE(""CURRENCY:INRBRL"") * I1115
"),129.48080196162)</f>
        <v>129.480802</v>
      </c>
      <c r="M1115" s="9">
        <v>4.51</v>
      </c>
      <c r="N1115" s="9">
        <v>1558.0</v>
      </c>
      <c r="O1115" s="9" t="s">
        <v>4476</v>
      </c>
      <c r="P1115" s="14" t="s">
        <v>4477</v>
      </c>
      <c r="U1115" s="17"/>
      <c r="V1115" s="18"/>
      <c r="W1115" s="16"/>
      <c r="X1115" s="16"/>
      <c r="Y1115" s="16"/>
    </row>
    <row r="1116">
      <c r="A1116" s="9" t="s">
        <v>4478</v>
      </c>
      <c r="B1116" s="10" t="s">
        <v>4479</v>
      </c>
      <c r="C1116" s="10" t="s">
        <v>4129</v>
      </c>
      <c r="D1116" s="10" t="s">
        <v>2450</v>
      </c>
      <c r="E1116" s="10" t="s">
        <v>4038</v>
      </c>
      <c r="F1116" s="10" t="s">
        <v>4039</v>
      </c>
      <c r="G1116" s="10" t="s">
        <v>4130</v>
      </c>
      <c r="H1116" s="10"/>
      <c r="I1116" s="11">
        <v>3699.0</v>
      </c>
      <c r="J1116" s="11">
        <v>4295.0</v>
      </c>
      <c r="K1116" s="12">
        <f t="shared" si="1"/>
        <v>0.138766007</v>
      </c>
      <c r="L1116" s="13">
        <f>IFERROR(__xludf.DUMMYFUNCTION("GOOGLEFINANCE(""CURRENCY:INRBRL"") * I1116
"),217.80331353162)</f>
        <v>217.8033135</v>
      </c>
      <c r="M1116" s="9">
        <v>4.49</v>
      </c>
      <c r="N1116" s="9">
        <v>26543.0</v>
      </c>
      <c r="O1116" s="9" t="s">
        <v>4480</v>
      </c>
      <c r="P1116" s="14" t="s">
        <v>4481</v>
      </c>
      <c r="U1116" s="17"/>
      <c r="V1116" s="18"/>
      <c r="W1116" s="16"/>
      <c r="X1116" s="16"/>
      <c r="Y1116" s="16"/>
    </row>
    <row r="1117">
      <c r="A1117" s="9" t="s">
        <v>4482</v>
      </c>
      <c r="B1117" s="10" t="s">
        <v>4483</v>
      </c>
      <c r="C1117" s="10" t="s">
        <v>4212</v>
      </c>
      <c r="D1117" s="10" t="s">
        <v>2450</v>
      </c>
      <c r="E1117" s="10" t="s">
        <v>4213</v>
      </c>
      <c r="F1117" s="10" t="s">
        <v>4214</v>
      </c>
      <c r="G1117" s="10" t="s">
        <v>4215</v>
      </c>
      <c r="H1117" s="10"/>
      <c r="I1117" s="11">
        <v>177.0</v>
      </c>
      <c r="J1117" s="11">
        <v>199.0</v>
      </c>
      <c r="K1117" s="12">
        <f t="shared" si="1"/>
        <v>0.1105527638</v>
      </c>
      <c r="L1117" s="13">
        <f>IFERROR(__xludf.DUMMYFUNCTION("GOOGLEFINANCE(""CURRENCY:INRBRL"") * I1117
"),10.42205636526)</f>
        <v>10.42205637</v>
      </c>
      <c r="M1117" s="9">
        <v>4.49</v>
      </c>
      <c r="N1117" s="9">
        <v>3688.0</v>
      </c>
      <c r="O1117" s="9" t="s">
        <v>4484</v>
      </c>
      <c r="P1117" s="14" t="s">
        <v>4485</v>
      </c>
      <c r="U1117" s="17"/>
      <c r="V1117" s="18"/>
      <c r="W1117" s="16"/>
      <c r="X1117" s="16"/>
      <c r="Y1117" s="16"/>
    </row>
    <row r="1118">
      <c r="A1118" s="9" t="s">
        <v>4486</v>
      </c>
      <c r="B1118" s="10" t="s">
        <v>4487</v>
      </c>
      <c r="C1118" s="10" t="s">
        <v>4129</v>
      </c>
      <c r="D1118" s="10" t="s">
        <v>2450</v>
      </c>
      <c r="E1118" s="10" t="s">
        <v>4038</v>
      </c>
      <c r="F1118" s="10" t="s">
        <v>4039</v>
      </c>
      <c r="G1118" s="10" t="s">
        <v>4130</v>
      </c>
      <c r="H1118" s="10"/>
      <c r="I1118" s="11">
        <v>1149.0</v>
      </c>
      <c r="J1118" s="11">
        <v>2499.0</v>
      </c>
      <c r="K1118" s="12">
        <f t="shared" si="1"/>
        <v>0.5402160864</v>
      </c>
      <c r="L1118" s="13">
        <f>IFERROR(__xludf.DUMMYFUNCTION("GOOGLEFINANCE(""CURRENCY:INRBRL"") * I1118
"),67.65504386262)</f>
        <v>67.65504386</v>
      </c>
      <c r="M1118" s="9">
        <v>4.51</v>
      </c>
      <c r="N1118" s="9">
        <v>4383.0</v>
      </c>
      <c r="O1118" s="9" t="s">
        <v>4488</v>
      </c>
      <c r="P1118" s="14" t="s">
        <v>4489</v>
      </c>
      <c r="U1118" s="17"/>
      <c r="V1118" s="18"/>
      <c r="W1118" s="16"/>
      <c r="X1118" s="16"/>
      <c r="Y1118" s="16"/>
    </row>
    <row r="1119">
      <c r="A1119" s="9" t="s">
        <v>4490</v>
      </c>
      <c r="B1119" s="10" t="s">
        <v>4491</v>
      </c>
      <c r="C1119" s="10" t="s">
        <v>4492</v>
      </c>
      <c r="D1119" s="10" t="s">
        <v>2450</v>
      </c>
      <c r="E1119" s="10" t="s">
        <v>4038</v>
      </c>
      <c r="F1119" s="10" t="s">
        <v>4493</v>
      </c>
      <c r="G1119" s="10" t="s">
        <v>4494</v>
      </c>
      <c r="H1119" s="10" t="s">
        <v>4495</v>
      </c>
      <c r="I1119" s="11">
        <v>244.0</v>
      </c>
      <c r="J1119" s="11">
        <v>499.0</v>
      </c>
      <c r="K1119" s="12">
        <f t="shared" si="1"/>
        <v>0.5110220441</v>
      </c>
      <c r="L1119" s="13">
        <f>IFERROR(__xludf.DUMMYFUNCTION("GOOGLEFINANCE(""CURRENCY:INRBRL"") * I1119
"),14.36712854872)</f>
        <v>14.36712855</v>
      </c>
      <c r="M1119" s="9">
        <v>4.5</v>
      </c>
      <c r="N1119" s="9">
        <v>478.0</v>
      </c>
      <c r="O1119" s="9" t="s">
        <v>4496</v>
      </c>
      <c r="P1119" s="14" t="s">
        <v>4497</v>
      </c>
      <c r="U1119" s="17"/>
      <c r="V1119" s="18"/>
      <c r="W1119" s="16"/>
      <c r="X1119" s="16"/>
      <c r="Y1119" s="16"/>
    </row>
    <row r="1120">
      <c r="A1120" s="9" t="s">
        <v>4498</v>
      </c>
      <c r="B1120" s="10" t="s">
        <v>4499</v>
      </c>
      <c r="C1120" s="10" t="s">
        <v>4046</v>
      </c>
      <c r="D1120" s="10" t="s">
        <v>2450</v>
      </c>
      <c r="E1120" s="10" t="s">
        <v>4047</v>
      </c>
      <c r="F1120" s="10" t="s">
        <v>4048</v>
      </c>
      <c r="G1120" s="10" t="s">
        <v>4049</v>
      </c>
      <c r="H1120" s="10"/>
      <c r="I1120" s="11">
        <v>1959.0</v>
      </c>
      <c r="J1120" s="11">
        <v>2399.0</v>
      </c>
      <c r="K1120" s="12">
        <f t="shared" si="1"/>
        <v>0.1834097541</v>
      </c>
      <c r="L1120" s="13">
        <f>IFERROR(__xludf.DUMMYFUNCTION("GOOGLEFINANCE(""CURRENCY:INRBRL"") * I1120
"),115.34920011042)</f>
        <v>115.3492001</v>
      </c>
      <c r="M1120" s="9">
        <v>4.0</v>
      </c>
      <c r="N1120" s="9">
        <v>237.0</v>
      </c>
      <c r="O1120" s="9" t="s">
        <v>4500</v>
      </c>
      <c r="P1120" s="14" t="s">
        <v>4501</v>
      </c>
      <c r="U1120" s="17"/>
      <c r="V1120" s="18"/>
      <c r="W1120" s="16"/>
      <c r="X1120" s="16"/>
      <c r="Y1120" s="16"/>
    </row>
    <row r="1121">
      <c r="A1121" s="9" t="s">
        <v>4502</v>
      </c>
      <c r="B1121" s="10" t="s">
        <v>4503</v>
      </c>
      <c r="C1121" s="10" t="s">
        <v>4060</v>
      </c>
      <c r="D1121" s="10" t="s">
        <v>2450</v>
      </c>
      <c r="E1121" s="10" t="s">
        <v>4038</v>
      </c>
      <c r="F1121" s="10" t="s">
        <v>4061</v>
      </c>
      <c r="G1121" s="10" t="s">
        <v>4062</v>
      </c>
      <c r="H1121" s="10" t="s">
        <v>4063</v>
      </c>
      <c r="I1121" s="11">
        <v>319.0</v>
      </c>
      <c r="J1121" s="11">
        <v>749.0</v>
      </c>
      <c r="K1121" s="12">
        <f t="shared" si="1"/>
        <v>0.5740987984</v>
      </c>
      <c r="L1121" s="13">
        <f>IFERROR(__xludf.DUMMYFUNCTION("GOOGLEFINANCE(""CURRENCY:INRBRL"") * I1121
"),18.78325412722)</f>
        <v>18.78325413</v>
      </c>
      <c r="M1121" s="9">
        <v>4.51</v>
      </c>
      <c r="N1121" s="9">
        <v>124.0</v>
      </c>
      <c r="O1121" s="9" t="s">
        <v>4504</v>
      </c>
      <c r="P1121" s="14" t="s">
        <v>4505</v>
      </c>
      <c r="U1121" s="17"/>
      <c r="V1121" s="18"/>
      <c r="W1121" s="16"/>
      <c r="X1121" s="16"/>
      <c r="Y1121" s="16"/>
    </row>
    <row r="1122">
      <c r="A1122" s="9" t="s">
        <v>4506</v>
      </c>
      <c r="B1122" s="10" t="s">
        <v>4507</v>
      </c>
      <c r="C1122" s="10" t="s">
        <v>4037</v>
      </c>
      <c r="D1122" s="10" t="s">
        <v>2450</v>
      </c>
      <c r="E1122" s="10" t="s">
        <v>4038</v>
      </c>
      <c r="F1122" s="10" t="s">
        <v>4039</v>
      </c>
      <c r="G1122" s="10" t="s">
        <v>4040</v>
      </c>
      <c r="H1122" s="10" t="s">
        <v>4041</v>
      </c>
      <c r="I1122" s="11">
        <v>1499.0</v>
      </c>
      <c r="J1122" s="11">
        <v>1775.0</v>
      </c>
      <c r="K1122" s="12">
        <f t="shared" si="1"/>
        <v>0.1554929577</v>
      </c>
      <c r="L1122" s="13">
        <f>IFERROR(__xludf.DUMMYFUNCTION("GOOGLEFINANCE(""CURRENCY:INRBRL"") * I1122
"),88.26362989562)</f>
        <v>88.2636299</v>
      </c>
      <c r="M1122" s="9">
        <v>4.52</v>
      </c>
      <c r="N1122" s="9">
        <v>14667.0</v>
      </c>
      <c r="O1122" s="9" t="s">
        <v>4508</v>
      </c>
      <c r="P1122" s="14" t="s">
        <v>4509</v>
      </c>
      <c r="U1122" s="17"/>
      <c r="V1122" s="18"/>
      <c r="W1122" s="16"/>
      <c r="X1122" s="16"/>
      <c r="Y1122" s="16"/>
    </row>
    <row r="1123">
      <c r="A1123" s="9" t="s">
        <v>4510</v>
      </c>
      <c r="B1123" s="10" t="s">
        <v>4511</v>
      </c>
      <c r="C1123" s="10" t="s">
        <v>4060</v>
      </c>
      <c r="D1123" s="10" t="s">
        <v>2450</v>
      </c>
      <c r="E1123" s="10" t="s">
        <v>4038</v>
      </c>
      <c r="F1123" s="10" t="s">
        <v>4061</v>
      </c>
      <c r="G1123" s="10" t="s">
        <v>4062</v>
      </c>
      <c r="H1123" s="10" t="s">
        <v>4063</v>
      </c>
      <c r="I1123" s="11">
        <v>469.0</v>
      </c>
      <c r="J1123" s="11">
        <v>1599.0</v>
      </c>
      <c r="K1123" s="12">
        <f t="shared" si="1"/>
        <v>0.7066916823</v>
      </c>
      <c r="L1123" s="13">
        <f>IFERROR(__xludf.DUMMYFUNCTION("GOOGLEFINANCE(""CURRENCY:INRBRL"") * I1123
"),27.61550528422)</f>
        <v>27.61550528</v>
      </c>
      <c r="M1123" s="9">
        <v>4.51</v>
      </c>
      <c r="N1123" s="9">
        <v>6.0</v>
      </c>
      <c r="O1123" s="9" t="s">
        <v>4512</v>
      </c>
      <c r="P1123" s="14" t="s">
        <v>4513</v>
      </c>
      <c r="U1123" s="17"/>
      <c r="V1123" s="18"/>
      <c r="W1123" s="16"/>
      <c r="X1123" s="16"/>
      <c r="Y1123" s="16"/>
    </row>
    <row r="1124">
      <c r="A1124" s="9" t="s">
        <v>4514</v>
      </c>
      <c r="B1124" s="10" t="s">
        <v>4515</v>
      </c>
      <c r="C1124" s="10" t="s">
        <v>4464</v>
      </c>
      <c r="D1124" s="10" t="s">
        <v>2450</v>
      </c>
      <c r="E1124" s="10" t="s">
        <v>4038</v>
      </c>
      <c r="F1124" s="10" t="s">
        <v>4039</v>
      </c>
      <c r="G1124" s="10" t="s">
        <v>4465</v>
      </c>
      <c r="H1124" s="10"/>
      <c r="I1124" s="11">
        <v>1099.0</v>
      </c>
      <c r="J1124" s="11">
        <v>1795.0</v>
      </c>
      <c r="K1124" s="12">
        <f t="shared" si="1"/>
        <v>0.3877437326</v>
      </c>
      <c r="L1124" s="13">
        <f>IFERROR(__xludf.DUMMYFUNCTION("GOOGLEFINANCE(""CURRENCY:INRBRL"") * I1124
"),64.71096014362)</f>
        <v>64.71096014</v>
      </c>
      <c r="M1124" s="9">
        <v>4.5</v>
      </c>
      <c r="N1124" s="9">
        <v>4244.0</v>
      </c>
      <c r="O1124" s="9" t="s">
        <v>4516</v>
      </c>
      <c r="P1124" s="14" t="s">
        <v>4517</v>
      </c>
      <c r="U1124" s="17"/>
      <c r="V1124" s="18"/>
      <c r="W1124" s="16"/>
      <c r="X1124" s="16"/>
      <c r="Y1124" s="16"/>
    </row>
    <row r="1125">
      <c r="A1125" s="9" t="s">
        <v>4518</v>
      </c>
      <c r="B1125" s="10" t="s">
        <v>4519</v>
      </c>
      <c r="C1125" s="10" t="s">
        <v>4054</v>
      </c>
      <c r="D1125" s="10" t="s">
        <v>2450</v>
      </c>
      <c r="E1125" s="10" t="s">
        <v>4047</v>
      </c>
      <c r="F1125" s="10" t="s">
        <v>4048</v>
      </c>
      <c r="G1125" s="10" t="s">
        <v>4055</v>
      </c>
      <c r="H1125" s="10"/>
      <c r="I1125" s="11">
        <v>9599.0</v>
      </c>
      <c r="J1125" s="11">
        <v>15999.0</v>
      </c>
      <c r="K1125" s="12">
        <f t="shared" si="1"/>
        <v>0.4000250016</v>
      </c>
      <c r="L1125" s="13">
        <f>IFERROR(__xludf.DUMMYFUNCTION("GOOGLEFINANCE(""CURRENCY:INRBRL"") * I1125
"),565.20519237362)</f>
        <v>565.2051924</v>
      </c>
      <c r="M1125" s="9">
        <v>4.49</v>
      </c>
      <c r="N1125" s="9">
        <v>1017.0</v>
      </c>
      <c r="O1125" s="9" t="s">
        <v>4520</v>
      </c>
      <c r="P1125" s="14" t="s">
        <v>4521</v>
      </c>
      <c r="U1125" s="17"/>
      <c r="V1125" s="18"/>
      <c r="W1125" s="16"/>
      <c r="X1125" s="16"/>
      <c r="Y1125" s="16"/>
    </row>
    <row r="1126">
      <c r="A1126" s="9" t="s">
        <v>4522</v>
      </c>
      <c r="B1126" s="10" t="s">
        <v>4523</v>
      </c>
      <c r="C1126" s="10" t="s">
        <v>4524</v>
      </c>
      <c r="D1126" s="10" t="s">
        <v>2450</v>
      </c>
      <c r="E1126" s="10" t="s">
        <v>4047</v>
      </c>
      <c r="F1126" s="10" t="s">
        <v>4393</v>
      </c>
      <c r="G1126" s="10" t="s">
        <v>4525</v>
      </c>
      <c r="H1126" s="10"/>
      <c r="I1126" s="11">
        <v>999.0</v>
      </c>
      <c r="J1126" s="11">
        <v>1499.0</v>
      </c>
      <c r="K1126" s="12">
        <f t="shared" si="1"/>
        <v>0.3335557038</v>
      </c>
      <c r="L1126" s="13">
        <f>IFERROR(__xludf.DUMMYFUNCTION("GOOGLEFINANCE(""CURRENCY:INRBRL"") * I1126
"),58.822792705619996)</f>
        <v>58.82279271</v>
      </c>
      <c r="M1126" s="9">
        <v>4.49</v>
      </c>
      <c r="N1126" s="9">
        <v>12999.0</v>
      </c>
      <c r="O1126" s="9" t="s">
        <v>4526</v>
      </c>
      <c r="P1126" s="14" t="s">
        <v>4527</v>
      </c>
      <c r="U1126" s="17"/>
      <c r="V1126" s="18"/>
      <c r="W1126" s="16"/>
      <c r="X1126" s="16"/>
      <c r="Y1126" s="16"/>
    </row>
    <row r="1127">
      <c r="A1127" s="9" t="s">
        <v>4528</v>
      </c>
      <c r="B1127" s="10" t="s">
        <v>4529</v>
      </c>
      <c r="C1127" s="10" t="s">
        <v>4155</v>
      </c>
      <c r="D1127" s="10" t="s">
        <v>2450</v>
      </c>
      <c r="E1127" s="10" t="s">
        <v>4038</v>
      </c>
      <c r="F1127" s="10" t="s">
        <v>4039</v>
      </c>
      <c r="G1127" s="10" t="s">
        <v>4040</v>
      </c>
      <c r="H1127" s="10" t="s">
        <v>4156</v>
      </c>
      <c r="I1127" s="11">
        <v>1299.0</v>
      </c>
      <c r="J1127" s="11">
        <v>1999.0</v>
      </c>
      <c r="K1127" s="12">
        <f t="shared" si="1"/>
        <v>0.3501750875</v>
      </c>
      <c r="L1127" s="13">
        <f>IFERROR(__xludf.DUMMYFUNCTION("GOOGLEFINANCE(""CURRENCY:INRBRL"") * I1127
"),76.48729501961999)</f>
        <v>76.48729502</v>
      </c>
      <c r="M1127" s="9">
        <v>4.51</v>
      </c>
      <c r="N1127" s="9">
        <v>311.0</v>
      </c>
      <c r="O1127" s="9" t="s">
        <v>4530</v>
      </c>
      <c r="P1127" s="14" t="s">
        <v>4531</v>
      </c>
      <c r="U1127" s="17"/>
      <c r="V1127" s="18"/>
      <c r="W1127" s="16"/>
      <c r="X1127" s="16"/>
      <c r="Y1127" s="16"/>
    </row>
    <row r="1128">
      <c r="A1128" s="9" t="s">
        <v>4532</v>
      </c>
      <c r="B1128" s="10" t="s">
        <v>4533</v>
      </c>
      <c r="C1128" s="10" t="s">
        <v>4534</v>
      </c>
      <c r="D1128" s="10" t="s">
        <v>2450</v>
      </c>
      <c r="E1128" s="10" t="s">
        <v>4038</v>
      </c>
      <c r="F1128" s="10" t="s">
        <v>4493</v>
      </c>
      <c r="G1128" s="10" t="s">
        <v>4535</v>
      </c>
      <c r="H1128" s="10"/>
      <c r="I1128" s="11">
        <v>292.0</v>
      </c>
      <c r="J1128" s="11">
        <v>499.0</v>
      </c>
      <c r="K1128" s="12">
        <f t="shared" si="1"/>
        <v>0.4148296593</v>
      </c>
      <c r="L1128" s="13">
        <f>IFERROR(__xludf.DUMMYFUNCTION("GOOGLEFINANCE(""CURRENCY:INRBRL"") * I1128
"),17.193448918959998)</f>
        <v>17.19344892</v>
      </c>
      <c r="M1128" s="9">
        <v>4.49</v>
      </c>
      <c r="N1128" s="9">
        <v>4238.0</v>
      </c>
      <c r="O1128" s="9" t="s">
        <v>4536</v>
      </c>
      <c r="P1128" s="14" t="s">
        <v>4537</v>
      </c>
      <c r="U1128" s="17"/>
      <c r="V1128" s="18"/>
      <c r="W1128" s="16"/>
      <c r="X1128" s="16"/>
      <c r="Y1128" s="16"/>
    </row>
    <row r="1129">
      <c r="A1129" s="9" t="s">
        <v>4538</v>
      </c>
      <c r="B1129" s="10" t="s">
        <v>4539</v>
      </c>
      <c r="C1129" s="10" t="s">
        <v>4386</v>
      </c>
      <c r="D1129" s="10" t="s">
        <v>2450</v>
      </c>
      <c r="E1129" s="10" t="s">
        <v>4038</v>
      </c>
      <c r="F1129" s="10" t="s">
        <v>4039</v>
      </c>
      <c r="G1129" s="10" t="s">
        <v>4387</v>
      </c>
      <c r="H1129" s="10"/>
      <c r="I1129" s="11">
        <v>160.0</v>
      </c>
      <c r="J1129" s="11">
        <v>299.0</v>
      </c>
      <c r="K1129" s="12">
        <f t="shared" si="1"/>
        <v>0.4648829431</v>
      </c>
      <c r="L1129" s="13">
        <f>IFERROR(__xludf.DUMMYFUNCTION("GOOGLEFINANCE(""CURRENCY:INRBRL"") * I1129
"),9.4210679008)</f>
        <v>9.421067901</v>
      </c>
      <c r="M1129" s="9">
        <v>4.51</v>
      </c>
      <c r="N1129" s="9">
        <v>2781.0</v>
      </c>
      <c r="O1129" s="9" t="s">
        <v>4540</v>
      </c>
      <c r="P1129" s="14" t="s">
        <v>4541</v>
      </c>
      <c r="U1129" s="17"/>
      <c r="V1129" s="18"/>
      <c r="W1129" s="16"/>
      <c r="X1129" s="16"/>
      <c r="Y1129" s="16"/>
    </row>
    <row r="1130">
      <c r="A1130" s="9" t="s">
        <v>4542</v>
      </c>
      <c r="B1130" s="10" t="s">
        <v>4543</v>
      </c>
      <c r="C1130" s="10" t="s">
        <v>4544</v>
      </c>
      <c r="D1130" s="10" t="s">
        <v>2450</v>
      </c>
      <c r="E1130" s="10" t="s">
        <v>4038</v>
      </c>
      <c r="F1130" s="10" t="s">
        <v>4545</v>
      </c>
      <c r="G1130" s="10" t="s">
        <v>4546</v>
      </c>
      <c r="H1130" s="10"/>
      <c r="I1130" s="11">
        <v>600.0</v>
      </c>
      <c r="J1130" s="11">
        <v>600.0</v>
      </c>
      <c r="K1130" s="12">
        <f t="shared" si="1"/>
        <v>0</v>
      </c>
      <c r="L1130" s="13">
        <f>IFERROR(__xludf.DUMMYFUNCTION("GOOGLEFINANCE(""CURRENCY:INRBRL"") * I1130
"),35.329004628)</f>
        <v>35.32900463</v>
      </c>
      <c r="M1130" s="9">
        <v>4.49</v>
      </c>
      <c r="N1130" s="9">
        <v>10907.0</v>
      </c>
      <c r="O1130" s="9" t="s">
        <v>4547</v>
      </c>
      <c r="P1130" s="14" t="s">
        <v>4548</v>
      </c>
      <c r="U1130" s="17"/>
      <c r="V1130" s="18"/>
      <c r="W1130" s="16"/>
      <c r="X1130" s="16"/>
      <c r="Y1130" s="16"/>
    </row>
    <row r="1131">
      <c r="A1131" s="9" t="s">
        <v>4549</v>
      </c>
      <c r="B1131" s="10" t="s">
        <v>4550</v>
      </c>
      <c r="C1131" s="10" t="s">
        <v>4551</v>
      </c>
      <c r="D1131" s="10" t="s">
        <v>2450</v>
      </c>
      <c r="E1131" s="10" t="s">
        <v>4038</v>
      </c>
      <c r="F1131" s="10" t="s">
        <v>4545</v>
      </c>
      <c r="G1131" s="10" t="s">
        <v>4552</v>
      </c>
      <c r="H1131" s="10"/>
      <c r="I1131" s="11">
        <v>1299.0</v>
      </c>
      <c r="J1131" s="11">
        <v>1299.0</v>
      </c>
      <c r="K1131" s="12">
        <f t="shared" si="1"/>
        <v>0</v>
      </c>
      <c r="L1131" s="13">
        <f>IFERROR(__xludf.DUMMYFUNCTION("GOOGLEFINANCE(""CURRENCY:INRBRL"") * I1131
"),76.48729501961999)</f>
        <v>76.48729502</v>
      </c>
      <c r="M1131" s="9">
        <v>4.5</v>
      </c>
      <c r="N1131" s="9">
        <v>1325.0</v>
      </c>
      <c r="O1131" s="9" t="s">
        <v>4553</v>
      </c>
      <c r="P1131" s="14" t="s">
        <v>4554</v>
      </c>
      <c r="U1131" s="17"/>
      <c r="V1131" s="18"/>
      <c r="W1131" s="16"/>
      <c r="X1131" s="16"/>
      <c r="Y1131" s="16"/>
    </row>
    <row r="1132">
      <c r="A1132" s="9" t="s">
        <v>4555</v>
      </c>
      <c r="B1132" s="10" t="s">
        <v>4556</v>
      </c>
      <c r="C1132" s="10" t="s">
        <v>4129</v>
      </c>
      <c r="D1132" s="10" t="s">
        <v>2450</v>
      </c>
      <c r="E1132" s="10" t="s">
        <v>4038</v>
      </c>
      <c r="F1132" s="10" t="s">
        <v>4039</v>
      </c>
      <c r="G1132" s="10" t="s">
        <v>4130</v>
      </c>
      <c r="H1132" s="10"/>
      <c r="I1132" s="11">
        <v>3249.0</v>
      </c>
      <c r="J1132" s="11">
        <v>6295.0</v>
      </c>
      <c r="K1132" s="12">
        <f t="shared" si="1"/>
        <v>0.4838760921</v>
      </c>
      <c r="L1132" s="13">
        <f>IFERROR(__xludf.DUMMYFUNCTION("GOOGLEFINANCE(""CURRENCY:INRBRL"") * I1132
"),191.30656006062)</f>
        <v>191.3065601</v>
      </c>
      <c r="M1132" s="9">
        <v>4.52</v>
      </c>
      <c r="N1132" s="9">
        <v>4307.0</v>
      </c>
      <c r="O1132" s="9" t="s">
        <v>4557</v>
      </c>
      <c r="P1132" s="14" t="s">
        <v>4558</v>
      </c>
      <c r="U1132" s="17"/>
      <c r="V1132" s="18"/>
      <c r="W1132" s="16"/>
      <c r="X1132" s="16"/>
      <c r="Y1132" s="16"/>
    </row>
    <row r="1133">
      <c r="A1133" s="9" t="s">
        <v>4559</v>
      </c>
      <c r="B1133" s="10" t="s">
        <v>4560</v>
      </c>
      <c r="C1133" s="10" t="s">
        <v>4129</v>
      </c>
      <c r="D1133" s="10" t="s">
        <v>2450</v>
      </c>
      <c r="E1133" s="10" t="s">
        <v>4038</v>
      </c>
      <c r="F1133" s="10" t="s">
        <v>4039</v>
      </c>
      <c r="G1133" s="10" t="s">
        <v>4130</v>
      </c>
      <c r="H1133" s="10"/>
      <c r="I1133" s="11">
        <v>3599.0</v>
      </c>
      <c r="J1133" s="11">
        <v>9455.0</v>
      </c>
      <c r="K1133" s="12">
        <f t="shared" si="1"/>
        <v>0.6193548387</v>
      </c>
      <c r="L1133" s="13">
        <f>IFERROR(__xludf.DUMMYFUNCTION("GOOGLEFINANCE(""CURRENCY:INRBRL"") * I1133
"),211.91514609362)</f>
        <v>211.9151461</v>
      </c>
      <c r="M1133" s="9">
        <v>4.49</v>
      </c>
      <c r="N1133" s="9">
        <v>11828.0</v>
      </c>
      <c r="O1133" s="9" t="s">
        <v>4561</v>
      </c>
      <c r="P1133" s="14" t="s">
        <v>4562</v>
      </c>
      <c r="U1133" s="17"/>
      <c r="V1133" s="18"/>
      <c r="W1133" s="16"/>
      <c r="X1133" s="16"/>
      <c r="Y1133" s="16"/>
    </row>
    <row r="1134">
      <c r="A1134" s="9" t="s">
        <v>4563</v>
      </c>
      <c r="B1134" s="10" t="s">
        <v>4564</v>
      </c>
      <c r="C1134" s="10" t="s">
        <v>4278</v>
      </c>
      <c r="D1134" s="10" t="s">
        <v>2450</v>
      </c>
      <c r="E1134" s="10" t="s">
        <v>4038</v>
      </c>
      <c r="F1134" s="10" t="s">
        <v>4039</v>
      </c>
      <c r="G1134" s="10" t="s">
        <v>4279</v>
      </c>
      <c r="H1134" s="10"/>
      <c r="I1134" s="11">
        <v>368.0</v>
      </c>
      <c r="J1134" s="11">
        <v>699.0</v>
      </c>
      <c r="K1134" s="12">
        <f t="shared" si="1"/>
        <v>0.4735336195</v>
      </c>
      <c r="L1134" s="13">
        <f>IFERROR(__xludf.DUMMYFUNCTION("GOOGLEFINANCE(""CURRENCY:INRBRL"") * I1134
"),21.66845617184)</f>
        <v>21.66845617</v>
      </c>
      <c r="M1134" s="9">
        <v>4.49</v>
      </c>
      <c r="N1134" s="9">
        <v>124.0</v>
      </c>
      <c r="O1134" s="9" t="s">
        <v>4565</v>
      </c>
      <c r="P1134" s="14" t="s">
        <v>4566</v>
      </c>
      <c r="U1134" s="17"/>
      <c r="V1134" s="18"/>
      <c r="W1134" s="16"/>
      <c r="X1134" s="16"/>
      <c r="Y1134" s="16"/>
    </row>
    <row r="1135">
      <c r="A1135" s="9" t="s">
        <v>4567</v>
      </c>
      <c r="B1135" s="10" t="s">
        <v>4568</v>
      </c>
      <c r="C1135" s="10" t="s">
        <v>4129</v>
      </c>
      <c r="D1135" s="10" t="s">
        <v>2450</v>
      </c>
      <c r="E1135" s="10" t="s">
        <v>4038</v>
      </c>
      <c r="F1135" s="10" t="s">
        <v>4039</v>
      </c>
      <c r="G1135" s="10" t="s">
        <v>4130</v>
      </c>
      <c r="H1135" s="10"/>
      <c r="I1135" s="11">
        <v>3199.0</v>
      </c>
      <c r="J1135" s="11">
        <v>4999.0</v>
      </c>
      <c r="K1135" s="12">
        <f t="shared" si="1"/>
        <v>0.3600720144</v>
      </c>
      <c r="L1135" s="13">
        <f>IFERROR(__xludf.DUMMYFUNCTION("GOOGLEFINANCE(""CURRENCY:INRBRL"") * I1135
"),188.36247634162)</f>
        <v>188.3624763</v>
      </c>
      <c r="M1135" s="9">
        <v>4.0</v>
      </c>
      <c r="N1135" s="9">
        <v>20869.0</v>
      </c>
      <c r="O1135" s="9" t="s">
        <v>4569</v>
      </c>
      <c r="P1135" s="14" t="s">
        <v>4570</v>
      </c>
      <c r="U1135" s="17"/>
      <c r="V1135" s="18"/>
      <c r="W1135" s="16"/>
      <c r="X1135" s="16"/>
      <c r="Y1135" s="16"/>
    </row>
    <row r="1136">
      <c r="A1136" s="9" t="s">
        <v>4571</v>
      </c>
      <c r="B1136" s="10" t="s">
        <v>4572</v>
      </c>
      <c r="C1136" s="10" t="s">
        <v>4573</v>
      </c>
      <c r="D1136" s="10" t="s">
        <v>2450</v>
      </c>
      <c r="E1136" s="10" t="s">
        <v>4038</v>
      </c>
      <c r="F1136" s="10" t="s">
        <v>4039</v>
      </c>
      <c r="G1136" s="10" t="s">
        <v>4574</v>
      </c>
      <c r="H1136" s="10"/>
      <c r="I1136" s="11">
        <v>1599.0</v>
      </c>
      <c r="J1136" s="11">
        <v>2999.0</v>
      </c>
      <c r="K1136" s="12">
        <f t="shared" si="1"/>
        <v>0.4668222741</v>
      </c>
      <c r="L1136" s="13">
        <f>IFERROR(__xludf.DUMMYFUNCTION("GOOGLEFINANCE(""CURRENCY:INRBRL"") * I1136
"),94.15179733362)</f>
        <v>94.15179733</v>
      </c>
      <c r="M1136" s="9">
        <v>4.51</v>
      </c>
      <c r="N1136" s="9">
        <v>441.0</v>
      </c>
      <c r="O1136" s="9" t="s">
        <v>4575</v>
      </c>
      <c r="P1136" s="14" t="s">
        <v>4576</v>
      </c>
      <c r="U1136" s="17"/>
      <c r="V1136" s="18"/>
      <c r="W1136" s="16"/>
      <c r="X1136" s="16"/>
      <c r="Y1136" s="16"/>
    </row>
    <row r="1137">
      <c r="A1137" s="9" t="s">
        <v>4577</v>
      </c>
      <c r="B1137" s="10" t="s">
        <v>4578</v>
      </c>
      <c r="C1137" s="10" t="s">
        <v>4117</v>
      </c>
      <c r="D1137" s="10" t="s">
        <v>2450</v>
      </c>
      <c r="E1137" s="10" t="s">
        <v>4038</v>
      </c>
      <c r="F1137" s="10" t="s">
        <v>4039</v>
      </c>
      <c r="G1137" s="10" t="s">
        <v>4118</v>
      </c>
      <c r="H1137" s="10"/>
      <c r="I1137" s="11">
        <v>1999.0</v>
      </c>
      <c r="J1137" s="11">
        <v>2499.0</v>
      </c>
      <c r="K1137" s="12">
        <f t="shared" si="1"/>
        <v>0.200080032</v>
      </c>
      <c r="L1137" s="13">
        <f>IFERROR(__xludf.DUMMYFUNCTION("GOOGLEFINANCE(""CURRENCY:INRBRL"") * I1137
"),117.70446708562)</f>
        <v>117.7044671</v>
      </c>
      <c r="M1137" s="9">
        <v>4.49</v>
      </c>
      <c r="N1137" s="9">
        <v>1034.0</v>
      </c>
      <c r="O1137" s="9" t="s">
        <v>4579</v>
      </c>
      <c r="P1137" s="14" t="s">
        <v>4580</v>
      </c>
      <c r="U1137" s="17"/>
      <c r="V1137" s="18"/>
      <c r="W1137" s="16"/>
      <c r="X1137" s="16"/>
      <c r="Y1137" s="16"/>
    </row>
    <row r="1138">
      <c r="A1138" s="9" t="s">
        <v>4581</v>
      </c>
      <c r="B1138" s="10" t="s">
        <v>4582</v>
      </c>
      <c r="C1138" s="10" t="s">
        <v>4123</v>
      </c>
      <c r="D1138" s="10" t="s">
        <v>2450</v>
      </c>
      <c r="E1138" s="10" t="s">
        <v>4038</v>
      </c>
      <c r="F1138" s="10" t="s">
        <v>4061</v>
      </c>
      <c r="G1138" s="10" t="s">
        <v>4062</v>
      </c>
      <c r="H1138" s="10" t="s">
        <v>4124</v>
      </c>
      <c r="I1138" s="11">
        <v>616.0</v>
      </c>
      <c r="J1138" s="11">
        <v>1199.0</v>
      </c>
      <c r="K1138" s="12">
        <f t="shared" si="1"/>
        <v>0.4862385321</v>
      </c>
      <c r="L1138" s="13">
        <f>IFERROR(__xludf.DUMMYFUNCTION("GOOGLEFINANCE(""CURRENCY:INRBRL"") * I1138
"),36.27111141808)</f>
        <v>36.27111142</v>
      </c>
      <c r="M1138" s="9">
        <v>4.49</v>
      </c>
      <c r="N1138" s="9">
        <v>37126.0</v>
      </c>
      <c r="O1138" s="9" t="s">
        <v>4583</v>
      </c>
      <c r="P1138" s="14" t="s">
        <v>4584</v>
      </c>
      <c r="U1138" s="17"/>
      <c r="V1138" s="18"/>
      <c r="W1138" s="16"/>
      <c r="X1138" s="16"/>
      <c r="Y1138" s="16"/>
    </row>
    <row r="1139">
      <c r="A1139" s="9" t="s">
        <v>4585</v>
      </c>
      <c r="B1139" s="10" t="s">
        <v>4586</v>
      </c>
      <c r="C1139" s="10" t="s">
        <v>4117</v>
      </c>
      <c r="D1139" s="10" t="s">
        <v>2450</v>
      </c>
      <c r="E1139" s="10" t="s">
        <v>4038</v>
      </c>
      <c r="F1139" s="10" t="s">
        <v>4039</v>
      </c>
      <c r="G1139" s="10" t="s">
        <v>4118</v>
      </c>
      <c r="H1139" s="10"/>
      <c r="I1139" s="11">
        <v>1499.0</v>
      </c>
      <c r="J1139" s="11">
        <v>2099.0</v>
      </c>
      <c r="K1139" s="12">
        <f t="shared" si="1"/>
        <v>0.285850405</v>
      </c>
      <c r="L1139" s="13">
        <f>IFERROR(__xludf.DUMMYFUNCTION("GOOGLEFINANCE(""CURRENCY:INRBRL"") * I1139
"),88.26362989562)</f>
        <v>88.2636299</v>
      </c>
      <c r="M1139" s="9">
        <v>4.49</v>
      </c>
      <c r="N1139" s="9">
        <v>6355.0</v>
      </c>
      <c r="O1139" s="9" t="s">
        <v>4587</v>
      </c>
      <c r="P1139" s="14" t="s">
        <v>4588</v>
      </c>
      <c r="U1139" s="17"/>
      <c r="V1139" s="18"/>
      <c r="W1139" s="16"/>
      <c r="X1139" s="16"/>
      <c r="Y1139" s="16"/>
    </row>
    <row r="1140">
      <c r="A1140" s="9" t="s">
        <v>4589</v>
      </c>
      <c r="B1140" s="10" t="s">
        <v>4590</v>
      </c>
      <c r="C1140" s="10" t="s">
        <v>4386</v>
      </c>
      <c r="D1140" s="10" t="s">
        <v>2450</v>
      </c>
      <c r="E1140" s="10" t="s">
        <v>4038</v>
      </c>
      <c r="F1140" s="10" t="s">
        <v>4039</v>
      </c>
      <c r="G1140" s="10" t="s">
        <v>4387</v>
      </c>
      <c r="H1140" s="10"/>
      <c r="I1140" s="11">
        <v>199.0</v>
      </c>
      <c r="J1140" s="11">
        <v>499.0</v>
      </c>
      <c r="K1140" s="12">
        <f t="shared" si="1"/>
        <v>0.6012024048</v>
      </c>
      <c r="L1140" s="13">
        <f>IFERROR(__xludf.DUMMYFUNCTION("GOOGLEFINANCE(""CURRENCY:INRBRL"") * I1140
"),11.71745320162)</f>
        <v>11.7174532</v>
      </c>
      <c r="M1140" s="9">
        <v>4.5</v>
      </c>
      <c r="N1140" s="9">
        <v>12.0</v>
      </c>
      <c r="O1140" s="9" t="s">
        <v>4591</v>
      </c>
      <c r="P1140" s="14" t="s">
        <v>4592</v>
      </c>
      <c r="U1140" s="17"/>
      <c r="V1140" s="18"/>
      <c r="W1140" s="16"/>
      <c r="X1140" s="16"/>
      <c r="Y1140" s="16"/>
    </row>
    <row r="1141">
      <c r="A1141" s="9" t="s">
        <v>4593</v>
      </c>
      <c r="B1141" s="10" t="s">
        <v>4594</v>
      </c>
      <c r="C1141" s="10" t="s">
        <v>4191</v>
      </c>
      <c r="D1141" s="10" t="s">
        <v>2450</v>
      </c>
      <c r="E1141" s="10" t="s">
        <v>4047</v>
      </c>
      <c r="F1141" s="10" t="s">
        <v>4136</v>
      </c>
      <c r="G1141" s="10" t="s">
        <v>4192</v>
      </c>
      <c r="H1141" s="10"/>
      <c r="I1141" s="11">
        <v>610.0</v>
      </c>
      <c r="J1141" s="11">
        <v>825.0</v>
      </c>
      <c r="K1141" s="12">
        <f t="shared" si="1"/>
        <v>0.2606060606</v>
      </c>
      <c r="L1141" s="13">
        <f>IFERROR(__xludf.DUMMYFUNCTION("GOOGLEFINANCE(""CURRENCY:INRBRL"") * I1141
"),35.9178213718)</f>
        <v>35.91782137</v>
      </c>
      <c r="M1141" s="9">
        <v>4.49</v>
      </c>
      <c r="N1141" s="9">
        <v>13165.0</v>
      </c>
      <c r="O1141" s="9" t="s">
        <v>4595</v>
      </c>
      <c r="P1141" s="14" t="s">
        <v>4596</v>
      </c>
      <c r="U1141" s="17"/>
      <c r="V1141" s="18"/>
      <c r="W1141" s="16"/>
      <c r="X1141" s="16"/>
      <c r="Y1141" s="16"/>
    </row>
    <row r="1142">
      <c r="A1142" s="9" t="s">
        <v>4597</v>
      </c>
      <c r="B1142" s="10" t="s">
        <v>4598</v>
      </c>
      <c r="C1142" s="10" t="s">
        <v>4346</v>
      </c>
      <c r="D1142" s="10" t="s">
        <v>2450</v>
      </c>
      <c r="E1142" s="10" t="s">
        <v>4038</v>
      </c>
      <c r="F1142" s="10" t="s">
        <v>4039</v>
      </c>
      <c r="G1142" s="10" t="s">
        <v>4347</v>
      </c>
      <c r="H1142" s="10"/>
      <c r="I1142" s="11">
        <v>999.0</v>
      </c>
      <c r="J1142" s="11">
        <v>1499.0</v>
      </c>
      <c r="K1142" s="12">
        <f t="shared" si="1"/>
        <v>0.3335557038</v>
      </c>
      <c r="L1142" s="13">
        <f>IFERROR(__xludf.DUMMYFUNCTION("GOOGLEFINANCE(""CURRENCY:INRBRL"") * I1142
"),58.822792705619996)</f>
        <v>58.82279271</v>
      </c>
      <c r="M1142" s="9">
        <v>4.49</v>
      </c>
      <c r="N1142" s="9">
        <v>1646.0</v>
      </c>
      <c r="O1142" s="9" t="s">
        <v>4599</v>
      </c>
      <c r="P1142" s="14" t="s">
        <v>4600</v>
      </c>
      <c r="U1142" s="17"/>
      <c r="V1142" s="18"/>
      <c r="W1142" s="16"/>
      <c r="X1142" s="16"/>
      <c r="Y1142" s="16"/>
    </row>
    <row r="1143">
      <c r="A1143" s="9" t="s">
        <v>4601</v>
      </c>
      <c r="B1143" s="10" t="s">
        <v>4602</v>
      </c>
      <c r="C1143" s="10" t="s">
        <v>4407</v>
      </c>
      <c r="D1143" s="10" t="s">
        <v>2450</v>
      </c>
      <c r="E1143" s="10" t="s">
        <v>4038</v>
      </c>
      <c r="F1143" s="10" t="s">
        <v>4061</v>
      </c>
      <c r="G1143" s="10" t="s">
        <v>4252</v>
      </c>
      <c r="H1143" s="10" t="s">
        <v>4253</v>
      </c>
      <c r="I1143" s="11">
        <v>8999.0</v>
      </c>
      <c r="J1143" s="11">
        <v>9995.0</v>
      </c>
      <c r="K1143" s="12">
        <f t="shared" si="1"/>
        <v>0.09964982491</v>
      </c>
      <c r="L1143" s="13">
        <f>IFERROR(__xludf.DUMMYFUNCTION("GOOGLEFINANCE(""CURRENCY:INRBRL"") * I1143
"),529.87618774562)</f>
        <v>529.8761877</v>
      </c>
      <c r="M1143" s="9">
        <v>4.5</v>
      </c>
      <c r="N1143" s="9">
        <v>17994.0</v>
      </c>
      <c r="O1143" s="9" t="s">
        <v>4603</v>
      </c>
      <c r="P1143" s="14" t="s">
        <v>4604</v>
      </c>
      <c r="U1143" s="17"/>
      <c r="V1143" s="18"/>
      <c r="W1143" s="16"/>
      <c r="X1143" s="16"/>
      <c r="Y1143" s="16"/>
    </row>
    <row r="1144">
      <c r="A1144" s="9" t="s">
        <v>4605</v>
      </c>
      <c r="B1144" s="10" t="s">
        <v>4606</v>
      </c>
      <c r="C1144" s="10" t="s">
        <v>4060</v>
      </c>
      <c r="D1144" s="10" t="s">
        <v>2450</v>
      </c>
      <c r="E1144" s="10" t="s">
        <v>4038</v>
      </c>
      <c r="F1144" s="10" t="s">
        <v>4061</v>
      </c>
      <c r="G1144" s="10" t="s">
        <v>4062</v>
      </c>
      <c r="H1144" s="10" t="s">
        <v>4063</v>
      </c>
      <c r="I1144" s="11">
        <v>453.0</v>
      </c>
      <c r="J1144" s="11">
        <v>999.0</v>
      </c>
      <c r="K1144" s="12">
        <f t="shared" si="1"/>
        <v>0.5465465465</v>
      </c>
      <c r="L1144" s="13">
        <f>IFERROR(__xludf.DUMMYFUNCTION("GOOGLEFINANCE(""CURRENCY:INRBRL"") * I1144
"),26.67339849414)</f>
        <v>26.67339849</v>
      </c>
      <c r="M1144" s="9">
        <v>4.5</v>
      </c>
      <c r="N1144" s="9">
        <v>610.0</v>
      </c>
      <c r="O1144" s="9" t="s">
        <v>4607</v>
      </c>
      <c r="P1144" s="14" t="s">
        <v>4608</v>
      </c>
      <c r="U1144" s="17"/>
      <c r="V1144" s="18"/>
      <c r="W1144" s="16"/>
      <c r="X1144" s="16"/>
      <c r="Y1144" s="16"/>
    </row>
    <row r="1145">
      <c r="A1145" s="9" t="s">
        <v>4609</v>
      </c>
      <c r="B1145" s="10" t="s">
        <v>4610</v>
      </c>
      <c r="C1145" s="10" t="s">
        <v>4129</v>
      </c>
      <c r="D1145" s="10" t="s">
        <v>2450</v>
      </c>
      <c r="E1145" s="10" t="s">
        <v>4038</v>
      </c>
      <c r="F1145" s="10" t="s">
        <v>4039</v>
      </c>
      <c r="G1145" s="10" t="s">
        <v>4130</v>
      </c>
      <c r="H1145" s="10"/>
      <c r="I1145" s="11">
        <v>2464.0</v>
      </c>
      <c r="J1145" s="11">
        <v>5999.0</v>
      </c>
      <c r="K1145" s="12">
        <f t="shared" si="1"/>
        <v>0.5892648775</v>
      </c>
      <c r="L1145" s="13">
        <f>IFERROR(__xludf.DUMMYFUNCTION("GOOGLEFINANCE(""CURRENCY:INRBRL"") * I1145
"),145.08444567232)</f>
        <v>145.0844457</v>
      </c>
      <c r="M1145" s="9">
        <v>4.49</v>
      </c>
      <c r="N1145" s="9">
        <v>8866.0</v>
      </c>
      <c r="O1145" s="9" t="s">
        <v>4611</v>
      </c>
      <c r="P1145" s="14" t="s">
        <v>4612</v>
      </c>
      <c r="U1145" s="17"/>
      <c r="V1145" s="18"/>
      <c r="W1145" s="16"/>
      <c r="X1145" s="16"/>
      <c r="Y1145" s="16"/>
    </row>
    <row r="1146">
      <c r="A1146" s="9" t="s">
        <v>4613</v>
      </c>
      <c r="B1146" s="10" t="s">
        <v>4614</v>
      </c>
      <c r="C1146" s="10" t="s">
        <v>4573</v>
      </c>
      <c r="D1146" s="10" t="s">
        <v>2450</v>
      </c>
      <c r="E1146" s="10" t="s">
        <v>4038</v>
      </c>
      <c r="F1146" s="10" t="s">
        <v>4039</v>
      </c>
      <c r="G1146" s="10" t="s">
        <v>4574</v>
      </c>
      <c r="H1146" s="10"/>
      <c r="I1146" s="11">
        <v>2719.0</v>
      </c>
      <c r="J1146" s="11">
        <v>3945.0</v>
      </c>
      <c r="K1146" s="12">
        <f t="shared" si="1"/>
        <v>0.3107731305</v>
      </c>
      <c r="L1146" s="13">
        <f>IFERROR(__xludf.DUMMYFUNCTION("GOOGLEFINANCE(""CURRENCY:INRBRL"") * I1146
"),160.09927263922)</f>
        <v>160.0992726</v>
      </c>
      <c r="M1146" s="9">
        <v>4.51</v>
      </c>
      <c r="N1146" s="9">
        <v>13406.0</v>
      </c>
      <c r="O1146" s="9" t="s">
        <v>4615</v>
      </c>
      <c r="P1146" s="14" t="s">
        <v>4616</v>
      </c>
      <c r="U1146" s="17"/>
      <c r="V1146" s="18"/>
      <c r="W1146" s="16"/>
      <c r="X1146" s="16"/>
      <c r="Y1146" s="16"/>
    </row>
    <row r="1147">
      <c r="A1147" s="9" t="s">
        <v>4617</v>
      </c>
      <c r="B1147" s="10" t="s">
        <v>4618</v>
      </c>
      <c r="C1147" s="10" t="s">
        <v>4135</v>
      </c>
      <c r="D1147" s="10" t="s">
        <v>2450</v>
      </c>
      <c r="E1147" s="10" t="s">
        <v>4047</v>
      </c>
      <c r="F1147" s="10" t="s">
        <v>4136</v>
      </c>
      <c r="G1147" s="10" t="s">
        <v>4137</v>
      </c>
      <c r="H1147" s="10"/>
      <c r="I1147" s="11">
        <v>1439.0</v>
      </c>
      <c r="J1147" s="11">
        <v>1999.0</v>
      </c>
      <c r="K1147" s="12">
        <f t="shared" si="1"/>
        <v>0.28014007</v>
      </c>
      <c r="L1147" s="13">
        <f>IFERROR(__xludf.DUMMYFUNCTION("GOOGLEFINANCE(""CURRENCY:INRBRL"") * I1147
"),84.73072943282)</f>
        <v>84.73072943</v>
      </c>
      <c r="M1147" s="9">
        <v>4.51</v>
      </c>
      <c r="N1147" s="9">
        <v>53803.0</v>
      </c>
      <c r="O1147" s="9" t="s">
        <v>4619</v>
      </c>
      <c r="P1147" s="14" t="s">
        <v>4620</v>
      </c>
      <c r="U1147" s="17"/>
      <c r="V1147" s="18"/>
      <c r="W1147" s="16"/>
      <c r="X1147" s="16"/>
      <c r="Y1147" s="16"/>
    </row>
    <row r="1148">
      <c r="A1148" s="9" t="s">
        <v>4621</v>
      </c>
      <c r="B1148" s="10" t="s">
        <v>4622</v>
      </c>
      <c r="C1148" s="10" t="s">
        <v>4117</v>
      </c>
      <c r="D1148" s="10" t="s">
        <v>2450</v>
      </c>
      <c r="E1148" s="10" t="s">
        <v>4038</v>
      </c>
      <c r="F1148" s="10" t="s">
        <v>4039</v>
      </c>
      <c r="G1148" s="10" t="s">
        <v>4118</v>
      </c>
      <c r="H1148" s="10"/>
      <c r="I1148" s="11">
        <v>2799.0</v>
      </c>
      <c r="J1148" s="11">
        <v>3499.0</v>
      </c>
      <c r="K1148" s="12">
        <f t="shared" si="1"/>
        <v>0.2000571592</v>
      </c>
      <c r="L1148" s="13">
        <f>IFERROR(__xludf.DUMMYFUNCTION("GOOGLEFINANCE(""CURRENCY:INRBRL"") * I1148
"),164.80980658962)</f>
        <v>164.8098066</v>
      </c>
      <c r="M1148" s="9">
        <v>4.51</v>
      </c>
      <c r="N1148" s="9">
        <v>546.0</v>
      </c>
      <c r="O1148" s="9" t="s">
        <v>4623</v>
      </c>
      <c r="P1148" s="14" t="s">
        <v>4624</v>
      </c>
      <c r="U1148" s="17"/>
      <c r="V1148" s="18"/>
      <c r="W1148" s="16"/>
      <c r="X1148" s="16"/>
      <c r="Y1148" s="16"/>
    </row>
    <row r="1149">
      <c r="A1149" s="9" t="s">
        <v>4625</v>
      </c>
      <c r="B1149" s="10" t="s">
        <v>4626</v>
      </c>
      <c r="C1149" s="10" t="s">
        <v>4135</v>
      </c>
      <c r="D1149" s="10" t="s">
        <v>2450</v>
      </c>
      <c r="E1149" s="10" t="s">
        <v>4047</v>
      </c>
      <c r="F1149" s="10" t="s">
        <v>4136</v>
      </c>
      <c r="G1149" s="10" t="s">
        <v>4137</v>
      </c>
      <c r="H1149" s="10"/>
      <c r="I1149" s="11">
        <v>2088.0</v>
      </c>
      <c r="J1149" s="11">
        <v>5559.0</v>
      </c>
      <c r="K1149" s="12">
        <f t="shared" si="1"/>
        <v>0.6243928764</v>
      </c>
      <c r="L1149" s="13">
        <f>IFERROR(__xludf.DUMMYFUNCTION("GOOGLEFINANCE(""CURRENCY:INRBRL"") * I1149
"),122.94493610544)</f>
        <v>122.9449361</v>
      </c>
      <c r="M1149" s="9">
        <v>4.0</v>
      </c>
      <c r="N1149" s="9">
        <v>5292.0</v>
      </c>
      <c r="O1149" s="9" t="s">
        <v>4627</v>
      </c>
      <c r="P1149" s="14" t="s">
        <v>4628</v>
      </c>
      <c r="U1149" s="17"/>
      <c r="V1149" s="18"/>
      <c r="W1149" s="16"/>
      <c r="X1149" s="16"/>
      <c r="Y1149" s="16"/>
    </row>
    <row r="1150">
      <c r="A1150" s="9" t="s">
        <v>4629</v>
      </c>
      <c r="B1150" s="10" t="s">
        <v>4630</v>
      </c>
      <c r="C1150" s="10" t="s">
        <v>4135</v>
      </c>
      <c r="D1150" s="10" t="s">
        <v>2450</v>
      </c>
      <c r="E1150" s="10" t="s">
        <v>4047</v>
      </c>
      <c r="F1150" s="10" t="s">
        <v>4136</v>
      </c>
      <c r="G1150" s="10" t="s">
        <v>4137</v>
      </c>
      <c r="H1150" s="10"/>
      <c r="I1150" s="11">
        <v>2399.0</v>
      </c>
      <c r="J1150" s="11">
        <v>4599.0</v>
      </c>
      <c r="K1150" s="12">
        <f t="shared" si="1"/>
        <v>0.4783648619</v>
      </c>
      <c r="L1150" s="13">
        <f>IFERROR(__xludf.DUMMYFUNCTION("GOOGLEFINANCE(""CURRENCY:INRBRL"") * I1150
"),141.25713683762)</f>
        <v>141.2571368</v>
      </c>
      <c r="M1150" s="9">
        <v>4.49</v>
      </c>
      <c r="N1150" s="9">
        <v>444.0</v>
      </c>
      <c r="O1150" s="9" t="s">
        <v>4631</v>
      </c>
      <c r="P1150" s="14" t="s">
        <v>4632</v>
      </c>
      <c r="U1150" s="17"/>
      <c r="V1150" s="18"/>
      <c r="W1150" s="16"/>
      <c r="X1150" s="16"/>
      <c r="Y1150" s="16"/>
    </row>
    <row r="1151">
      <c r="A1151" s="9" t="s">
        <v>4633</v>
      </c>
      <c r="B1151" s="10" t="s">
        <v>4634</v>
      </c>
      <c r="C1151" s="10" t="s">
        <v>4068</v>
      </c>
      <c r="D1151" s="10" t="s">
        <v>2450</v>
      </c>
      <c r="E1151" s="10" t="s">
        <v>4038</v>
      </c>
      <c r="F1151" s="10" t="s">
        <v>4039</v>
      </c>
      <c r="G1151" s="10" t="s">
        <v>4069</v>
      </c>
      <c r="H1151" s="10"/>
      <c r="I1151" s="11">
        <v>308.0</v>
      </c>
      <c r="J1151" s="11">
        <v>499.0</v>
      </c>
      <c r="K1151" s="12">
        <f t="shared" si="1"/>
        <v>0.3827655311</v>
      </c>
      <c r="L1151" s="13">
        <f>IFERROR(__xludf.DUMMYFUNCTION("GOOGLEFINANCE(""CURRENCY:INRBRL"") * I1151
"),18.13555570904)</f>
        <v>18.13555571</v>
      </c>
      <c r="M1151" s="9">
        <v>4.52</v>
      </c>
      <c r="N1151" s="9">
        <v>4584.0</v>
      </c>
      <c r="O1151" s="9" t="s">
        <v>4635</v>
      </c>
      <c r="P1151" s="14" t="s">
        <v>4636</v>
      </c>
      <c r="U1151" s="17"/>
      <c r="V1151" s="18"/>
      <c r="W1151" s="16"/>
      <c r="X1151" s="16"/>
      <c r="Y1151" s="16"/>
    </row>
    <row r="1152">
      <c r="A1152" s="9" t="s">
        <v>4637</v>
      </c>
      <c r="B1152" s="10" t="s">
        <v>4638</v>
      </c>
      <c r="C1152" s="10" t="s">
        <v>4135</v>
      </c>
      <c r="D1152" s="10" t="s">
        <v>2450</v>
      </c>
      <c r="E1152" s="10" t="s">
        <v>4047</v>
      </c>
      <c r="F1152" s="10" t="s">
        <v>4136</v>
      </c>
      <c r="G1152" s="10" t="s">
        <v>4137</v>
      </c>
      <c r="H1152" s="10"/>
      <c r="I1152" s="11">
        <v>2599.0</v>
      </c>
      <c r="J1152" s="11">
        <v>4399.0</v>
      </c>
      <c r="K1152" s="12">
        <f t="shared" si="1"/>
        <v>0.4091839054</v>
      </c>
      <c r="L1152" s="13">
        <f>IFERROR(__xludf.DUMMYFUNCTION("GOOGLEFINANCE(""CURRENCY:INRBRL"") * I1152
"),153.03347171362)</f>
        <v>153.0334717</v>
      </c>
      <c r="M1152" s="9">
        <v>4.49</v>
      </c>
      <c r="N1152" s="9">
        <v>14947.0</v>
      </c>
      <c r="O1152" s="9" t="s">
        <v>4639</v>
      </c>
      <c r="P1152" s="14" t="s">
        <v>4640</v>
      </c>
      <c r="U1152" s="17"/>
      <c r="V1152" s="18"/>
      <c r="W1152" s="16"/>
      <c r="X1152" s="16"/>
      <c r="Y1152" s="16"/>
    </row>
    <row r="1153">
      <c r="A1153" s="9" t="s">
        <v>4641</v>
      </c>
      <c r="B1153" s="10" t="s">
        <v>4642</v>
      </c>
      <c r="C1153" s="10" t="s">
        <v>4123</v>
      </c>
      <c r="D1153" s="10" t="s">
        <v>2450</v>
      </c>
      <c r="E1153" s="10" t="s">
        <v>4038</v>
      </c>
      <c r="F1153" s="10" t="s">
        <v>4061</v>
      </c>
      <c r="G1153" s="10" t="s">
        <v>4062</v>
      </c>
      <c r="H1153" s="10" t="s">
        <v>4124</v>
      </c>
      <c r="I1153" s="11">
        <v>479.0</v>
      </c>
      <c r="J1153" s="11">
        <v>999.0</v>
      </c>
      <c r="K1153" s="12">
        <f t="shared" si="1"/>
        <v>0.5205205205</v>
      </c>
      <c r="L1153" s="13">
        <f>IFERROR(__xludf.DUMMYFUNCTION("GOOGLEFINANCE(""CURRENCY:INRBRL"") * I1153
"),28.204322028019998)</f>
        <v>28.20432203</v>
      </c>
      <c r="M1153" s="9">
        <v>4.5</v>
      </c>
      <c r="N1153" s="9">
        <v>1559.0</v>
      </c>
      <c r="O1153" s="9" t="s">
        <v>4643</v>
      </c>
      <c r="P1153" s="14" t="s">
        <v>4644</v>
      </c>
      <c r="U1153" s="17"/>
      <c r="V1153" s="18"/>
      <c r="W1153" s="16"/>
      <c r="X1153" s="16"/>
      <c r="Y1153" s="16"/>
    </row>
    <row r="1154">
      <c r="A1154" s="9" t="s">
        <v>4645</v>
      </c>
      <c r="B1154" s="10" t="s">
        <v>4646</v>
      </c>
      <c r="C1154" s="10" t="s">
        <v>4060</v>
      </c>
      <c r="D1154" s="10" t="s">
        <v>2450</v>
      </c>
      <c r="E1154" s="10" t="s">
        <v>4038</v>
      </c>
      <c r="F1154" s="10" t="s">
        <v>4061</v>
      </c>
      <c r="G1154" s="10" t="s">
        <v>4062</v>
      </c>
      <c r="H1154" s="10" t="s">
        <v>4063</v>
      </c>
      <c r="I1154" s="11">
        <v>245.0</v>
      </c>
      <c r="J1154" s="11">
        <v>299.0</v>
      </c>
      <c r="K1154" s="12">
        <f t="shared" si="1"/>
        <v>0.1806020067</v>
      </c>
      <c r="L1154" s="13">
        <f>IFERROR(__xludf.DUMMYFUNCTION("GOOGLEFINANCE(""CURRENCY:INRBRL"") * I1154
"),14.4260102231)</f>
        <v>14.42601022</v>
      </c>
      <c r="M1154" s="9">
        <v>4.49</v>
      </c>
      <c r="N1154" s="9">
        <v>166.0</v>
      </c>
      <c r="O1154" s="9" t="s">
        <v>4647</v>
      </c>
      <c r="P1154" s="14" t="s">
        <v>4648</v>
      </c>
      <c r="U1154" s="17"/>
      <c r="V1154" s="18"/>
      <c r="W1154" s="16"/>
      <c r="X1154" s="16"/>
      <c r="Y1154" s="16"/>
    </row>
    <row r="1155">
      <c r="A1155" s="9" t="s">
        <v>4649</v>
      </c>
      <c r="B1155" s="10" t="s">
        <v>4650</v>
      </c>
      <c r="C1155" s="10" t="s">
        <v>4060</v>
      </c>
      <c r="D1155" s="10" t="s">
        <v>2450</v>
      </c>
      <c r="E1155" s="10" t="s">
        <v>4038</v>
      </c>
      <c r="F1155" s="10" t="s">
        <v>4061</v>
      </c>
      <c r="G1155" s="10" t="s">
        <v>4062</v>
      </c>
      <c r="H1155" s="10" t="s">
        <v>4063</v>
      </c>
      <c r="I1155" s="11">
        <v>179.0</v>
      </c>
      <c r="J1155" s="11">
        <v>799.0</v>
      </c>
      <c r="K1155" s="12">
        <f t="shared" si="1"/>
        <v>0.7759699625</v>
      </c>
      <c r="L1155" s="13">
        <f>IFERROR(__xludf.DUMMYFUNCTION("GOOGLEFINANCE(""CURRENCY:INRBRL"") * I1155
"),10.53981971402)</f>
        <v>10.53981971</v>
      </c>
      <c r="M1155" s="9">
        <v>4.5</v>
      </c>
      <c r="N1155" s="9">
        <v>132.0</v>
      </c>
      <c r="O1155" s="9" t="s">
        <v>4651</v>
      </c>
      <c r="P1155" s="14" t="s">
        <v>4652</v>
      </c>
      <c r="U1155" s="17"/>
      <c r="V1155" s="18"/>
      <c r="W1155" s="16"/>
      <c r="X1155" s="16"/>
      <c r="Y1155" s="16"/>
    </row>
    <row r="1156">
      <c r="A1156" s="9" t="s">
        <v>4653</v>
      </c>
      <c r="B1156" s="10" t="s">
        <v>4654</v>
      </c>
      <c r="C1156" s="10" t="s">
        <v>4392</v>
      </c>
      <c r="D1156" s="10" t="s">
        <v>2450</v>
      </c>
      <c r="E1156" s="10" t="s">
        <v>4047</v>
      </c>
      <c r="F1156" s="10" t="s">
        <v>4393</v>
      </c>
      <c r="G1156" s="10" t="s">
        <v>4394</v>
      </c>
      <c r="H1156" s="10"/>
      <c r="I1156" s="11">
        <v>3569.0</v>
      </c>
      <c r="J1156" s="11">
        <v>5199.0</v>
      </c>
      <c r="K1156" s="12">
        <f t="shared" si="1"/>
        <v>0.3135218311</v>
      </c>
      <c r="L1156" s="13">
        <f>IFERROR(__xludf.DUMMYFUNCTION("GOOGLEFINANCE(""CURRENCY:INRBRL"") * I1156
"),210.14869586222)</f>
        <v>210.1486959</v>
      </c>
      <c r="M1156" s="9">
        <v>4.5</v>
      </c>
      <c r="N1156" s="9">
        <v>28629.0</v>
      </c>
      <c r="O1156" s="9" t="s">
        <v>4655</v>
      </c>
      <c r="P1156" s="14" t="s">
        <v>4656</v>
      </c>
      <c r="U1156" s="17"/>
      <c r="V1156" s="18"/>
      <c r="W1156" s="16"/>
      <c r="X1156" s="16"/>
      <c r="Y1156" s="16"/>
    </row>
    <row r="1157">
      <c r="A1157" s="9" t="s">
        <v>4657</v>
      </c>
      <c r="B1157" s="10" t="s">
        <v>4658</v>
      </c>
      <c r="C1157" s="10" t="s">
        <v>4037</v>
      </c>
      <c r="D1157" s="10" t="s">
        <v>2450</v>
      </c>
      <c r="E1157" s="10" t="s">
        <v>4038</v>
      </c>
      <c r="F1157" s="10" t="s">
        <v>4039</v>
      </c>
      <c r="G1157" s="10" t="s">
        <v>4040</v>
      </c>
      <c r="H1157" s="10" t="s">
        <v>4041</v>
      </c>
      <c r="I1157" s="11">
        <v>699.0</v>
      </c>
      <c r="J1157" s="11">
        <v>1345.0</v>
      </c>
      <c r="K1157" s="12">
        <f t="shared" si="1"/>
        <v>0.4802973978</v>
      </c>
      <c r="L1157" s="13">
        <f>IFERROR(__xludf.DUMMYFUNCTION("GOOGLEFINANCE(""CURRENCY:INRBRL"") * I1157
"),41.15829039162)</f>
        <v>41.15829039</v>
      </c>
      <c r="M1157" s="9">
        <v>4.52</v>
      </c>
      <c r="N1157" s="9">
        <v>8446.0</v>
      </c>
      <c r="O1157" s="9" t="s">
        <v>4659</v>
      </c>
      <c r="P1157" s="14" t="s">
        <v>4660</v>
      </c>
      <c r="U1157" s="17"/>
      <c r="V1157" s="18"/>
      <c r="W1157" s="16"/>
      <c r="X1157" s="16"/>
      <c r="Y1157" s="16"/>
    </row>
    <row r="1158">
      <c r="A1158" s="9" t="s">
        <v>4661</v>
      </c>
      <c r="B1158" s="10" t="s">
        <v>4662</v>
      </c>
      <c r="C1158" s="10" t="s">
        <v>4099</v>
      </c>
      <c r="D1158" s="10" t="s">
        <v>2450</v>
      </c>
      <c r="E1158" s="10" t="s">
        <v>4038</v>
      </c>
      <c r="F1158" s="10" t="s">
        <v>4039</v>
      </c>
      <c r="G1158" s="10" t="s">
        <v>4100</v>
      </c>
      <c r="H1158" s="10"/>
      <c r="I1158" s="11">
        <v>2089.0</v>
      </c>
      <c r="J1158" s="11">
        <v>3999.0</v>
      </c>
      <c r="K1158" s="12">
        <f t="shared" si="1"/>
        <v>0.4776194049</v>
      </c>
      <c r="L1158" s="13">
        <f>IFERROR(__xludf.DUMMYFUNCTION("GOOGLEFINANCE(""CURRENCY:INRBRL"") * I1158
"),123.00381777982)</f>
        <v>123.0038178</v>
      </c>
      <c r="M1158" s="9">
        <v>4.5</v>
      </c>
      <c r="N1158" s="9">
        <v>11199.0</v>
      </c>
      <c r="O1158" s="9" t="s">
        <v>4663</v>
      </c>
      <c r="P1158" s="14" t="s">
        <v>4664</v>
      </c>
      <c r="U1158" s="17"/>
      <c r="V1158" s="18"/>
      <c r="W1158" s="16"/>
      <c r="X1158" s="16"/>
      <c r="Y1158" s="16"/>
    </row>
    <row r="1159">
      <c r="A1159" s="9" t="s">
        <v>4665</v>
      </c>
      <c r="B1159" s="10" t="s">
        <v>4666</v>
      </c>
      <c r="C1159" s="10" t="s">
        <v>4667</v>
      </c>
      <c r="D1159" s="10" t="s">
        <v>4668</v>
      </c>
      <c r="E1159" s="10" t="s">
        <v>4669</v>
      </c>
      <c r="F1159" s="10" t="s">
        <v>4670</v>
      </c>
      <c r="G1159" s="10" t="s">
        <v>4671</v>
      </c>
      <c r="H1159" s="10"/>
      <c r="I1159" s="11">
        <v>2339.0</v>
      </c>
      <c r="J1159" s="11">
        <v>3999.0</v>
      </c>
      <c r="K1159" s="12">
        <f t="shared" si="1"/>
        <v>0.4151037759</v>
      </c>
      <c r="L1159" s="13">
        <f>IFERROR(__xludf.DUMMYFUNCTION("GOOGLEFINANCE(""CURRENCY:INRBRL"") * I1159
"),137.72423637482)</f>
        <v>137.7242364</v>
      </c>
      <c r="M1159" s="9">
        <v>4.51</v>
      </c>
      <c r="N1159" s="9">
        <v>1118.0</v>
      </c>
      <c r="O1159" s="9" t="s">
        <v>4672</v>
      </c>
      <c r="P1159" s="14" t="s">
        <v>4673</v>
      </c>
      <c r="U1159" s="17"/>
      <c r="V1159" s="18"/>
      <c r="W1159" s="16"/>
      <c r="X1159" s="16"/>
      <c r="Y1159" s="16"/>
    </row>
    <row r="1160">
      <c r="A1160" s="9" t="s">
        <v>4674</v>
      </c>
      <c r="B1160" s="10" t="s">
        <v>4675</v>
      </c>
      <c r="C1160" s="10" t="s">
        <v>4054</v>
      </c>
      <c r="D1160" s="10" t="s">
        <v>2450</v>
      </c>
      <c r="E1160" s="10" t="s">
        <v>4047</v>
      </c>
      <c r="F1160" s="10" t="s">
        <v>4048</v>
      </c>
      <c r="G1160" s="10" t="s">
        <v>4055</v>
      </c>
      <c r="H1160" s="10"/>
      <c r="I1160" s="11">
        <v>784.0</v>
      </c>
      <c r="J1160" s="11">
        <v>1599.0</v>
      </c>
      <c r="K1160" s="12">
        <f t="shared" si="1"/>
        <v>0.5096935585</v>
      </c>
      <c r="L1160" s="13">
        <f>IFERROR(__xludf.DUMMYFUNCTION("GOOGLEFINANCE(""CURRENCY:INRBRL"") * I1160
"),46.163232713919996)</f>
        <v>46.16323271</v>
      </c>
      <c r="M1160" s="9">
        <v>4.51</v>
      </c>
      <c r="N1160" s="9">
        <v>11.0</v>
      </c>
      <c r="O1160" s="9" t="s">
        <v>4676</v>
      </c>
      <c r="P1160" s="14" t="s">
        <v>4677</v>
      </c>
      <c r="U1160" s="17"/>
      <c r="V1160" s="18"/>
      <c r="W1160" s="16"/>
      <c r="X1160" s="16"/>
      <c r="Y1160" s="16"/>
    </row>
    <row r="1161">
      <c r="A1161" s="9" t="s">
        <v>4678</v>
      </c>
      <c r="B1161" s="10" t="s">
        <v>4679</v>
      </c>
      <c r="C1161" s="10" t="s">
        <v>4680</v>
      </c>
      <c r="D1161" s="10" t="s">
        <v>2450</v>
      </c>
      <c r="E1161" s="10" t="s">
        <v>4038</v>
      </c>
      <c r="F1161" s="10" t="s">
        <v>4061</v>
      </c>
      <c r="G1161" s="10" t="s">
        <v>4252</v>
      </c>
      <c r="H1161" s="10" t="s">
        <v>4253</v>
      </c>
      <c r="I1161" s="11">
        <v>5499.0</v>
      </c>
      <c r="J1161" s="11">
        <v>9999.0</v>
      </c>
      <c r="K1161" s="12">
        <f t="shared" si="1"/>
        <v>0.4500450045</v>
      </c>
      <c r="L1161" s="13">
        <f>IFERROR(__xludf.DUMMYFUNCTION("GOOGLEFINANCE(""CURRENCY:INRBRL"") * I1161
"),323.79032741561997)</f>
        <v>323.7903274</v>
      </c>
      <c r="M1161" s="9">
        <v>4.51</v>
      </c>
      <c r="N1161" s="9">
        <v>4353.0</v>
      </c>
      <c r="O1161" s="9" t="s">
        <v>4681</v>
      </c>
      <c r="P1161" s="14" t="s">
        <v>4682</v>
      </c>
      <c r="U1161" s="17"/>
      <c r="V1161" s="18"/>
      <c r="W1161" s="16"/>
      <c r="X1161" s="16"/>
      <c r="Y1161" s="16"/>
    </row>
    <row r="1162">
      <c r="A1162" s="9" t="s">
        <v>4683</v>
      </c>
      <c r="B1162" s="10" t="s">
        <v>4684</v>
      </c>
      <c r="C1162" s="10" t="s">
        <v>4054</v>
      </c>
      <c r="D1162" s="10" t="s">
        <v>2450</v>
      </c>
      <c r="E1162" s="10" t="s">
        <v>4047</v>
      </c>
      <c r="F1162" s="10" t="s">
        <v>4048</v>
      </c>
      <c r="G1162" s="10" t="s">
        <v>4055</v>
      </c>
      <c r="H1162" s="10"/>
      <c r="I1162" s="11">
        <v>899.0</v>
      </c>
      <c r="J1162" s="11">
        <v>1999.0</v>
      </c>
      <c r="K1162" s="12">
        <f t="shared" si="1"/>
        <v>0.5502751376</v>
      </c>
      <c r="L1162" s="13">
        <f>IFERROR(__xludf.DUMMYFUNCTION("GOOGLEFINANCE(""CURRENCY:INRBRL"") * I1162
"),52.93462526762)</f>
        <v>52.93462527</v>
      </c>
      <c r="M1162" s="9">
        <v>4.49</v>
      </c>
      <c r="N1162" s="9">
        <v>185.0</v>
      </c>
      <c r="O1162" s="9" t="s">
        <v>4685</v>
      </c>
      <c r="P1162" s="14" t="s">
        <v>4686</v>
      </c>
      <c r="U1162" s="17"/>
      <c r="V1162" s="18"/>
      <c r="W1162" s="16"/>
      <c r="X1162" s="16"/>
      <c r="Y1162" s="16"/>
    </row>
    <row r="1163">
      <c r="A1163" s="9" t="s">
        <v>4687</v>
      </c>
      <c r="B1163" s="10" t="s">
        <v>4688</v>
      </c>
      <c r="C1163" s="10" t="s">
        <v>4117</v>
      </c>
      <c r="D1163" s="10" t="s">
        <v>2450</v>
      </c>
      <c r="E1163" s="10" t="s">
        <v>4038</v>
      </c>
      <c r="F1163" s="10" t="s">
        <v>4039</v>
      </c>
      <c r="G1163" s="10" t="s">
        <v>4118</v>
      </c>
      <c r="H1163" s="10"/>
      <c r="I1163" s="11">
        <v>1695.0</v>
      </c>
      <c r="J1163" s="11">
        <v>1695.0</v>
      </c>
      <c r="K1163" s="12">
        <f t="shared" si="1"/>
        <v>0</v>
      </c>
      <c r="L1163" s="13">
        <f>IFERROR(__xludf.DUMMYFUNCTION("GOOGLEFINANCE(""CURRENCY:INRBRL"") * I1163
"),99.80443807409999)</f>
        <v>99.80443807</v>
      </c>
      <c r="M1163" s="9">
        <v>4.5</v>
      </c>
      <c r="N1163" s="9">
        <v>1429.0</v>
      </c>
      <c r="O1163" s="9" t="s">
        <v>4689</v>
      </c>
      <c r="P1163" s="14" t="s">
        <v>4690</v>
      </c>
      <c r="U1163" s="17"/>
      <c r="V1163" s="18"/>
      <c r="W1163" s="16"/>
      <c r="X1163" s="16"/>
      <c r="Y1163" s="16"/>
    </row>
    <row r="1164">
      <c r="A1164" s="9" t="s">
        <v>4691</v>
      </c>
      <c r="B1164" s="10" t="s">
        <v>4692</v>
      </c>
      <c r="C1164" s="10" t="s">
        <v>4123</v>
      </c>
      <c r="D1164" s="10" t="s">
        <v>2450</v>
      </c>
      <c r="E1164" s="10" t="s">
        <v>4038</v>
      </c>
      <c r="F1164" s="10" t="s">
        <v>4061</v>
      </c>
      <c r="G1164" s="10" t="s">
        <v>4062</v>
      </c>
      <c r="H1164" s="10" t="s">
        <v>4124</v>
      </c>
      <c r="I1164" s="11">
        <v>499.0</v>
      </c>
      <c r="J1164" s="11">
        <v>940.0</v>
      </c>
      <c r="K1164" s="12">
        <f t="shared" si="1"/>
        <v>0.4691489362</v>
      </c>
      <c r="L1164" s="13">
        <f>IFERROR(__xludf.DUMMYFUNCTION("GOOGLEFINANCE(""CURRENCY:INRBRL"") * I1164
"),29.38195551562)</f>
        <v>29.38195552</v>
      </c>
      <c r="M1164" s="9">
        <v>4.49</v>
      </c>
      <c r="N1164" s="9">
        <v>3036.0</v>
      </c>
      <c r="O1164" s="9" t="s">
        <v>4424</v>
      </c>
      <c r="P1164" s="14" t="s">
        <v>4693</v>
      </c>
      <c r="U1164" s="17"/>
      <c r="V1164" s="18"/>
      <c r="W1164" s="16"/>
      <c r="X1164" s="16"/>
      <c r="Y1164" s="16"/>
    </row>
    <row r="1165">
      <c r="A1165" s="9" t="s">
        <v>4694</v>
      </c>
      <c r="B1165" s="10" t="s">
        <v>4695</v>
      </c>
      <c r="C1165" s="10" t="s">
        <v>4135</v>
      </c>
      <c r="D1165" s="10" t="s">
        <v>2450</v>
      </c>
      <c r="E1165" s="10" t="s">
        <v>4047</v>
      </c>
      <c r="F1165" s="10" t="s">
        <v>4136</v>
      </c>
      <c r="G1165" s="10" t="s">
        <v>4137</v>
      </c>
      <c r="H1165" s="10"/>
      <c r="I1165" s="11">
        <v>2699.0</v>
      </c>
      <c r="J1165" s="11">
        <v>4699.0</v>
      </c>
      <c r="K1165" s="12">
        <f t="shared" si="1"/>
        <v>0.4256224729</v>
      </c>
      <c r="L1165" s="13">
        <f>IFERROR(__xludf.DUMMYFUNCTION("GOOGLEFINANCE(""CURRENCY:INRBRL"") * I1165
"),158.92163915161998)</f>
        <v>158.9216392</v>
      </c>
      <c r="M1165" s="9">
        <v>4.5</v>
      </c>
      <c r="N1165" s="9">
        <v>1296.0</v>
      </c>
      <c r="O1165" s="9" t="s">
        <v>4696</v>
      </c>
      <c r="P1165" s="14" t="s">
        <v>4697</v>
      </c>
      <c r="U1165" s="17"/>
      <c r="V1165" s="18"/>
      <c r="W1165" s="16"/>
      <c r="X1165" s="16"/>
      <c r="Y1165" s="16"/>
    </row>
    <row r="1166">
      <c r="A1166" s="9" t="s">
        <v>4698</v>
      </c>
      <c r="B1166" s="10" t="s">
        <v>4699</v>
      </c>
      <c r="C1166" s="10" t="s">
        <v>4135</v>
      </c>
      <c r="D1166" s="10" t="s">
        <v>2450</v>
      </c>
      <c r="E1166" s="10" t="s">
        <v>4047</v>
      </c>
      <c r="F1166" s="10" t="s">
        <v>4136</v>
      </c>
      <c r="G1166" s="10" t="s">
        <v>4137</v>
      </c>
      <c r="H1166" s="10"/>
      <c r="I1166" s="11">
        <v>1448.0</v>
      </c>
      <c r="J1166" s="11">
        <v>2999.0</v>
      </c>
      <c r="K1166" s="12">
        <f t="shared" si="1"/>
        <v>0.5171723908</v>
      </c>
      <c r="L1166" s="13">
        <f>IFERROR(__xludf.DUMMYFUNCTION("GOOGLEFINANCE(""CURRENCY:INRBRL"") * I1166
"),85.26066450224)</f>
        <v>85.2606645</v>
      </c>
      <c r="M1166" s="9">
        <v>4.51</v>
      </c>
      <c r="N1166" s="9">
        <v>19.0</v>
      </c>
      <c r="O1166" s="9" t="s">
        <v>4700</v>
      </c>
      <c r="P1166" s="14" t="s">
        <v>4701</v>
      </c>
      <c r="U1166" s="17"/>
      <c r="V1166" s="18"/>
      <c r="W1166" s="16"/>
      <c r="X1166" s="16"/>
      <c r="Y1166" s="16"/>
    </row>
    <row r="1167">
      <c r="A1167" s="9" t="s">
        <v>4702</v>
      </c>
      <c r="B1167" s="10" t="s">
        <v>4703</v>
      </c>
      <c r="C1167" s="10" t="s">
        <v>4386</v>
      </c>
      <c r="D1167" s="10" t="s">
        <v>2450</v>
      </c>
      <c r="E1167" s="10" t="s">
        <v>4038</v>
      </c>
      <c r="F1167" s="10" t="s">
        <v>4039</v>
      </c>
      <c r="G1167" s="10" t="s">
        <v>4387</v>
      </c>
      <c r="H1167" s="10"/>
      <c r="I1167" s="11">
        <v>79.0</v>
      </c>
      <c r="J1167" s="11">
        <v>79.0</v>
      </c>
      <c r="K1167" s="12">
        <f t="shared" si="1"/>
        <v>0</v>
      </c>
      <c r="L1167" s="13">
        <f>IFERROR(__xludf.DUMMYFUNCTION("GOOGLEFINANCE(""CURRENCY:INRBRL"") * I1167
"),4.65165227602)</f>
        <v>4.651652276</v>
      </c>
      <c r="M1167" s="9">
        <v>4.0</v>
      </c>
      <c r="N1167" s="9">
        <v>97.0</v>
      </c>
      <c r="O1167" s="9" t="s">
        <v>4704</v>
      </c>
      <c r="P1167" s="14" t="s">
        <v>4705</v>
      </c>
      <c r="U1167" s="17"/>
      <c r="V1167" s="18"/>
      <c r="W1167" s="16"/>
      <c r="X1167" s="16"/>
      <c r="Y1167" s="16"/>
    </row>
    <row r="1168">
      <c r="A1168" s="9" t="s">
        <v>4706</v>
      </c>
      <c r="B1168" s="10" t="s">
        <v>4707</v>
      </c>
      <c r="C1168" s="10" t="s">
        <v>4161</v>
      </c>
      <c r="D1168" s="10" t="s">
        <v>2450</v>
      </c>
      <c r="E1168" s="10" t="s">
        <v>4047</v>
      </c>
      <c r="F1168" s="10" t="s">
        <v>4136</v>
      </c>
      <c r="G1168" s="10" t="s">
        <v>4162</v>
      </c>
      <c r="H1168" s="10"/>
      <c r="I1168" s="11">
        <v>6999.0</v>
      </c>
      <c r="J1168" s="11">
        <v>14299.0</v>
      </c>
      <c r="K1168" s="12">
        <f t="shared" si="1"/>
        <v>0.5105252116</v>
      </c>
      <c r="L1168" s="13">
        <f>IFERROR(__xludf.DUMMYFUNCTION("GOOGLEFINANCE(""CURRENCY:INRBRL"") * I1168
"),412.11283898562)</f>
        <v>412.112839</v>
      </c>
      <c r="M1168" s="9">
        <v>4.5</v>
      </c>
      <c r="N1168" s="9">
        <v>1771.0</v>
      </c>
      <c r="O1168" s="9" t="s">
        <v>4708</v>
      </c>
      <c r="P1168" s="14" t="s">
        <v>4709</v>
      </c>
      <c r="U1168" s="17"/>
      <c r="V1168" s="18"/>
      <c r="W1168" s="16"/>
      <c r="X1168" s="16"/>
      <c r="Y1168" s="16"/>
    </row>
    <row r="1169">
      <c r="A1169" s="9" t="s">
        <v>4710</v>
      </c>
      <c r="B1169" s="10" t="s">
        <v>4711</v>
      </c>
      <c r="C1169" s="10" t="s">
        <v>4099</v>
      </c>
      <c r="D1169" s="10" t="s">
        <v>2450</v>
      </c>
      <c r="E1169" s="10" t="s">
        <v>4038</v>
      </c>
      <c r="F1169" s="10" t="s">
        <v>4039</v>
      </c>
      <c r="G1169" s="10" t="s">
        <v>4100</v>
      </c>
      <c r="H1169" s="10"/>
      <c r="I1169" s="11">
        <v>2698.0</v>
      </c>
      <c r="J1169" s="11">
        <v>3945.0</v>
      </c>
      <c r="K1169" s="12">
        <f t="shared" si="1"/>
        <v>0.3160963245</v>
      </c>
      <c r="L1169" s="13">
        <f>IFERROR(__xludf.DUMMYFUNCTION("GOOGLEFINANCE(""CURRENCY:INRBRL"") * I1169
"),158.86275747724)</f>
        <v>158.8627575</v>
      </c>
      <c r="M1169" s="9">
        <v>4.0</v>
      </c>
      <c r="N1169" s="9">
        <v>15034.0</v>
      </c>
      <c r="O1169" s="9" t="s">
        <v>4712</v>
      </c>
      <c r="P1169" s="14" t="s">
        <v>4713</v>
      </c>
      <c r="U1169" s="17"/>
      <c r="V1169" s="18"/>
      <c r="W1169" s="16"/>
      <c r="X1169" s="16"/>
      <c r="Y1169" s="16"/>
    </row>
    <row r="1170">
      <c r="A1170" s="9" t="s">
        <v>4714</v>
      </c>
      <c r="B1170" s="10" t="s">
        <v>4715</v>
      </c>
      <c r="C1170" s="10" t="s">
        <v>4680</v>
      </c>
      <c r="D1170" s="10" t="s">
        <v>2450</v>
      </c>
      <c r="E1170" s="10" t="s">
        <v>4038</v>
      </c>
      <c r="F1170" s="10" t="s">
        <v>4061</v>
      </c>
      <c r="G1170" s="10" t="s">
        <v>4252</v>
      </c>
      <c r="H1170" s="10" t="s">
        <v>4253</v>
      </c>
      <c r="I1170" s="11">
        <v>3199.0</v>
      </c>
      <c r="J1170" s="11">
        <v>5999.0</v>
      </c>
      <c r="K1170" s="12">
        <f t="shared" si="1"/>
        <v>0.4667444574</v>
      </c>
      <c r="L1170" s="13">
        <f>IFERROR(__xludf.DUMMYFUNCTION("GOOGLEFINANCE(""CURRENCY:INRBRL"") * I1170
"),188.36247634162)</f>
        <v>188.3624763</v>
      </c>
      <c r="M1170" s="9">
        <v>4.0</v>
      </c>
      <c r="N1170" s="9">
        <v>3242.0</v>
      </c>
      <c r="O1170" s="9" t="s">
        <v>4716</v>
      </c>
      <c r="P1170" s="14" t="s">
        <v>4717</v>
      </c>
      <c r="U1170" s="17"/>
      <c r="V1170" s="18"/>
      <c r="W1170" s="16"/>
      <c r="X1170" s="16"/>
      <c r="Y1170" s="16"/>
    </row>
    <row r="1171">
      <c r="A1171" s="9" t="s">
        <v>4718</v>
      </c>
      <c r="B1171" s="10" t="s">
        <v>4719</v>
      </c>
      <c r="C1171" s="10" t="s">
        <v>4155</v>
      </c>
      <c r="D1171" s="10" t="s">
        <v>2450</v>
      </c>
      <c r="E1171" s="10" t="s">
        <v>4038</v>
      </c>
      <c r="F1171" s="10" t="s">
        <v>4039</v>
      </c>
      <c r="G1171" s="10" t="s">
        <v>4040</v>
      </c>
      <c r="H1171" s="10" t="s">
        <v>4156</v>
      </c>
      <c r="I1171" s="11">
        <v>1199.0</v>
      </c>
      <c r="J1171" s="11">
        <v>1949.0</v>
      </c>
      <c r="K1171" s="12">
        <f t="shared" si="1"/>
        <v>0.3848127245</v>
      </c>
      <c r="L1171" s="13">
        <f>IFERROR(__xludf.DUMMYFUNCTION("GOOGLEFINANCE(""CURRENCY:INRBRL"") * I1171
"),70.59912758162)</f>
        <v>70.59912758</v>
      </c>
      <c r="M1171" s="9">
        <v>4.52</v>
      </c>
      <c r="N1171" s="9">
        <v>2832.0</v>
      </c>
      <c r="O1171" s="9" t="s">
        <v>4720</v>
      </c>
      <c r="P1171" s="14" t="s">
        <v>4721</v>
      </c>
      <c r="U1171" s="17"/>
      <c r="V1171" s="18"/>
      <c r="W1171" s="16"/>
      <c r="X1171" s="16"/>
      <c r="Y1171" s="16"/>
    </row>
    <row r="1172">
      <c r="A1172" s="9" t="s">
        <v>4722</v>
      </c>
      <c r="B1172" s="10" t="s">
        <v>4723</v>
      </c>
      <c r="C1172" s="10" t="s">
        <v>4346</v>
      </c>
      <c r="D1172" s="10" t="s">
        <v>2450</v>
      </c>
      <c r="E1172" s="10" t="s">
        <v>4038</v>
      </c>
      <c r="F1172" s="10" t="s">
        <v>4039</v>
      </c>
      <c r="G1172" s="10" t="s">
        <v>4347</v>
      </c>
      <c r="H1172" s="10"/>
      <c r="I1172" s="11">
        <v>1414.0</v>
      </c>
      <c r="J1172" s="11">
        <v>2799.0</v>
      </c>
      <c r="K1172" s="12">
        <f t="shared" si="1"/>
        <v>0.4948195784</v>
      </c>
      <c r="L1172" s="13">
        <f>IFERROR(__xludf.DUMMYFUNCTION("GOOGLEFINANCE(""CURRENCY:INRBRL"") * I1172
"),83.25868757332)</f>
        <v>83.25868757</v>
      </c>
      <c r="M1172" s="9">
        <v>4.0</v>
      </c>
      <c r="N1172" s="9">
        <v>1498.0</v>
      </c>
      <c r="O1172" s="9" t="s">
        <v>4724</v>
      </c>
      <c r="P1172" s="14" t="s">
        <v>4725</v>
      </c>
      <c r="U1172" s="17"/>
      <c r="V1172" s="18"/>
      <c r="W1172" s="16"/>
      <c r="X1172" s="16"/>
      <c r="Y1172" s="16"/>
    </row>
    <row r="1173">
      <c r="A1173" s="9" t="s">
        <v>4726</v>
      </c>
      <c r="B1173" s="10" t="s">
        <v>4727</v>
      </c>
      <c r="C1173" s="10" t="s">
        <v>4037</v>
      </c>
      <c r="D1173" s="10" t="s">
        <v>2450</v>
      </c>
      <c r="E1173" s="10" t="s">
        <v>4038</v>
      </c>
      <c r="F1173" s="10" t="s">
        <v>4039</v>
      </c>
      <c r="G1173" s="10" t="s">
        <v>4040</v>
      </c>
      <c r="H1173" s="10" t="s">
        <v>4041</v>
      </c>
      <c r="I1173" s="11">
        <v>999.0</v>
      </c>
      <c r="J1173" s="11">
        <v>1949.0</v>
      </c>
      <c r="K1173" s="12">
        <f t="shared" si="1"/>
        <v>0.487429451</v>
      </c>
      <c r="L1173" s="13">
        <f>IFERROR(__xludf.DUMMYFUNCTION("GOOGLEFINANCE(""CURRENCY:INRBRL"") * I1173
"),58.822792705619996)</f>
        <v>58.82279271</v>
      </c>
      <c r="M1173" s="9">
        <v>4.51</v>
      </c>
      <c r="N1173" s="9">
        <v>305.0</v>
      </c>
      <c r="O1173" s="9" t="s">
        <v>4728</v>
      </c>
      <c r="P1173" s="14" t="s">
        <v>4729</v>
      </c>
      <c r="U1173" s="17"/>
      <c r="V1173" s="18"/>
      <c r="W1173" s="16"/>
      <c r="X1173" s="16"/>
      <c r="Y1173" s="16"/>
    </row>
    <row r="1174">
      <c r="A1174" s="9" t="s">
        <v>4730</v>
      </c>
      <c r="B1174" s="10" t="s">
        <v>4731</v>
      </c>
      <c r="C1174" s="10" t="s">
        <v>4407</v>
      </c>
      <c r="D1174" s="10" t="s">
        <v>2450</v>
      </c>
      <c r="E1174" s="10" t="s">
        <v>4038</v>
      </c>
      <c r="F1174" s="10" t="s">
        <v>4061</v>
      </c>
      <c r="G1174" s="10" t="s">
        <v>4252</v>
      </c>
      <c r="H1174" s="10" t="s">
        <v>4253</v>
      </c>
      <c r="I1174" s="11">
        <v>5999.0</v>
      </c>
      <c r="J1174" s="11">
        <v>9999.0</v>
      </c>
      <c r="K1174" s="12">
        <f t="shared" si="1"/>
        <v>0.400040004</v>
      </c>
      <c r="L1174" s="13">
        <f>IFERROR(__xludf.DUMMYFUNCTION("GOOGLEFINANCE(""CURRENCY:INRBRL"") * I1174
"),353.23116460562)</f>
        <v>353.2311646</v>
      </c>
      <c r="M1174" s="9">
        <v>4.5</v>
      </c>
      <c r="N1174" s="9">
        <v>1191.0</v>
      </c>
      <c r="O1174" s="9" t="s">
        <v>4732</v>
      </c>
      <c r="P1174" s="14" t="s">
        <v>4733</v>
      </c>
      <c r="U1174" s="17"/>
      <c r="V1174" s="18"/>
      <c r="W1174" s="16"/>
      <c r="X1174" s="16"/>
      <c r="Y1174" s="16"/>
    </row>
    <row r="1175">
      <c r="A1175" s="9" t="s">
        <v>4734</v>
      </c>
      <c r="B1175" s="10" t="s">
        <v>4735</v>
      </c>
      <c r="C1175" s="10" t="s">
        <v>4736</v>
      </c>
      <c r="D1175" s="10" t="s">
        <v>2450</v>
      </c>
      <c r="E1175" s="10" t="s">
        <v>4047</v>
      </c>
      <c r="F1175" s="10" t="s">
        <v>4737</v>
      </c>
      <c r="G1175" s="10" t="s">
        <v>4738</v>
      </c>
      <c r="H1175" s="10"/>
      <c r="I1175" s="11">
        <v>9979.0</v>
      </c>
      <c r="J1175" s="11">
        <v>12999.0</v>
      </c>
      <c r="K1175" s="12">
        <f t="shared" si="1"/>
        <v>0.2323255635</v>
      </c>
      <c r="L1175" s="13">
        <f>IFERROR(__xludf.DUMMYFUNCTION("GOOGLEFINANCE(""CURRENCY:INRBRL"") * I1175
"),587.58022863802)</f>
        <v>587.5802286</v>
      </c>
      <c r="M1175" s="9">
        <v>4.5</v>
      </c>
      <c r="N1175" s="9">
        <v>4049.0</v>
      </c>
      <c r="O1175" s="9" t="s">
        <v>4739</v>
      </c>
      <c r="P1175" s="14" t="s">
        <v>4740</v>
      </c>
      <c r="U1175" s="17"/>
      <c r="V1175" s="18"/>
      <c r="W1175" s="16"/>
      <c r="X1175" s="16"/>
      <c r="Y1175" s="16"/>
    </row>
    <row r="1176">
      <c r="A1176" s="9" t="s">
        <v>4741</v>
      </c>
      <c r="B1176" s="10" t="s">
        <v>4742</v>
      </c>
      <c r="C1176" s="10" t="s">
        <v>4743</v>
      </c>
      <c r="D1176" s="10" t="s">
        <v>2450</v>
      </c>
      <c r="E1176" s="10" t="s">
        <v>4038</v>
      </c>
      <c r="F1176" s="10" t="s">
        <v>4545</v>
      </c>
      <c r="G1176" s="10" t="s">
        <v>4744</v>
      </c>
      <c r="H1176" s="10"/>
      <c r="I1176" s="11">
        <v>698.0</v>
      </c>
      <c r="J1176" s="11">
        <v>699.0</v>
      </c>
      <c r="K1176" s="12">
        <f t="shared" si="1"/>
        <v>0.001430615165</v>
      </c>
      <c r="L1176" s="13">
        <f>IFERROR(__xludf.DUMMYFUNCTION("GOOGLEFINANCE(""CURRENCY:INRBRL"") * I1176
"),41.099408717239996)</f>
        <v>41.09940872</v>
      </c>
      <c r="M1176" s="9">
        <v>4.5</v>
      </c>
      <c r="N1176" s="9">
        <v>316.0</v>
      </c>
      <c r="O1176" s="9" t="s">
        <v>4745</v>
      </c>
      <c r="P1176" s="14" t="s">
        <v>4746</v>
      </c>
      <c r="U1176" s="17"/>
      <c r="V1176" s="18"/>
      <c r="W1176" s="16"/>
      <c r="X1176" s="16"/>
      <c r="Y1176" s="16"/>
    </row>
    <row r="1177">
      <c r="A1177" s="9" t="s">
        <v>4747</v>
      </c>
      <c r="B1177" s="10" t="s">
        <v>4748</v>
      </c>
      <c r="C1177" s="10" t="s">
        <v>4392</v>
      </c>
      <c r="D1177" s="10" t="s">
        <v>2450</v>
      </c>
      <c r="E1177" s="10" t="s">
        <v>4047</v>
      </c>
      <c r="F1177" s="10" t="s">
        <v>4393</v>
      </c>
      <c r="G1177" s="10" t="s">
        <v>4394</v>
      </c>
      <c r="H1177" s="10"/>
      <c r="I1177" s="11">
        <v>2199.0</v>
      </c>
      <c r="J1177" s="11">
        <v>3199.0</v>
      </c>
      <c r="K1177" s="12">
        <f t="shared" si="1"/>
        <v>0.3125976868</v>
      </c>
      <c r="L1177" s="13">
        <f>IFERROR(__xludf.DUMMYFUNCTION("GOOGLEFINANCE(""CURRENCY:INRBRL"") * I1177
"),129.48080196162)</f>
        <v>129.480802</v>
      </c>
      <c r="M1177" s="9">
        <v>4.5</v>
      </c>
      <c r="N1177" s="9">
        <v>965.0</v>
      </c>
      <c r="O1177" s="9" t="s">
        <v>4749</v>
      </c>
      <c r="P1177" s="14" t="s">
        <v>4750</v>
      </c>
      <c r="U1177" s="17"/>
      <c r="V1177" s="18"/>
      <c r="W1177" s="16"/>
      <c r="X1177" s="16"/>
      <c r="Y1177" s="16"/>
    </row>
    <row r="1178">
      <c r="A1178" s="9" t="s">
        <v>4751</v>
      </c>
      <c r="B1178" s="10" t="s">
        <v>4752</v>
      </c>
      <c r="C1178" s="10" t="s">
        <v>4753</v>
      </c>
      <c r="D1178" s="10" t="s">
        <v>2450</v>
      </c>
      <c r="E1178" s="10" t="s">
        <v>4213</v>
      </c>
      <c r="F1178" s="10" t="s">
        <v>4214</v>
      </c>
      <c r="G1178" s="10" t="s">
        <v>4754</v>
      </c>
      <c r="H1178" s="10"/>
      <c r="I1178" s="11">
        <v>320.0</v>
      </c>
      <c r="J1178" s="11">
        <v>799.0</v>
      </c>
      <c r="K1178" s="12">
        <f t="shared" si="1"/>
        <v>0.5994993742</v>
      </c>
      <c r="L1178" s="13">
        <f>IFERROR(__xludf.DUMMYFUNCTION("GOOGLEFINANCE(""CURRENCY:INRBRL"") * I1178
"),18.8421358016)</f>
        <v>18.8421358</v>
      </c>
      <c r="M1178" s="9">
        <v>4.5</v>
      </c>
      <c r="N1178" s="9">
        <v>3846.0</v>
      </c>
      <c r="O1178" s="9" t="s">
        <v>4755</v>
      </c>
      <c r="P1178" s="14" t="s">
        <v>4756</v>
      </c>
      <c r="U1178" s="17"/>
      <c r="V1178" s="18"/>
      <c r="W1178" s="16"/>
      <c r="X1178" s="16"/>
      <c r="Y1178" s="16"/>
    </row>
    <row r="1179">
      <c r="A1179" s="9" t="s">
        <v>4757</v>
      </c>
      <c r="B1179" s="10" t="s">
        <v>4758</v>
      </c>
      <c r="C1179" s="10" t="s">
        <v>4060</v>
      </c>
      <c r="D1179" s="10" t="s">
        <v>2450</v>
      </c>
      <c r="E1179" s="10" t="s">
        <v>4038</v>
      </c>
      <c r="F1179" s="10" t="s">
        <v>4061</v>
      </c>
      <c r="G1179" s="10" t="s">
        <v>4062</v>
      </c>
      <c r="H1179" s="10" t="s">
        <v>4063</v>
      </c>
      <c r="I1179" s="11">
        <v>298.0</v>
      </c>
      <c r="J1179" s="11">
        <v>499.0</v>
      </c>
      <c r="K1179" s="12">
        <f t="shared" si="1"/>
        <v>0.4028056112</v>
      </c>
      <c r="L1179" s="13">
        <f>IFERROR(__xludf.DUMMYFUNCTION("GOOGLEFINANCE(""CURRENCY:INRBRL"") * I1179
"),17.54673896524)</f>
        <v>17.54673897</v>
      </c>
      <c r="M1179" s="9">
        <v>4.5</v>
      </c>
      <c r="N1179" s="9">
        <v>290.0</v>
      </c>
      <c r="O1179" s="9" t="s">
        <v>4759</v>
      </c>
      <c r="P1179" s="14" t="s">
        <v>4760</v>
      </c>
      <c r="U1179" s="17"/>
      <c r="V1179" s="18"/>
      <c r="W1179" s="16"/>
      <c r="X1179" s="16"/>
      <c r="Y1179" s="16"/>
    </row>
    <row r="1180">
      <c r="A1180" s="9" t="s">
        <v>4761</v>
      </c>
      <c r="B1180" s="10" t="s">
        <v>4762</v>
      </c>
      <c r="C1180" s="10" t="s">
        <v>4237</v>
      </c>
      <c r="D1180" s="10" t="s">
        <v>2450</v>
      </c>
      <c r="E1180" s="10" t="s">
        <v>4038</v>
      </c>
      <c r="F1180" s="10" t="s">
        <v>4039</v>
      </c>
      <c r="G1180" s="10" t="s">
        <v>4238</v>
      </c>
      <c r="H1180" s="10"/>
      <c r="I1180" s="11">
        <v>1199.0</v>
      </c>
      <c r="J1180" s="11">
        <v>1499.0</v>
      </c>
      <c r="K1180" s="12">
        <f t="shared" si="1"/>
        <v>0.2001334223</v>
      </c>
      <c r="L1180" s="13">
        <f>IFERROR(__xludf.DUMMYFUNCTION("GOOGLEFINANCE(""CURRENCY:INRBRL"") * I1180
"),70.59912758162)</f>
        <v>70.59912758</v>
      </c>
      <c r="M1180" s="9">
        <v>4.51</v>
      </c>
      <c r="N1180" s="9">
        <v>2206.0</v>
      </c>
      <c r="O1180" s="9" t="s">
        <v>4763</v>
      </c>
      <c r="P1180" s="14" t="s">
        <v>4764</v>
      </c>
      <c r="U1180" s="17"/>
      <c r="V1180" s="18"/>
      <c r="W1180" s="16"/>
      <c r="X1180" s="16"/>
      <c r="Y1180" s="16"/>
    </row>
    <row r="1181">
      <c r="A1181" s="9" t="s">
        <v>4765</v>
      </c>
      <c r="B1181" s="10" t="s">
        <v>4766</v>
      </c>
      <c r="C1181" s="10" t="s">
        <v>4392</v>
      </c>
      <c r="D1181" s="10" t="s">
        <v>2450</v>
      </c>
      <c r="E1181" s="10" t="s">
        <v>4047</v>
      </c>
      <c r="F1181" s="10" t="s">
        <v>4393</v>
      </c>
      <c r="G1181" s="10" t="s">
        <v>4394</v>
      </c>
      <c r="H1181" s="10"/>
      <c r="I1181" s="11">
        <v>1399.0</v>
      </c>
      <c r="J1181" s="11">
        <v>2669.0</v>
      </c>
      <c r="K1181" s="12">
        <f t="shared" si="1"/>
        <v>0.4758336456</v>
      </c>
      <c r="L1181" s="13">
        <f>IFERROR(__xludf.DUMMYFUNCTION("GOOGLEFINANCE(""CURRENCY:INRBRL"") * I1181
"),82.37546245762)</f>
        <v>82.37546246</v>
      </c>
      <c r="M1181" s="9">
        <v>4.49</v>
      </c>
      <c r="N1181" s="9">
        <v>9349.0</v>
      </c>
      <c r="O1181" s="9" t="s">
        <v>4767</v>
      </c>
      <c r="P1181" s="14" t="s">
        <v>4768</v>
      </c>
      <c r="U1181" s="17"/>
      <c r="V1181" s="18"/>
      <c r="W1181" s="16"/>
      <c r="X1181" s="16"/>
      <c r="Y1181" s="16"/>
    </row>
    <row r="1182">
      <c r="A1182" s="9" t="s">
        <v>4769</v>
      </c>
      <c r="B1182" s="10" t="s">
        <v>4770</v>
      </c>
      <c r="C1182" s="10" t="s">
        <v>4068</v>
      </c>
      <c r="D1182" s="10" t="s">
        <v>2450</v>
      </c>
      <c r="E1182" s="10" t="s">
        <v>4038</v>
      </c>
      <c r="F1182" s="10" t="s">
        <v>4039</v>
      </c>
      <c r="G1182" s="10" t="s">
        <v>4069</v>
      </c>
      <c r="H1182" s="10"/>
      <c r="I1182" s="11">
        <v>599.0</v>
      </c>
      <c r="J1182" s="11">
        <v>2799.0</v>
      </c>
      <c r="K1182" s="12">
        <f t="shared" si="1"/>
        <v>0.7859949982</v>
      </c>
      <c r="L1182" s="13">
        <f>IFERROR(__xludf.DUMMYFUNCTION("GOOGLEFINANCE(""CURRENCY:INRBRL"") * I1182
"),35.270122953619996)</f>
        <v>35.27012295</v>
      </c>
      <c r="M1182" s="9">
        <v>4.52</v>
      </c>
      <c r="N1182" s="9">
        <v>578.0</v>
      </c>
      <c r="O1182" s="9" t="s">
        <v>4771</v>
      </c>
      <c r="P1182" s="14" t="s">
        <v>4772</v>
      </c>
      <c r="U1182" s="17"/>
      <c r="V1182" s="18"/>
      <c r="W1182" s="16"/>
      <c r="X1182" s="16"/>
      <c r="Y1182" s="16"/>
    </row>
    <row r="1183">
      <c r="A1183" s="9" t="s">
        <v>4773</v>
      </c>
      <c r="B1183" s="10" t="s">
        <v>4774</v>
      </c>
      <c r="C1183" s="10" t="s">
        <v>4464</v>
      </c>
      <c r="D1183" s="10" t="s">
        <v>2450</v>
      </c>
      <c r="E1183" s="10" t="s">
        <v>4038</v>
      </c>
      <c r="F1183" s="10" t="s">
        <v>4039</v>
      </c>
      <c r="G1183" s="10" t="s">
        <v>4465</v>
      </c>
      <c r="H1183" s="10"/>
      <c r="I1183" s="11">
        <v>1499.0</v>
      </c>
      <c r="J1183" s="11">
        <v>1499.0</v>
      </c>
      <c r="K1183" s="12">
        <f t="shared" si="1"/>
        <v>0</v>
      </c>
      <c r="L1183" s="13">
        <f>IFERROR(__xludf.DUMMYFUNCTION("GOOGLEFINANCE(""CURRENCY:INRBRL"") * I1183
"),88.26362989562)</f>
        <v>88.2636299</v>
      </c>
      <c r="M1183" s="9">
        <v>4.5</v>
      </c>
      <c r="N1183" s="9">
        <v>9331.0</v>
      </c>
      <c r="O1183" s="9" t="s">
        <v>4775</v>
      </c>
      <c r="P1183" s="14" t="s">
        <v>4776</v>
      </c>
      <c r="U1183" s="17"/>
      <c r="V1183" s="18"/>
      <c r="W1183" s="16"/>
      <c r="X1183" s="16"/>
      <c r="Y1183" s="16"/>
    </row>
    <row r="1184">
      <c r="A1184" s="9" t="s">
        <v>4777</v>
      </c>
      <c r="B1184" s="10" t="s">
        <v>4778</v>
      </c>
      <c r="C1184" s="10" t="s">
        <v>4736</v>
      </c>
      <c r="D1184" s="10" t="s">
        <v>2450</v>
      </c>
      <c r="E1184" s="10" t="s">
        <v>4047</v>
      </c>
      <c r="F1184" s="10" t="s">
        <v>4737</v>
      </c>
      <c r="G1184" s="10" t="s">
        <v>4738</v>
      </c>
      <c r="H1184" s="10"/>
      <c r="I1184" s="11">
        <v>14499.0</v>
      </c>
      <c r="J1184" s="11">
        <v>59999.0</v>
      </c>
      <c r="K1184" s="12">
        <f t="shared" si="1"/>
        <v>0.7583459724</v>
      </c>
      <c r="L1184" s="13">
        <f>IFERROR(__xludf.DUMMYFUNCTION("GOOGLEFINANCE(""CURRENCY:INRBRL"") * I1184
"),853.72539683562)</f>
        <v>853.7253968</v>
      </c>
      <c r="M1184" s="9">
        <v>4.5</v>
      </c>
      <c r="N1184" s="9">
        <v>3837.0</v>
      </c>
      <c r="O1184" s="9" t="s">
        <v>4779</v>
      </c>
      <c r="P1184" s="14" t="s">
        <v>4780</v>
      </c>
      <c r="U1184" s="17"/>
      <c r="V1184" s="18"/>
      <c r="W1184" s="16"/>
      <c r="X1184" s="16"/>
      <c r="Y1184" s="16"/>
    </row>
    <row r="1185">
      <c r="A1185" s="9" t="s">
        <v>4781</v>
      </c>
      <c r="B1185" s="10" t="s">
        <v>4782</v>
      </c>
      <c r="C1185" s="10" t="s">
        <v>4743</v>
      </c>
      <c r="D1185" s="10" t="s">
        <v>2450</v>
      </c>
      <c r="E1185" s="10" t="s">
        <v>4038</v>
      </c>
      <c r="F1185" s="10" t="s">
        <v>4545</v>
      </c>
      <c r="G1185" s="10" t="s">
        <v>4744</v>
      </c>
      <c r="H1185" s="10"/>
      <c r="I1185" s="11">
        <v>1699.0</v>
      </c>
      <c r="J1185" s="11">
        <v>1899.0</v>
      </c>
      <c r="K1185" s="12">
        <f t="shared" si="1"/>
        <v>0.1053185887</v>
      </c>
      <c r="L1185" s="13">
        <f>IFERROR(__xludf.DUMMYFUNCTION("GOOGLEFINANCE(""CURRENCY:INRBRL"") * I1185
"),100.03996477161999)</f>
        <v>100.0399648</v>
      </c>
      <c r="M1185" s="9">
        <v>4.51</v>
      </c>
      <c r="N1185" s="9">
        <v>11456.0</v>
      </c>
      <c r="O1185" s="9" t="s">
        <v>4783</v>
      </c>
      <c r="P1185" s="14" t="s">
        <v>4784</v>
      </c>
      <c r="U1185" s="17"/>
      <c r="V1185" s="18"/>
      <c r="W1185" s="16"/>
      <c r="X1185" s="16"/>
      <c r="Y1185" s="16"/>
    </row>
    <row r="1186">
      <c r="A1186" s="9" t="s">
        <v>4785</v>
      </c>
      <c r="B1186" s="10" t="s">
        <v>4786</v>
      </c>
      <c r="C1186" s="10" t="s">
        <v>4046</v>
      </c>
      <c r="D1186" s="10" t="s">
        <v>2450</v>
      </c>
      <c r="E1186" s="10" t="s">
        <v>4047</v>
      </c>
      <c r="F1186" s="10" t="s">
        <v>4048</v>
      </c>
      <c r="G1186" s="10" t="s">
        <v>4049</v>
      </c>
      <c r="H1186" s="10"/>
      <c r="I1186" s="11">
        <v>649.0</v>
      </c>
      <c r="J1186" s="11">
        <v>999.0</v>
      </c>
      <c r="K1186" s="12">
        <f t="shared" si="1"/>
        <v>0.3503503504</v>
      </c>
      <c r="L1186" s="13">
        <f>IFERROR(__xludf.DUMMYFUNCTION("GOOGLEFINANCE(""CURRENCY:INRBRL"") * I1186
"),38.21420667262)</f>
        <v>38.21420667</v>
      </c>
      <c r="M1186" s="9">
        <v>4.51</v>
      </c>
      <c r="N1186" s="9">
        <v>49.0</v>
      </c>
      <c r="O1186" s="9" t="s">
        <v>4787</v>
      </c>
      <c r="P1186" s="14" t="s">
        <v>4788</v>
      </c>
      <c r="U1186" s="17"/>
      <c r="V1186" s="18"/>
      <c r="W1186" s="16"/>
      <c r="X1186" s="16"/>
      <c r="Y1186" s="16"/>
    </row>
    <row r="1187">
      <c r="A1187" s="9" t="s">
        <v>4789</v>
      </c>
      <c r="B1187" s="10" t="s">
        <v>4790</v>
      </c>
      <c r="C1187" s="10" t="s">
        <v>4129</v>
      </c>
      <c r="D1187" s="10" t="s">
        <v>2450</v>
      </c>
      <c r="E1187" s="10" t="s">
        <v>4038</v>
      </c>
      <c r="F1187" s="10" t="s">
        <v>4039</v>
      </c>
      <c r="G1187" s="10" t="s">
        <v>4130</v>
      </c>
      <c r="H1187" s="10"/>
      <c r="I1187" s="11">
        <v>3249.0</v>
      </c>
      <c r="J1187" s="11">
        <v>6375.0</v>
      </c>
      <c r="K1187" s="12">
        <f t="shared" si="1"/>
        <v>0.4903529412</v>
      </c>
      <c r="L1187" s="13">
        <f>IFERROR(__xludf.DUMMYFUNCTION("GOOGLEFINANCE(""CURRENCY:INRBRL"") * I1187
"),191.30656006062)</f>
        <v>191.3065601</v>
      </c>
      <c r="M1187" s="9">
        <v>4.0</v>
      </c>
      <c r="N1187" s="9">
        <v>4978.0</v>
      </c>
      <c r="O1187" s="9" t="s">
        <v>4791</v>
      </c>
      <c r="P1187" s="14" t="s">
        <v>4792</v>
      </c>
      <c r="U1187" s="17"/>
      <c r="V1187" s="18"/>
      <c r="W1187" s="16"/>
      <c r="X1187" s="16"/>
      <c r="Y1187" s="16"/>
    </row>
    <row r="1188">
      <c r="A1188" s="9" t="s">
        <v>4793</v>
      </c>
      <c r="B1188" s="10" t="s">
        <v>4794</v>
      </c>
      <c r="C1188" s="10" t="s">
        <v>4212</v>
      </c>
      <c r="D1188" s="10" t="s">
        <v>2450</v>
      </c>
      <c r="E1188" s="10" t="s">
        <v>4213</v>
      </c>
      <c r="F1188" s="10" t="s">
        <v>4214</v>
      </c>
      <c r="G1188" s="10" t="s">
        <v>4215</v>
      </c>
      <c r="H1188" s="10"/>
      <c r="I1188" s="11">
        <v>199.0</v>
      </c>
      <c r="J1188" s="11">
        <v>499.0</v>
      </c>
      <c r="K1188" s="12">
        <f t="shared" si="1"/>
        <v>0.6012024048</v>
      </c>
      <c r="L1188" s="13">
        <f>IFERROR(__xludf.DUMMYFUNCTION("GOOGLEFINANCE(""CURRENCY:INRBRL"") * I1188
"),11.71745320162)</f>
        <v>11.7174532</v>
      </c>
      <c r="M1188" s="9">
        <v>4.49</v>
      </c>
      <c r="N1188" s="9">
        <v>1996.0</v>
      </c>
      <c r="O1188" s="9" t="s">
        <v>4795</v>
      </c>
      <c r="P1188" s="14" t="s">
        <v>4796</v>
      </c>
      <c r="U1188" s="17"/>
      <c r="V1188" s="18"/>
      <c r="W1188" s="16"/>
      <c r="X1188" s="16"/>
      <c r="Y1188" s="16"/>
    </row>
    <row r="1189">
      <c r="A1189" s="9" t="s">
        <v>4797</v>
      </c>
      <c r="B1189" s="10" t="s">
        <v>4798</v>
      </c>
      <c r="C1189" s="10" t="s">
        <v>4278</v>
      </c>
      <c r="D1189" s="10" t="s">
        <v>2450</v>
      </c>
      <c r="E1189" s="10" t="s">
        <v>4038</v>
      </c>
      <c r="F1189" s="10" t="s">
        <v>4039</v>
      </c>
      <c r="G1189" s="10" t="s">
        <v>4279</v>
      </c>
      <c r="H1189" s="10"/>
      <c r="I1189" s="11">
        <v>1099.0</v>
      </c>
      <c r="J1189" s="11">
        <v>1899.0</v>
      </c>
      <c r="K1189" s="12">
        <f t="shared" si="1"/>
        <v>0.4212743549</v>
      </c>
      <c r="L1189" s="13">
        <f>IFERROR(__xludf.DUMMYFUNCTION("GOOGLEFINANCE(""CURRENCY:INRBRL"") * I1189
"),64.71096014362)</f>
        <v>64.71096014</v>
      </c>
      <c r="M1189" s="9">
        <v>4.5</v>
      </c>
      <c r="N1189" s="9">
        <v>1811.0</v>
      </c>
      <c r="O1189" s="9" t="s">
        <v>4799</v>
      </c>
      <c r="P1189" s="14" t="s">
        <v>4800</v>
      </c>
      <c r="U1189" s="17"/>
      <c r="V1189" s="18"/>
      <c r="W1189" s="16"/>
      <c r="X1189" s="16"/>
      <c r="Y1189" s="16"/>
    </row>
    <row r="1190">
      <c r="A1190" s="9" t="s">
        <v>4801</v>
      </c>
      <c r="B1190" s="10" t="s">
        <v>4802</v>
      </c>
      <c r="C1190" s="10" t="s">
        <v>4037</v>
      </c>
      <c r="D1190" s="10" t="s">
        <v>2450</v>
      </c>
      <c r="E1190" s="10" t="s">
        <v>4038</v>
      </c>
      <c r="F1190" s="10" t="s">
        <v>4039</v>
      </c>
      <c r="G1190" s="10" t="s">
        <v>4040</v>
      </c>
      <c r="H1190" s="10" t="s">
        <v>4041</v>
      </c>
      <c r="I1190" s="11">
        <v>664.0</v>
      </c>
      <c r="J1190" s="11">
        <v>1499.0</v>
      </c>
      <c r="K1190" s="12">
        <f t="shared" si="1"/>
        <v>0.5570380254</v>
      </c>
      <c r="L1190" s="13">
        <f>IFERROR(__xludf.DUMMYFUNCTION("GOOGLEFINANCE(""CURRENCY:INRBRL"") * I1190
"),39.09743178832)</f>
        <v>39.09743179</v>
      </c>
      <c r="M1190" s="9">
        <v>4.0</v>
      </c>
      <c r="N1190" s="9">
        <v>2198.0</v>
      </c>
      <c r="O1190" s="9" t="s">
        <v>4803</v>
      </c>
      <c r="P1190" s="14" t="s">
        <v>4804</v>
      </c>
      <c r="U1190" s="17"/>
      <c r="V1190" s="18"/>
      <c r="W1190" s="16"/>
      <c r="X1190" s="16"/>
      <c r="Y1190" s="16"/>
    </row>
    <row r="1191">
      <c r="A1191" s="9" t="s">
        <v>4805</v>
      </c>
      <c r="B1191" s="10" t="s">
        <v>4806</v>
      </c>
      <c r="C1191" s="10" t="s">
        <v>4292</v>
      </c>
      <c r="D1191" s="10" t="s">
        <v>2450</v>
      </c>
      <c r="E1191" s="10" t="s">
        <v>4038</v>
      </c>
      <c r="F1191" s="10" t="s">
        <v>4039</v>
      </c>
      <c r="G1191" s="10" t="s">
        <v>4293</v>
      </c>
      <c r="H1191" s="10"/>
      <c r="I1191" s="11">
        <v>260.0</v>
      </c>
      <c r="J1191" s="11">
        <v>350.0</v>
      </c>
      <c r="K1191" s="12">
        <f t="shared" si="1"/>
        <v>0.2571428571</v>
      </c>
      <c r="L1191" s="13">
        <f>IFERROR(__xludf.DUMMYFUNCTION("GOOGLEFINANCE(""CURRENCY:INRBRL"") * I1191
"),15.309235338799999)</f>
        <v>15.30923534</v>
      </c>
      <c r="M1191" s="9">
        <v>4.52</v>
      </c>
      <c r="N1191" s="9">
        <v>13127.0</v>
      </c>
      <c r="O1191" s="9" t="s">
        <v>4807</v>
      </c>
      <c r="P1191" s="14" t="s">
        <v>4808</v>
      </c>
      <c r="U1191" s="17"/>
      <c r="V1191" s="18"/>
      <c r="W1191" s="16"/>
      <c r="X1191" s="16"/>
      <c r="Y1191" s="16"/>
    </row>
    <row r="1192">
      <c r="A1192" s="9" t="s">
        <v>4809</v>
      </c>
      <c r="B1192" s="10" t="s">
        <v>4810</v>
      </c>
      <c r="C1192" s="10" t="s">
        <v>4161</v>
      </c>
      <c r="D1192" s="10" t="s">
        <v>2450</v>
      </c>
      <c r="E1192" s="10" t="s">
        <v>4047</v>
      </c>
      <c r="F1192" s="10" t="s">
        <v>4136</v>
      </c>
      <c r="G1192" s="10" t="s">
        <v>4162</v>
      </c>
      <c r="H1192" s="10"/>
      <c r="I1192" s="11">
        <v>6499.0</v>
      </c>
      <c r="J1192" s="11">
        <v>8499.0</v>
      </c>
      <c r="K1192" s="12">
        <f t="shared" si="1"/>
        <v>0.2353218026</v>
      </c>
      <c r="L1192" s="13">
        <f>IFERROR(__xludf.DUMMYFUNCTION("GOOGLEFINANCE(""CURRENCY:INRBRL"") * I1192
"),382.67200179562)</f>
        <v>382.6720018</v>
      </c>
      <c r="M1192" s="9">
        <v>4.5</v>
      </c>
      <c r="N1192" s="9">
        <v>5865.0</v>
      </c>
      <c r="O1192" s="9" t="s">
        <v>4811</v>
      </c>
      <c r="P1192" s="14" t="s">
        <v>4812</v>
      </c>
      <c r="U1192" s="17"/>
      <c r="V1192" s="18"/>
      <c r="W1192" s="16"/>
      <c r="X1192" s="16"/>
      <c r="Y1192" s="16"/>
    </row>
    <row r="1193">
      <c r="A1193" s="9" t="s">
        <v>4813</v>
      </c>
      <c r="B1193" s="10" t="s">
        <v>4814</v>
      </c>
      <c r="C1193" s="10" t="s">
        <v>4815</v>
      </c>
      <c r="D1193" s="10" t="s">
        <v>2450</v>
      </c>
      <c r="E1193" s="10" t="s">
        <v>4038</v>
      </c>
      <c r="F1193" s="10" t="s">
        <v>4816</v>
      </c>
      <c r="G1193" s="10" t="s">
        <v>4817</v>
      </c>
      <c r="H1193" s="10"/>
      <c r="I1193" s="11">
        <v>1484.0</v>
      </c>
      <c r="J1193" s="11">
        <v>2499.0</v>
      </c>
      <c r="K1193" s="12">
        <f t="shared" si="1"/>
        <v>0.406162465</v>
      </c>
      <c r="L1193" s="13">
        <f>IFERROR(__xludf.DUMMYFUNCTION("GOOGLEFINANCE(""CURRENCY:INRBRL"") * I1193
"),87.38040477992)</f>
        <v>87.38040478</v>
      </c>
      <c r="M1193" s="9">
        <v>4.51</v>
      </c>
      <c r="N1193" s="9">
        <v>1067.0</v>
      </c>
      <c r="O1193" s="9" t="s">
        <v>4818</v>
      </c>
      <c r="P1193" s="14" t="s">
        <v>4819</v>
      </c>
      <c r="U1193" s="17"/>
      <c r="V1193" s="18"/>
      <c r="W1193" s="16"/>
      <c r="X1193" s="16"/>
      <c r="Y1193" s="16"/>
    </row>
    <row r="1194">
      <c r="A1194" s="9" t="s">
        <v>4820</v>
      </c>
      <c r="B1194" s="10" t="s">
        <v>4821</v>
      </c>
      <c r="C1194" s="10" t="s">
        <v>4220</v>
      </c>
      <c r="D1194" s="10" t="s">
        <v>2450</v>
      </c>
      <c r="E1194" s="10" t="s">
        <v>4038</v>
      </c>
      <c r="F1194" s="10" t="s">
        <v>4061</v>
      </c>
      <c r="G1194" s="10" t="s">
        <v>4062</v>
      </c>
      <c r="H1194" s="10" t="s">
        <v>4124</v>
      </c>
      <c r="I1194" s="11">
        <v>999.0</v>
      </c>
      <c r="J1194" s="11">
        <v>1599.0</v>
      </c>
      <c r="K1194" s="12">
        <f t="shared" si="1"/>
        <v>0.3752345216</v>
      </c>
      <c r="L1194" s="13">
        <f>IFERROR(__xludf.DUMMYFUNCTION("GOOGLEFINANCE(""CURRENCY:INRBRL"") * I1194
"),58.822792705619996)</f>
        <v>58.82279271</v>
      </c>
      <c r="M1194" s="9">
        <v>4.51</v>
      </c>
      <c r="N1194" s="9">
        <v>4881.0</v>
      </c>
      <c r="O1194" s="9" t="s">
        <v>4822</v>
      </c>
      <c r="P1194" s="14" t="s">
        <v>4823</v>
      </c>
      <c r="U1194" s="17"/>
      <c r="V1194" s="18"/>
      <c r="W1194" s="16"/>
      <c r="X1194" s="16"/>
      <c r="Y1194" s="16"/>
    </row>
    <row r="1195">
      <c r="A1195" s="9" t="s">
        <v>4824</v>
      </c>
      <c r="B1195" s="10" t="s">
        <v>4825</v>
      </c>
      <c r="C1195" s="10" t="s">
        <v>4237</v>
      </c>
      <c r="D1195" s="10" t="s">
        <v>2450</v>
      </c>
      <c r="E1195" s="10" t="s">
        <v>4038</v>
      </c>
      <c r="F1195" s="10" t="s">
        <v>4039</v>
      </c>
      <c r="G1195" s="10" t="s">
        <v>4238</v>
      </c>
      <c r="H1195" s="10"/>
      <c r="I1195" s="11">
        <v>3299.0</v>
      </c>
      <c r="J1195" s="11">
        <v>6499.0</v>
      </c>
      <c r="K1195" s="12">
        <f t="shared" si="1"/>
        <v>0.4923834436</v>
      </c>
      <c r="L1195" s="13">
        <f>IFERROR(__xludf.DUMMYFUNCTION("GOOGLEFINANCE(""CURRENCY:INRBRL"") * I1195
"),194.25064377962)</f>
        <v>194.2506438</v>
      </c>
      <c r="M1195" s="9">
        <v>4.51</v>
      </c>
      <c r="N1195" s="9">
        <v>11217.0</v>
      </c>
      <c r="O1195" s="9" t="s">
        <v>4826</v>
      </c>
      <c r="P1195" s="14" t="s">
        <v>4827</v>
      </c>
      <c r="U1195" s="17"/>
      <c r="V1195" s="18"/>
      <c r="W1195" s="16"/>
      <c r="X1195" s="16"/>
      <c r="Y1195" s="16"/>
    </row>
    <row r="1196">
      <c r="A1196" s="9" t="s">
        <v>4828</v>
      </c>
      <c r="B1196" s="10" t="s">
        <v>4829</v>
      </c>
      <c r="C1196" s="10" t="s">
        <v>4117</v>
      </c>
      <c r="D1196" s="10" t="s">
        <v>2450</v>
      </c>
      <c r="E1196" s="10" t="s">
        <v>4038</v>
      </c>
      <c r="F1196" s="10" t="s">
        <v>4039</v>
      </c>
      <c r="G1196" s="10" t="s">
        <v>4118</v>
      </c>
      <c r="H1196" s="10"/>
      <c r="I1196" s="11">
        <v>259.0</v>
      </c>
      <c r="J1196" s="11">
        <v>999.0</v>
      </c>
      <c r="K1196" s="12">
        <f t="shared" si="1"/>
        <v>0.7407407407</v>
      </c>
      <c r="L1196" s="13">
        <f>IFERROR(__xludf.DUMMYFUNCTION("GOOGLEFINANCE(""CURRENCY:INRBRL"") * I1196
"),15.25035366442)</f>
        <v>15.25035366</v>
      </c>
      <c r="M1196" s="9">
        <v>4.0</v>
      </c>
      <c r="N1196" s="9">
        <v>43.0</v>
      </c>
      <c r="O1196" s="9" t="s">
        <v>4830</v>
      </c>
      <c r="P1196" s="14" t="s">
        <v>4831</v>
      </c>
      <c r="U1196" s="17"/>
      <c r="V1196" s="18"/>
      <c r="W1196" s="16"/>
      <c r="X1196" s="16"/>
      <c r="Y1196" s="16"/>
    </row>
    <row r="1197">
      <c r="A1197" s="9" t="s">
        <v>4832</v>
      </c>
      <c r="B1197" s="10" t="s">
        <v>4833</v>
      </c>
      <c r="C1197" s="10" t="s">
        <v>4129</v>
      </c>
      <c r="D1197" s="10" t="s">
        <v>2450</v>
      </c>
      <c r="E1197" s="10" t="s">
        <v>4038</v>
      </c>
      <c r="F1197" s="10" t="s">
        <v>4039</v>
      </c>
      <c r="G1197" s="10" t="s">
        <v>4130</v>
      </c>
      <c r="H1197" s="10"/>
      <c r="I1197" s="11">
        <v>3249.0</v>
      </c>
      <c r="J1197" s="11">
        <v>7795.0</v>
      </c>
      <c r="K1197" s="12">
        <f t="shared" si="1"/>
        <v>0.5831943554</v>
      </c>
      <c r="L1197" s="13">
        <f>IFERROR(__xludf.DUMMYFUNCTION("GOOGLEFINANCE(""CURRENCY:INRBRL"") * I1197
"),191.30656006062)</f>
        <v>191.3065601</v>
      </c>
      <c r="M1197" s="9">
        <v>4.5</v>
      </c>
      <c r="N1197" s="9">
        <v>4664.0</v>
      </c>
      <c r="O1197" s="9" t="s">
        <v>4834</v>
      </c>
      <c r="P1197" s="14" t="s">
        <v>4835</v>
      </c>
      <c r="U1197" s="17"/>
      <c r="V1197" s="18"/>
      <c r="W1197" s="16"/>
      <c r="X1197" s="16"/>
      <c r="Y1197" s="16"/>
    </row>
    <row r="1198">
      <c r="A1198" s="9" t="s">
        <v>4836</v>
      </c>
      <c r="B1198" s="10" t="s">
        <v>4837</v>
      </c>
      <c r="C1198" s="10" t="s">
        <v>4220</v>
      </c>
      <c r="D1198" s="10" t="s">
        <v>2450</v>
      </c>
      <c r="E1198" s="10" t="s">
        <v>4038</v>
      </c>
      <c r="F1198" s="10" t="s">
        <v>4061</v>
      </c>
      <c r="G1198" s="10" t="s">
        <v>4062</v>
      </c>
      <c r="H1198" s="10" t="s">
        <v>4124</v>
      </c>
      <c r="I1198" s="11">
        <v>4299.0</v>
      </c>
      <c r="J1198" s="11">
        <v>5995.0</v>
      </c>
      <c r="K1198" s="12">
        <f t="shared" si="1"/>
        <v>0.2829024187</v>
      </c>
      <c r="L1198" s="13">
        <f>IFERROR(__xludf.DUMMYFUNCTION("GOOGLEFINANCE(""CURRENCY:INRBRL"") * I1198
"),253.13231815961998)</f>
        <v>253.1323182</v>
      </c>
      <c r="M1198" s="9">
        <v>4.51</v>
      </c>
      <c r="N1198" s="9">
        <v>2112.0</v>
      </c>
      <c r="O1198" s="9" t="s">
        <v>4838</v>
      </c>
      <c r="P1198" s="14" t="s">
        <v>4839</v>
      </c>
      <c r="U1198" s="17"/>
      <c r="V1198" s="18"/>
      <c r="W1198" s="16"/>
      <c r="X1198" s="16"/>
      <c r="Y1198" s="16"/>
    </row>
    <row r="1199">
      <c r="A1199" s="9" t="s">
        <v>4840</v>
      </c>
      <c r="B1199" s="10" t="s">
        <v>4841</v>
      </c>
      <c r="C1199" s="10" t="s">
        <v>4842</v>
      </c>
      <c r="D1199" s="10" t="s">
        <v>2450</v>
      </c>
      <c r="E1199" s="10" t="s">
        <v>4213</v>
      </c>
      <c r="F1199" s="10" t="s">
        <v>4214</v>
      </c>
      <c r="G1199" s="10" t="s">
        <v>4843</v>
      </c>
      <c r="H1199" s="10" t="s">
        <v>4844</v>
      </c>
      <c r="I1199" s="11">
        <v>189.0</v>
      </c>
      <c r="J1199" s="11">
        <v>299.0</v>
      </c>
      <c r="K1199" s="12">
        <f t="shared" si="1"/>
        <v>0.3678929766</v>
      </c>
      <c r="L1199" s="13">
        <f>IFERROR(__xludf.DUMMYFUNCTION("GOOGLEFINANCE(""CURRENCY:INRBRL"") * I1199
"),11.128636457819999)</f>
        <v>11.12863646</v>
      </c>
      <c r="M1199" s="9">
        <v>4.5</v>
      </c>
      <c r="N1199" s="9">
        <v>2737.0</v>
      </c>
      <c r="O1199" s="9" t="s">
        <v>4845</v>
      </c>
      <c r="P1199" s="14" t="s">
        <v>4846</v>
      </c>
      <c r="U1199" s="17"/>
      <c r="V1199" s="18"/>
      <c r="W1199" s="16"/>
      <c r="X1199" s="16"/>
      <c r="Y1199" s="16"/>
    </row>
    <row r="1200">
      <c r="A1200" s="9" t="s">
        <v>4847</v>
      </c>
      <c r="B1200" s="10" t="s">
        <v>4848</v>
      </c>
      <c r="C1200" s="10" t="s">
        <v>4392</v>
      </c>
      <c r="D1200" s="10" t="s">
        <v>2450</v>
      </c>
      <c r="E1200" s="10" t="s">
        <v>4047</v>
      </c>
      <c r="F1200" s="10" t="s">
        <v>4393</v>
      </c>
      <c r="G1200" s="10" t="s">
        <v>4394</v>
      </c>
      <c r="H1200" s="10"/>
      <c r="I1200" s="11">
        <v>1449.0</v>
      </c>
      <c r="J1200" s="11">
        <v>2349.0</v>
      </c>
      <c r="K1200" s="12">
        <f t="shared" si="1"/>
        <v>0.3831417625</v>
      </c>
      <c r="L1200" s="13">
        <f>IFERROR(__xludf.DUMMYFUNCTION("GOOGLEFINANCE(""CURRENCY:INRBRL"") * I1200
"),85.31954617662)</f>
        <v>85.31954618</v>
      </c>
      <c r="M1200" s="9">
        <v>4.52</v>
      </c>
      <c r="N1200" s="9">
        <v>9019.0</v>
      </c>
      <c r="O1200" s="9" t="s">
        <v>4849</v>
      </c>
      <c r="P1200" s="14" t="s">
        <v>4850</v>
      </c>
      <c r="U1200" s="17"/>
      <c r="V1200" s="18"/>
      <c r="W1200" s="16"/>
      <c r="X1200" s="16"/>
      <c r="Y1200" s="16"/>
    </row>
    <row r="1201">
      <c r="A1201" s="9" t="s">
        <v>4851</v>
      </c>
      <c r="B1201" s="10" t="s">
        <v>4852</v>
      </c>
      <c r="C1201" s="10" t="s">
        <v>4212</v>
      </c>
      <c r="D1201" s="10" t="s">
        <v>2450</v>
      </c>
      <c r="E1201" s="10" t="s">
        <v>4213</v>
      </c>
      <c r="F1201" s="10" t="s">
        <v>4214</v>
      </c>
      <c r="G1201" s="10" t="s">
        <v>4215</v>
      </c>
      <c r="H1201" s="10"/>
      <c r="I1201" s="11">
        <v>199.0</v>
      </c>
      <c r="J1201" s="11">
        <v>499.0</v>
      </c>
      <c r="K1201" s="12">
        <f t="shared" si="1"/>
        <v>0.6012024048</v>
      </c>
      <c r="L1201" s="13">
        <f>IFERROR(__xludf.DUMMYFUNCTION("GOOGLEFINANCE(""CURRENCY:INRBRL"") * I1201
"),11.71745320162)</f>
        <v>11.7174532</v>
      </c>
      <c r="M1201" s="9">
        <v>4.0</v>
      </c>
      <c r="N1201" s="9">
        <v>10234.0</v>
      </c>
      <c r="O1201" s="9" t="s">
        <v>4853</v>
      </c>
      <c r="P1201" s="14" t="s">
        <v>4854</v>
      </c>
      <c r="U1201" s="17"/>
      <c r="V1201" s="18"/>
      <c r="W1201" s="16"/>
      <c r="X1201" s="16"/>
      <c r="Y1201" s="16"/>
    </row>
    <row r="1202">
      <c r="A1202" s="9" t="s">
        <v>4855</v>
      </c>
      <c r="B1202" s="10" t="s">
        <v>4856</v>
      </c>
      <c r="C1202" s="10" t="s">
        <v>4857</v>
      </c>
      <c r="D1202" s="10" t="s">
        <v>2450</v>
      </c>
      <c r="E1202" s="10" t="s">
        <v>4038</v>
      </c>
      <c r="F1202" s="10" t="s">
        <v>4039</v>
      </c>
      <c r="G1202" s="10" t="s">
        <v>4858</v>
      </c>
      <c r="H1202" s="10"/>
      <c r="I1202" s="11">
        <v>474.0</v>
      </c>
      <c r="J1202" s="11">
        <v>1299.0</v>
      </c>
      <c r="K1202" s="12">
        <f t="shared" si="1"/>
        <v>0.6351039261</v>
      </c>
      <c r="L1202" s="13">
        <f>IFERROR(__xludf.DUMMYFUNCTION("GOOGLEFINANCE(""CURRENCY:INRBRL"") * I1202
"),27.90991365612)</f>
        <v>27.90991366</v>
      </c>
      <c r="M1202" s="9">
        <v>4.49</v>
      </c>
      <c r="N1202" s="9">
        <v>550.0</v>
      </c>
      <c r="O1202" s="9" t="s">
        <v>4859</v>
      </c>
      <c r="P1202" s="14" t="s">
        <v>4860</v>
      </c>
      <c r="U1202" s="17"/>
      <c r="V1202" s="18"/>
      <c r="W1202" s="16"/>
      <c r="X1202" s="16"/>
      <c r="Y1202" s="16"/>
    </row>
    <row r="1203">
      <c r="A1203" s="9" t="s">
        <v>4861</v>
      </c>
      <c r="B1203" s="10" t="s">
        <v>4862</v>
      </c>
      <c r="C1203" s="10" t="s">
        <v>4117</v>
      </c>
      <c r="D1203" s="10" t="s">
        <v>2450</v>
      </c>
      <c r="E1203" s="10" t="s">
        <v>4038</v>
      </c>
      <c r="F1203" s="10" t="s">
        <v>4039</v>
      </c>
      <c r="G1203" s="10" t="s">
        <v>4118</v>
      </c>
      <c r="H1203" s="10"/>
      <c r="I1203" s="11">
        <v>279.0</v>
      </c>
      <c r="J1203" s="11">
        <v>499.0</v>
      </c>
      <c r="K1203" s="12">
        <f t="shared" si="1"/>
        <v>0.4408817635</v>
      </c>
      <c r="L1203" s="13">
        <f>IFERROR(__xludf.DUMMYFUNCTION("GOOGLEFINANCE(""CURRENCY:INRBRL"") * I1203
"),16.42798715202)</f>
        <v>16.42798715</v>
      </c>
      <c r="M1203" s="9">
        <v>4.51</v>
      </c>
      <c r="N1203" s="9">
        <v>28.0</v>
      </c>
      <c r="O1203" s="9" t="s">
        <v>4863</v>
      </c>
      <c r="P1203" s="14" t="s">
        <v>4864</v>
      </c>
      <c r="U1203" s="17"/>
      <c r="V1203" s="18"/>
      <c r="W1203" s="16"/>
      <c r="X1203" s="16"/>
      <c r="Y1203" s="16"/>
    </row>
    <row r="1204">
      <c r="A1204" s="9" t="s">
        <v>4865</v>
      </c>
      <c r="B1204" s="10" t="s">
        <v>4866</v>
      </c>
      <c r="C1204" s="10" t="s">
        <v>4392</v>
      </c>
      <c r="D1204" s="10" t="s">
        <v>2450</v>
      </c>
      <c r="E1204" s="10" t="s">
        <v>4047</v>
      </c>
      <c r="F1204" s="10" t="s">
        <v>4393</v>
      </c>
      <c r="G1204" s="10" t="s">
        <v>4394</v>
      </c>
      <c r="H1204" s="10"/>
      <c r="I1204" s="11">
        <v>1999.0</v>
      </c>
      <c r="J1204" s="11">
        <v>4775.0</v>
      </c>
      <c r="K1204" s="12">
        <f t="shared" si="1"/>
        <v>0.5813612565</v>
      </c>
      <c r="L1204" s="13">
        <f>IFERROR(__xludf.DUMMYFUNCTION("GOOGLEFINANCE(""CURRENCY:INRBRL"") * I1204
"),117.70446708562)</f>
        <v>117.7044671</v>
      </c>
      <c r="M1204" s="9">
        <v>4.5</v>
      </c>
      <c r="N1204" s="9">
        <v>1353.0</v>
      </c>
      <c r="O1204" s="9" t="s">
        <v>4867</v>
      </c>
      <c r="P1204" s="14" t="s">
        <v>4868</v>
      </c>
      <c r="U1204" s="17"/>
      <c r="V1204" s="18"/>
      <c r="W1204" s="16"/>
      <c r="X1204" s="16"/>
      <c r="Y1204" s="16"/>
    </row>
    <row r="1205">
      <c r="A1205" s="9" t="s">
        <v>4869</v>
      </c>
      <c r="B1205" s="10" t="s">
        <v>4870</v>
      </c>
      <c r="C1205" s="10" t="s">
        <v>4060</v>
      </c>
      <c r="D1205" s="10" t="s">
        <v>2450</v>
      </c>
      <c r="E1205" s="10" t="s">
        <v>4038</v>
      </c>
      <c r="F1205" s="10" t="s">
        <v>4061</v>
      </c>
      <c r="G1205" s="10" t="s">
        <v>4062</v>
      </c>
      <c r="H1205" s="10" t="s">
        <v>4063</v>
      </c>
      <c r="I1205" s="11">
        <v>799.0</v>
      </c>
      <c r="J1205" s="11">
        <v>1239.0</v>
      </c>
      <c r="K1205" s="12">
        <f t="shared" si="1"/>
        <v>0.3551251009</v>
      </c>
      <c r="L1205" s="13">
        <f>IFERROR(__xludf.DUMMYFUNCTION("GOOGLEFINANCE(""CURRENCY:INRBRL"") * I1205
"),47.046457829619996)</f>
        <v>47.04645783</v>
      </c>
      <c r="M1205" s="9">
        <v>4.49</v>
      </c>
      <c r="N1205" s="9">
        <v>2138.0</v>
      </c>
      <c r="O1205" s="9" t="s">
        <v>4871</v>
      </c>
      <c r="P1205" s="14" t="s">
        <v>4872</v>
      </c>
      <c r="U1205" s="17"/>
      <c r="V1205" s="18"/>
      <c r="W1205" s="16"/>
      <c r="X1205" s="16"/>
      <c r="Y1205" s="16"/>
    </row>
    <row r="1206">
      <c r="A1206" s="9" t="s">
        <v>4873</v>
      </c>
      <c r="B1206" s="10" t="s">
        <v>4874</v>
      </c>
      <c r="C1206" s="10" t="s">
        <v>4346</v>
      </c>
      <c r="D1206" s="10" t="s">
        <v>2450</v>
      </c>
      <c r="E1206" s="10" t="s">
        <v>4038</v>
      </c>
      <c r="F1206" s="10" t="s">
        <v>4039</v>
      </c>
      <c r="G1206" s="10" t="s">
        <v>4347</v>
      </c>
      <c r="H1206" s="10"/>
      <c r="I1206" s="11">
        <v>949.0</v>
      </c>
      <c r="J1206" s="11">
        <v>1999.0</v>
      </c>
      <c r="K1206" s="12">
        <f t="shared" si="1"/>
        <v>0.5252626313</v>
      </c>
      <c r="L1206" s="13">
        <f>IFERROR(__xludf.DUMMYFUNCTION("GOOGLEFINANCE(""CURRENCY:INRBRL"") * I1206
"),55.87870898662)</f>
        <v>55.87870899</v>
      </c>
      <c r="M1206" s="9">
        <v>4.0</v>
      </c>
      <c r="N1206" s="9">
        <v>1679.0</v>
      </c>
      <c r="O1206" s="9" t="s">
        <v>4875</v>
      </c>
      <c r="P1206" s="14" t="s">
        <v>4876</v>
      </c>
      <c r="U1206" s="17"/>
      <c r="V1206" s="18"/>
      <c r="W1206" s="16"/>
      <c r="X1206" s="16"/>
      <c r="Y1206" s="16"/>
    </row>
    <row r="1207">
      <c r="A1207" s="9" t="s">
        <v>4877</v>
      </c>
      <c r="B1207" s="10" t="s">
        <v>4878</v>
      </c>
      <c r="C1207" s="10" t="s">
        <v>4879</v>
      </c>
      <c r="D1207" s="10" t="s">
        <v>2450</v>
      </c>
      <c r="E1207" s="10" t="s">
        <v>4038</v>
      </c>
      <c r="F1207" s="10" t="s">
        <v>4039</v>
      </c>
      <c r="G1207" s="10" t="s">
        <v>4880</v>
      </c>
      <c r="H1207" s="10" t="s">
        <v>4881</v>
      </c>
      <c r="I1207" s="11">
        <v>3657.66</v>
      </c>
      <c r="J1207" s="11">
        <v>5156.0</v>
      </c>
      <c r="K1207" s="12">
        <f t="shared" si="1"/>
        <v>0.2906012413</v>
      </c>
      <c r="L1207" s="13">
        <f>IFERROR(__xludf.DUMMYFUNCTION("GOOGLEFINANCE(""CURRENCY:INRBRL"") * I1207
"),215.3691451127508)</f>
        <v>215.3691451</v>
      </c>
      <c r="M1207" s="9">
        <v>4.52</v>
      </c>
      <c r="N1207" s="9">
        <v>12837.0</v>
      </c>
      <c r="O1207" s="9" t="s">
        <v>4882</v>
      </c>
      <c r="P1207" s="14" t="s">
        <v>4883</v>
      </c>
      <c r="U1207" s="17"/>
      <c r="V1207" s="18"/>
      <c r="W1207" s="16"/>
      <c r="X1207" s="16"/>
      <c r="Y1207" s="16"/>
    </row>
    <row r="1208">
      <c r="A1208" s="9" t="s">
        <v>4884</v>
      </c>
      <c r="B1208" s="10" t="s">
        <v>4885</v>
      </c>
      <c r="C1208" s="10" t="s">
        <v>4886</v>
      </c>
      <c r="D1208" s="10" t="s">
        <v>2450</v>
      </c>
      <c r="E1208" s="10" t="s">
        <v>4038</v>
      </c>
      <c r="F1208" s="10" t="s">
        <v>4039</v>
      </c>
      <c r="G1208" s="10" t="s">
        <v>4887</v>
      </c>
      <c r="H1208" s="10"/>
      <c r="I1208" s="11">
        <v>1699.0</v>
      </c>
      <c r="J1208" s="11">
        <v>1999.0</v>
      </c>
      <c r="K1208" s="12">
        <f t="shared" si="1"/>
        <v>0.1500750375</v>
      </c>
      <c r="L1208" s="13">
        <f>IFERROR(__xludf.DUMMYFUNCTION("GOOGLEFINANCE(""CURRENCY:INRBRL"") * I1208
"),100.03996477161999)</f>
        <v>100.0399648</v>
      </c>
      <c r="M1208" s="9">
        <v>4.49</v>
      </c>
      <c r="N1208" s="9">
        <v>8873.0</v>
      </c>
      <c r="O1208" s="9" t="s">
        <v>4888</v>
      </c>
      <c r="P1208" s="14" t="s">
        <v>4889</v>
      </c>
      <c r="U1208" s="17"/>
      <c r="V1208" s="18"/>
      <c r="W1208" s="16"/>
      <c r="X1208" s="16"/>
      <c r="Y1208" s="16"/>
    </row>
    <row r="1209">
      <c r="A1209" s="9" t="s">
        <v>4890</v>
      </c>
      <c r="B1209" s="10" t="s">
        <v>4891</v>
      </c>
      <c r="C1209" s="10" t="s">
        <v>4220</v>
      </c>
      <c r="D1209" s="10" t="s">
        <v>2450</v>
      </c>
      <c r="E1209" s="10" t="s">
        <v>4038</v>
      </c>
      <c r="F1209" s="10" t="s">
        <v>4061</v>
      </c>
      <c r="G1209" s="10" t="s">
        <v>4062</v>
      </c>
      <c r="H1209" s="10" t="s">
        <v>4124</v>
      </c>
      <c r="I1209" s="11">
        <v>1849.0</v>
      </c>
      <c r="J1209" s="11">
        <v>2095.0</v>
      </c>
      <c r="K1209" s="12">
        <f t="shared" si="1"/>
        <v>0.1174224344</v>
      </c>
      <c r="L1209" s="13">
        <f>IFERROR(__xludf.DUMMYFUNCTION("GOOGLEFINANCE(""CURRENCY:INRBRL"") * I1209
"),108.87221592862)</f>
        <v>108.8722159</v>
      </c>
      <c r="M1209" s="9">
        <v>4.5</v>
      </c>
      <c r="N1209" s="9">
        <v>7681.0</v>
      </c>
      <c r="O1209" s="9" t="s">
        <v>4892</v>
      </c>
      <c r="P1209" s="14" t="s">
        <v>4893</v>
      </c>
      <c r="U1209" s="17"/>
      <c r="V1209" s="18"/>
      <c r="W1209" s="16"/>
      <c r="X1209" s="16"/>
      <c r="Y1209" s="16"/>
    </row>
    <row r="1210">
      <c r="A1210" s="9" t="s">
        <v>4894</v>
      </c>
      <c r="B1210" s="10" t="s">
        <v>4895</v>
      </c>
      <c r="C1210" s="10" t="s">
        <v>4054</v>
      </c>
      <c r="D1210" s="10" t="s">
        <v>2450</v>
      </c>
      <c r="E1210" s="10" t="s">
        <v>4047</v>
      </c>
      <c r="F1210" s="10" t="s">
        <v>4048</v>
      </c>
      <c r="G1210" s="10" t="s">
        <v>4055</v>
      </c>
      <c r="H1210" s="10"/>
      <c r="I1210" s="11">
        <v>12499.0</v>
      </c>
      <c r="J1210" s="11">
        <v>19825.0</v>
      </c>
      <c r="K1210" s="12">
        <f t="shared" si="1"/>
        <v>0.3695334174</v>
      </c>
      <c r="L1210" s="13">
        <f>IFERROR(__xludf.DUMMYFUNCTION("GOOGLEFINANCE(""CURRENCY:INRBRL"") * I1210
"),735.96204807562)</f>
        <v>735.9620481</v>
      </c>
      <c r="M1210" s="9">
        <v>4.49</v>
      </c>
      <c r="N1210" s="9">
        <v>322.0</v>
      </c>
      <c r="O1210" s="9" t="s">
        <v>4896</v>
      </c>
      <c r="P1210" s="14" t="s">
        <v>4897</v>
      </c>
      <c r="U1210" s="17"/>
      <c r="V1210" s="18"/>
      <c r="W1210" s="16"/>
      <c r="X1210" s="16"/>
      <c r="Y1210" s="16"/>
    </row>
    <row r="1211">
      <c r="A1211" s="9" t="s">
        <v>4898</v>
      </c>
      <c r="B1211" s="10" t="s">
        <v>4899</v>
      </c>
      <c r="C1211" s="10" t="s">
        <v>4123</v>
      </c>
      <c r="D1211" s="10" t="s">
        <v>2450</v>
      </c>
      <c r="E1211" s="10" t="s">
        <v>4038</v>
      </c>
      <c r="F1211" s="10" t="s">
        <v>4061</v>
      </c>
      <c r="G1211" s="10" t="s">
        <v>4062</v>
      </c>
      <c r="H1211" s="10" t="s">
        <v>4124</v>
      </c>
      <c r="I1211" s="11">
        <v>1099.0</v>
      </c>
      <c r="J1211" s="11">
        <v>1929.0</v>
      </c>
      <c r="K1211" s="12">
        <f t="shared" si="1"/>
        <v>0.4302747538</v>
      </c>
      <c r="L1211" s="13">
        <f>IFERROR(__xludf.DUMMYFUNCTION("GOOGLEFINANCE(""CURRENCY:INRBRL"") * I1211
"),64.71096014362)</f>
        <v>64.71096014</v>
      </c>
      <c r="M1211" s="9">
        <v>4.5</v>
      </c>
      <c r="N1211" s="9">
        <v>9772.0</v>
      </c>
      <c r="O1211" s="9" t="s">
        <v>4900</v>
      </c>
      <c r="P1211" s="14" t="s">
        <v>4901</v>
      </c>
      <c r="U1211" s="17"/>
      <c r="V1211" s="18"/>
      <c r="W1211" s="16"/>
      <c r="X1211" s="16"/>
      <c r="Y1211" s="16"/>
    </row>
    <row r="1212">
      <c r="A1212" s="9" t="s">
        <v>4902</v>
      </c>
      <c r="B1212" s="10" t="s">
        <v>4903</v>
      </c>
      <c r="C1212" s="10" t="s">
        <v>4743</v>
      </c>
      <c r="D1212" s="10" t="s">
        <v>2450</v>
      </c>
      <c r="E1212" s="10" t="s">
        <v>4038</v>
      </c>
      <c r="F1212" s="10" t="s">
        <v>4545</v>
      </c>
      <c r="G1212" s="10" t="s">
        <v>4744</v>
      </c>
      <c r="H1212" s="10"/>
      <c r="I1212" s="11">
        <v>8199.0</v>
      </c>
      <c r="J1212" s="11">
        <v>15999.0</v>
      </c>
      <c r="K1212" s="12">
        <f t="shared" si="1"/>
        <v>0.4875304707</v>
      </c>
      <c r="L1212" s="13">
        <f>IFERROR(__xludf.DUMMYFUNCTION("GOOGLEFINANCE(""CURRENCY:INRBRL"") * I1212
"),482.77084824162)</f>
        <v>482.7708482</v>
      </c>
      <c r="M1212" s="9">
        <v>4.52</v>
      </c>
      <c r="N1212" s="9">
        <v>18497.0</v>
      </c>
      <c r="O1212" s="9" t="s">
        <v>4904</v>
      </c>
      <c r="P1212" s="14" t="s">
        <v>4905</v>
      </c>
      <c r="U1212" s="17"/>
      <c r="V1212" s="18"/>
      <c r="W1212" s="16"/>
      <c r="X1212" s="16"/>
      <c r="Y1212" s="16"/>
    </row>
    <row r="1213">
      <c r="A1213" s="9" t="s">
        <v>4906</v>
      </c>
      <c r="B1213" s="10" t="s">
        <v>4907</v>
      </c>
      <c r="C1213" s="10" t="s">
        <v>4237</v>
      </c>
      <c r="D1213" s="10" t="s">
        <v>2450</v>
      </c>
      <c r="E1213" s="10" t="s">
        <v>4038</v>
      </c>
      <c r="F1213" s="10" t="s">
        <v>4039</v>
      </c>
      <c r="G1213" s="10" t="s">
        <v>4238</v>
      </c>
      <c r="H1213" s="10"/>
      <c r="I1213" s="11">
        <v>499.0</v>
      </c>
      <c r="J1213" s="11">
        <v>2199.0</v>
      </c>
      <c r="K1213" s="12">
        <f t="shared" si="1"/>
        <v>0.7730786721</v>
      </c>
      <c r="L1213" s="13">
        <f>IFERROR(__xludf.DUMMYFUNCTION("GOOGLEFINANCE(""CURRENCY:INRBRL"") * I1213
"),29.38195551562)</f>
        <v>29.38195552</v>
      </c>
      <c r="M1213" s="9">
        <v>4.51</v>
      </c>
      <c r="N1213" s="9">
        <v>53.0</v>
      </c>
      <c r="O1213" s="9" t="s">
        <v>4908</v>
      </c>
      <c r="P1213" s="14" t="s">
        <v>4909</v>
      </c>
      <c r="U1213" s="17"/>
      <c r="V1213" s="18"/>
      <c r="W1213" s="16"/>
      <c r="X1213" s="16"/>
      <c r="Y1213" s="16"/>
    </row>
    <row r="1214">
      <c r="A1214" s="9" t="s">
        <v>4910</v>
      </c>
      <c r="B1214" s="10" t="s">
        <v>4911</v>
      </c>
      <c r="C1214" s="10" t="s">
        <v>4251</v>
      </c>
      <c r="D1214" s="10" t="s">
        <v>2450</v>
      </c>
      <c r="E1214" s="10" t="s">
        <v>4038</v>
      </c>
      <c r="F1214" s="10" t="s">
        <v>4061</v>
      </c>
      <c r="G1214" s="10" t="s">
        <v>4252</v>
      </c>
      <c r="H1214" s="10" t="s">
        <v>4253</v>
      </c>
      <c r="I1214" s="11">
        <v>6999.0</v>
      </c>
      <c r="J1214" s="11">
        <v>14999.0</v>
      </c>
      <c r="K1214" s="12">
        <f t="shared" si="1"/>
        <v>0.5333688913</v>
      </c>
      <c r="L1214" s="13">
        <f>IFERROR(__xludf.DUMMYFUNCTION("GOOGLEFINANCE(""CURRENCY:INRBRL"") * I1214
"),412.11283898562)</f>
        <v>412.112839</v>
      </c>
      <c r="M1214" s="9">
        <v>4.49</v>
      </c>
      <c r="N1214" s="9">
        <v>1728.0</v>
      </c>
      <c r="O1214" s="9" t="s">
        <v>4912</v>
      </c>
      <c r="P1214" s="14" t="s">
        <v>4913</v>
      </c>
      <c r="U1214" s="17"/>
      <c r="V1214" s="18"/>
      <c r="W1214" s="16"/>
      <c r="X1214" s="16"/>
      <c r="Y1214" s="16"/>
    </row>
    <row r="1215">
      <c r="A1215" s="9" t="s">
        <v>4914</v>
      </c>
      <c r="B1215" s="10" t="s">
        <v>4915</v>
      </c>
      <c r="C1215" s="10" t="s">
        <v>4386</v>
      </c>
      <c r="D1215" s="10" t="s">
        <v>2450</v>
      </c>
      <c r="E1215" s="10" t="s">
        <v>4038</v>
      </c>
      <c r="F1215" s="10" t="s">
        <v>4039</v>
      </c>
      <c r="G1215" s="10" t="s">
        <v>4387</v>
      </c>
      <c r="H1215" s="10"/>
      <c r="I1215" s="11">
        <v>1595.0</v>
      </c>
      <c r="J1215" s="11">
        <v>1799.0</v>
      </c>
      <c r="K1215" s="12">
        <f t="shared" si="1"/>
        <v>0.1133963313</v>
      </c>
      <c r="L1215" s="13">
        <f>IFERROR(__xludf.DUMMYFUNCTION("GOOGLEFINANCE(""CURRENCY:INRBRL"") * I1215
"),93.9162706361)</f>
        <v>93.91627064</v>
      </c>
      <c r="M1215" s="9">
        <v>4.0</v>
      </c>
      <c r="N1215" s="9">
        <v>2877.0</v>
      </c>
      <c r="O1215" s="9" t="s">
        <v>4916</v>
      </c>
      <c r="P1215" s="14" t="s">
        <v>4917</v>
      </c>
      <c r="U1215" s="17"/>
      <c r="V1215" s="18"/>
      <c r="W1215" s="16"/>
      <c r="X1215" s="16"/>
      <c r="Y1215" s="16"/>
    </row>
    <row r="1216">
      <c r="A1216" s="9" t="s">
        <v>4918</v>
      </c>
      <c r="B1216" s="10" t="s">
        <v>4919</v>
      </c>
      <c r="C1216" s="10" t="s">
        <v>4123</v>
      </c>
      <c r="D1216" s="10" t="s">
        <v>2450</v>
      </c>
      <c r="E1216" s="10" t="s">
        <v>4038</v>
      </c>
      <c r="F1216" s="10" t="s">
        <v>4061</v>
      </c>
      <c r="G1216" s="10" t="s">
        <v>4062</v>
      </c>
      <c r="H1216" s="10" t="s">
        <v>4124</v>
      </c>
      <c r="I1216" s="11">
        <v>1049.0</v>
      </c>
      <c r="J1216" s="11">
        <v>1949.0</v>
      </c>
      <c r="K1216" s="12">
        <f t="shared" si="1"/>
        <v>0.4617752694</v>
      </c>
      <c r="L1216" s="13">
        <f>IFERROR(__xludf.DUMMYFUNCTION("GOOGLEFINANCE(""CURRENCY:INRBRL"") * I1216
"),61.76687642462)</f>
        <v>61.76687642</v>
      </c>
      <c r="M1216" s="9">
        <v>4.51</v>
      </c>
      <c r="N1216" s="9">
        <v>250.0</v>
      </c>
      <c r="O1216" s="9" t="s">
        <v>4920</v>
      </c>
      <c r="P1216" s="14" t="s">
        <v>4921</v>
      </c>
      <c r="U1216" s="17"/>
      <c r="V1216" s="18"/>
      <c r="W1216" s="16"/>
      <c r="X1216" s="16"/>
      <c r="Y1216" s="16"/>
    </row>
    <row r="1217">
      <c r="A1217" s="9" t="s">
        <v>4922</v>
      </c>
      <c r="B1217" s="10" t="s">
        <v>4923</v>
      </c>
      <c r="C1217" s="10" t="s">
        <v>4155</v>
      </c>
      <c r="D1217" s="10" t="s">
        <v>2450</v>
      </c>
      <c r="E1217" s="10" t="s">
        <v>4038</v>
      </c>
      <c r="F1217" s="10" t="s">
        <v>4039</v>
      </c>
      <c r="G1217" s="10" t="s">
        <v>4040</v>
      </c>
      <c r="H1217" s="10" t="s">
        <v>4156</v>
      </c>
      <c r="I1217" s="11">
        <v>1182.0</v>
      </c>
      <c r="J1217" s="11">
        <v>2995.0</v>
      </c>
      <c r="K1217" s="12">
        <f t="shared" si="1"/>
        <v>0.6053422371</v>
      </c>
      <c r="L1217" s="13">
        <f>IFERROR(__xludf.DUMMYFUNCTION("GOOGLEFINANCE(""CURRENCY:INRBRL"") * I1217
"),69.59813911716)</f>
        <v>69.59813912</v>
      </c>
      <c r="M1217" s="9">
        <v>4.5</v>
      </c>
      <c r="N1217" s="9">
        <v>5178.0</v>
      </c>
      <c r="O1217" s="9" t="s">
        <v>4924</v>
      </c>
      <c r="P1217" s="14" t="s">
        <v>4925</v>
      </c>
      <c r="U1217" s="17"/>
      <c r="V1217" s="18"/>
      <c r="W1217" s="16"/>
      <c r="X1217" s="16"/>
      <c r="Y1217" s="16"/>
    </row>
    <row r="1218">
      <c r="A1218" s="9" t="s">
        <v>4926</v>
      </c>
      <c r="B1218" s="10" t="s">
        <v>4927</v>
      </c>
      <c r="C1218" s="10" t="s">
        <v>4060</v>
      </c>
      <c r="D1218" s="10" t="s">
        <v>2450</v>
      </c>
      <c r="E1218" s="10" t="s">
        <v>4038</v>
      </c>
      <c r="F1218" s="10" t="s">
        <v>4061</v>
      </c>
      <c r="G1218" s="10" t="s">
        <v>4062</v>
      </c>
      <c r="H1218" s="10" t="s">
        <v>4063</v>
      </c>
      <c r="I1218" s="11">
        <v>499.0</v>
      </c>
      <c r="J1218" s="11">
        <v>999.0</v>
      </c>
      <c r="K1218" s="12">
        <f t="shared" si="1"/>
        <v>0.5005005005</v>
      </c>
      <c r="L1218" s="13">
        <f>IFERROR(__xludf.DUMMYFUNCTION("GOOGLEFINANCE(""CURRENCY:INRBRL"") * I1218
"),29.38195551562)</f>
        <v>29.38195552</v>
      </c>
      <c r="M1218" s="9">
        <v>4.51</v>
      </c>
      <c r="N1218" s="9">
        <v>79.0</v>
      </c>
      <c r="O1218" s="9" t="s">
        <v>4928</v>
      </c>
      <c r="P1218" s="14" t="s">
        <v>4929</v>
      </c>
      <c r="U1218" s="17"/>
      <c r="V1218" s="18"/>
      <c r="W1218" s="16"/>
      <c r="X1218" s="16"/>
      <c r="Y1218" s="16"/>
    </row>
    <row r="1219">
      <c r="A1219" s="9" t="s">
        <v>4930</v>
      </c>
      <c r="B1219" s="10" t="s">
        <v>4931</v>
      </c>
      <c r="C1219" s="10" t="s">
        <v>4736</v>
      </c>
      <c r="D1219" s="10" t="s">
        <v>2450</v>
      </c>
      <c r="E1219" s="10" t="s">
        <v>4047</v>
      </c>
      <c r="F1219" s="10" t="s">
        <v>4737</v>
      </c>
      <c r="G1219" s="10" t="s">
        <v>4738</v>
      </c>
      <c r="H1219" s="10"/>
      <c r="I1219" s="11">
        <v>8799.0</v>
      </c>
      <c r="J1219" s="11">
        <v>11995.0</v>
      </c>
      <c r="K1219" s="12">
        <f t="shared" si="1"/>
        <v>0.2664443518</v>
      </c>
      <c r="L1219" s="13">
        <f>IFERROR(__xludf.DUMMYFUNCTION("GOOGLEFINANCE(""CURRENCY:INRBRL"") * I1219
"),518.09985286962)</f>
        <v>518.0998529</v>
      </c>
      <c r="M1219" s="9">
        <v>4.49</v>
      </c>
      <c r="N1219" s="9">
        <v>4157.0</v>
      </c>
      <c r="O1219" s="9" t="s">
        <v>4932</v>
      </c>
      <c r="P1219" s="14" t="s">
        <v>4933</v>
      </c>
      <c r="U1219" s="17"/>
      <c r="V1219" s="18"/>
      <c r="W1219" s="16"/>
      <c r="X1219" s="16"/>
      <c r="Y1219" s="16"/>
    </row>
    <row r="1220">
      <c r="A1220" s="9" t="s">
        <v>4934</v>
      </c>
      <c r="B1220" s="10" t="s">
        <v>4935</v>
      </c>
      <c r="C1220" s="10" t="s">
        <v>4046</v>
      </c>
      <c r="D1220" s="10" t="s">
        <v>2450</v>
      </c>
      <c r="E1220" s="10" t="s">
        <v>4047</v>
      </c>
      <c r="F1220" s="10" t="s">
        <v>4048</v>
      </c>
      <c r="G1220" s="10" t="s">
        <v>4049</v>
      </c>
      <c r="H1220" s="10"/>
      <c r="I1220" s="11">
        <v>1529.0</v>
      </c>
      <c r="J1220" s="11">
        <v>2999.0</v>
      </c>
      <c r="K1220" s="12">
        <f t="shared" si="1"/>
        <v>0.4901633878</v>
      </c>
      <c r="L1220" s="13">
        <f>IFERROR(__xludf.DUMMYFUNCTION("GOOGLEFINANCE(""CURRENCY:INRBRL"") * I1220
"),90.03008012702)</f>
        <v>90.03008013</v>
      </c>
      <c r="M1220" s="9">
        <v>4.5</v>
      </c>
      <c r="N1220" s="9">
        <v>29.0</v>
      </c>
      <c r="O1220" s="9" t="s">
        <v>4936</v>
      </c>
      <c r="P1220" s="14" t="s">
        <v>4937</v>
      </c>
      <c r="U1220" s="17"/>
      <c r="V1220" s="18"/>
      <c r="W1220" s="16"/>
      <c r="X1220" s="16"/>
      <c r="Y1220" s="16"/>
    </row>
    <row r="1221">
      <c r="A1221" s="9" t="s">
        <v>4938</v>
      </c>
      <c r="B1221" s="10" t="s">
        <v>4939</v>
      </c>
      <c r="C1221" s="10" t="s">
        <v>4123</v>
      </c>
      <c r="D1221" s="10" t="s">
        <v>2450</v>
      </c>
      <c r="E1221" s="10" t="s">
        <v>4038</v>
      </c>
      <c r="F1221" s="10" t="s">
        <v>4061</v>
      </c>
      <c r="G1221" s="10" t="s">
        <v>4062</v>
      </c>
      <c r="H1221" s="10" t="s">
        <v>4124</v>
      </c>
      <c r="I1221" s="11">
        <v>1199.0</v>
      </c>
      <c r="J1221" s="11">
        <v>1699.0</v>
      </c>
      <c r="K1221" s="12">
        <f t="shared" si="1"/>
        <v>0.2942907593</v>
      </c>
      <c r="L1221" s="13">
        <f>IFERROR(__xludf.DUMMYFUNCTION("GOOGLEFINANCE(""CURRENCY:INRBRL"") * I1221
"),70.59912758162)</f>
        <v>70.59912758</v>
      </c>
      <c r="M1221" s="9">
        <v>4.5</v>
      </c>
      <c r="N1221" s="9">
        <v>458.0</v>
      </c>
      <c r="O1221" s="9" t="s">
        <v>4940</v>
      </c>
      <c r="P1221" s="14" t="s">
        <v>4941</v>
      </c>
      <c r="U1221" s="17"/>
      <c r="V1221" s="18"/>
      <c r="W1221" s="16"/>
      <c r="X1221" s="16"/>
      <c r="Y1221" s="16"/>
    </row>
    <row r="1222">
      <c r="A1222" s="9" t="s">
        <v>4942</v>
      </c>
      <c r="B1222" s="10" t="s">
        <v>4943</v>
      </c>
      <c r="C1222" s="10" t="s">
        <v>4278</v>
      </c>
      <c r="D1222" s="10" t="s">
        <v>2450</v>
      </c>
      <c r="E1222" s="10" t="s">
        <v>4038</v>
      </c>
      <c r="F1222" s="10" t="s">
        <v>4039</v>
      </c>
      <c r="G1222" s="10" t="s">
        <v>4279</v>
      </c>
      <c r="H1222" s="10"/>
      <c r="I1222" s="11">
        <v>1052.0</v>
      </c>
      <c r="J1222" s="11">
        <v>1799.0</v>
      </c>
      <c r="K1222" s="12">
        <f t="shared" si="1"/>
        <v>0.4152306837</v>
      </c>
      <c r="L1222" s="13">
        <f>IFERROR(__xludf.DUMMYFUNCTION("GOOGLEFINANCE(""CURRENCY:INRBRL"") * I1222
"),61.94352144776)</f>
        <v>61.94352145</v>
      </c>
      <c r="M1222" s="9">
        <v>4.5</v>
      </c>
      <c r="N1222" s="9">
        <v>1404.0</v>
      </c>
      <c r="O1222" s="9" t="s">
        <v>4944</v>
      </c>
      <c r="P1222" s="14" t="s">
        <v>4945</v>
      </c>
      <c r="U1222" s="17"/>
      <c r="V1222" s="18"/>
      <c r="W1222" s="16"/>
      <c r="X1222" s="16"/>
      <c r="Y1222" s="16"/>
    </row>
    <row r="1223">
      <c r="A1223" s="9" t="s">
        <v>4946</v>
      </c>
      <c r="B1223" s="10" t="s">
        <v>4947</v>
      </c>
      <c r="C1223" s="10" t="s">
        <v>4948</v>
      </c>
      <c r="D1223" s="10" t="s">
        <v>2450</v>
      </c>
      <c r="E1223" s="10" t="s">
        <v>4038</v>
      </c>
      <c r="F1223" s="10" t="s">
        <v>4039</v>
      </c>
      <c r="G1223" s="10" t="s">
        <v>4949</v>
      </c>
      <c r="H1223" s="10"/>
      <c r="I1223" s="11">
        <v>6499.0</v>
      </c>
      <c r="J1223" s="11">
        <v>8995.0</v>
      </c>
      <c r="K1223" s="12">
        <f t="shared" si="1"/>
        <v>0.2774874931</v>
      </c>
      <c r="L1223" s="13">
        <f>IFERROR(__xludf.DUMMYFUNCTION("GOOGLEFINANCE(""CURRENCY:INRBRL"") * I1223
"),382.67200179562)</f>
        <v>382.6720018</v>
      </c>
      <c r="M1223" s="9">
        <v>4.5</v>
      </c>
      <c r="N1223" s="9">
        <v>281.0</v>
      </c>
      <c r="O1223" s="9" t="s">
        <v>4950</v>
      </c>
      <c r="P1223" s="14" t="s">
        <v>4951</v>
      </c>
      <c r="U1223" s="17"/>
      <c r="V1223" s="18"/>
      <c r="W1223" s="16"/>
      <c r="X1223" s="16"/>
      <c r="Y1223" s="16"/>
    </row>
    <row r="1224">
      <c r="A1224" s="9" t="s">
        <v>4952</v>
      </c>
      <c r="B1224" s="10" t="s">
        <v>4953</v>
      </c>
      <c r="C1224" s="10" t="s">
        <v>4368</v>
      </c>
      <c r="D1224" s="10" t="s">
        <v>2450</v>
      </c>
      <c r="E1224" s="10" t="s">
        <v>4038</v>
      </c>
      <c r="F1224" s="10" t="s">
        <v>4039</v>
      </c>
      <c r="G1224" s="10" t="s">
        <v>4069</v>
      </c>
      <c r="H1224" s="10" t="s">
        <v>4369</v>
      </c>
      <c r="I1224" s="11">
        <v>239.0</v>
      </c>
      <c r="J1224" s="11">
        <v>239.0</v>
      </c>
      <c r="K1224" s="12">
        <f t="shared" si="1"/>
        <v>0</v>
      </c>
      <c r="L1224" s="13">
        <f>IFERROR(__xludf.DUMMYFUNCTION("GOOGLEFINANCE(""CURRENCY:INRBRL"") * I1224
"),14.072720176819999)</f>
        <v>14.07272018</v>
      </c>
      <c r="M1224" s="9">
        <v>4.5</v>
      </c>
      <c r="N1224" s="9">
        <v>7.0</v>
      </c>
      <c r="O1224" s="9" t="s">
        <v>4954</v>
      </c>
      <c r="P1224" s="14" t="s">
        <v>4955</v>
      </c>
      <c r="U1224" s="17"/>
      <c r="V1224" s="18"/>
      <c r="W1224" s="16"/>
      <c r="X1224" s="16"/>
      <c r="Y1224" s="16"/>
    </row>
    <row r="1225">
      <c r="A1225" s="9" t="s">
        <v>4956</v>
      </c>
      <c r="B1225" s="10" t="s">
        <v>4957</v>
      </c>
      <c r="C1225" s="10" t="s">
        <v>4117</v>
      </c>
      <c r="D1225" s="10" t="s">
        <v>2450</v>
      </c>
      <c r="E1225" s="10" t="s">
        <v>4038</v>
      </c>
      <c r="F1225" s="10" t="s">
        <v>4039</v>
      </c>
      <c r="G1225" s="10" t="s">
        <v>4118</v>
      </c>
      <c r="H1225" s="10"/>
      <c r="I1225" s="11">
        <v>699.0</v>
      </c>
      <c r="J1225" s="11">
        <v>1599.0</v>
      </c>
      <c r="K1225" s="12">
        <f t="shared" si="1"/>
        <v>0.5628517824</v>
      </c>
      <c r="L1225" s="13">
        <f>IFERROR(__xludf.DUMMYFUNCTION("GOOGLEFINANCE(""CURRENCY:INRBRL"") * I1225
"),41.15829039162)</f>
        <v>41.15829039</v>
      </c>
      <c r="M1225" s="9">
        <v>4.51</v>
      </c>
      <c r="N1225" s="9">
        <v>1729.0</v>
      </c>
      <c r="O1225" s="9" t="s">
        <v>4958</v>
      </c>
      <c r="P1225" s="14" t="s">
        <v>4959</v>
      </c>
      <c r="U1225" s="17"/>
      <c r="V1225" s="18"/>
      <c r="W1225" s="16"/>
      <c r="X1225" s="16"/>
      <c r="Y1225" s="16"/>
    </row>
    <row r="1226">
      <c r="A1226" s="9" t="s">
        <v>4960</v>
      </c>
      <c r="B1226" s="10" t="s">
        <v>4961</v>
      </c>
      <c r="C1226" s="10" t="s">
        <v>4962</v>
      </c>
      <c r="D1226" s="10" t="s">
        <v>2450</v>
      </c>
      <c r="E1226" s="10" t="s">
        <v>4038</v>
      </c>
      <c r="F1226" s="10" t="s">
        <v>4039</v>
      </c>
      <c r="G1226" s="10"/>
      <c r="H1226" s="10"/>
      <c r="I1226" s="11">
        <v>2599.0</v>
      </c>
      <c r="J1226" s="11">
        <v>4299.0</v>
      </c>
      <c r="K1226" s="12">
        <f t="shared" si="1"/>
        <v>0.3954408002</v>
      </c>
      <c r="L1226" s="13">
        <f>IFERROR(__xludf.DUMMYFUNCTION("GOOGLEFINANCE(""CURRENCY:INRBRL"") * I1226
"),153.03347171362)</f>
        <v>153.0334717</v>
      </c>
      <c r="M1226" s="9">
        <v>4.5</v>
      </c>
      <c r="N1226" s="9">
        <v>2116.0</v>
      </c>
      <c r="O1226" s="9" t="s">
        <v>4963</v>
      </c>
      <c r="P1226" s="14" t="s">
        <v>4964</v>
      </c>
      <c r="U1226" s="17"/>
      <c r="V1226" s="18"/>
      <c r="W1226" s="16"/>
      <c r="X1226" s="16"/>
      <c r="Y1226" s="16"/>
    </row>
    <row r="1227">
      <c r="A1227" s="9" t="s">
        <v>4965</v>
      </c>
      <c r="B1227" s="10" t="s">
        <v>4966</v>
      </c>
      <c r="C1227" s="10" t="s">
        <v>4251</v>
      </c>
      <c r="D1227" s="10" t="s">
        <v>2450</v>
      </c>
      <c r="E1227" s="10" t="s">
        <v>4038</v>
      </c>
      <c r="F1227" s="10" t="s">
        <v>4061</v>
      </c>
      <c r="G1227" s="10" t="s">
        <v>4252</v>
      </c>
      <c r="H1227" s="10" t="s">
        <v>4253</v>
      </c>
      <c r="I1227" s="11">
        <v>1547.0</v>
      </c>
      <c r="J1227" s="11">
        <v>2899.0</v>
      </c>
      <c r="K1227" s="12">
        <f t="shared" si="1"/>
        <v>0.466367713</v>
      </c>
      <c r="L1227" s="13">
        <f>IFERROR(__xludf.DUMMYFUNCTION("GOOGLEFINANCE(""CURRENCY:INRBRL"") * I1227
"),91.08995026586)</f>
        <v>91.08995027</v>
      </c>
      <c r="M1227" s="9">
        <v>4.52</v>
      </c>
      <c r="N1227" s="9">
        <v>463.0</v>
      </c>
      <c r="O1227" s="9" t="s">
        <v>4967</v>
      </c>
      <c r="P1227" s="14" t="s">
        <v>4968</v>
      </c>
      <c r="U1227" s="17"/>
      <c r="V1227" s="18"/>
      <c r="W1227" s="16"/>
      <c r="X1227" s="16"/>
      <c r="Y1227" s="16"/>
    </row>
    <row r="1228">
      <c r="A1228" s="9" t="s">
        <v>4969</v>
      </c>
      <c r="B1228" s="10" t="s">
        <v>4970</v>
      </c>
      <c r="C1228" s="10" t="s">
        <v>4117</v>
      </c>
      <c r="D1228" s="10" t="s">
        <v>2450</v>
      </c>
      <c r="E1228" s="10" t="s">
        <v>4038</v>
      </c>
      <c r="F1228" s="10" t="s">
        <v>4039</v>
      </c>
      <c r="G1228" s="10" t="s">
        <v>4118</v>
      </c>
      <c r="H1228" s="10"/>
      <c r="I1228" s="11">
        <v>499.0</v>
      </c>
      <c r="J1228" s="11">
        <v>1299.0</v>
      </c>
      <c r="K1228" s="12">
        <f t="shared" si="1"/>
        <v>0.6158583526</v>
      </c>
      <c r="L1228" s="13">
        <f>IFERROR(__xludf.DUMMYFUNCTION("GOOGLEFINANCE(""CURRENCY:INRBRL"") * I1228
"),29.38195551562)</f>
        <v>29.38195552</v>
      </c>
      <c r="M1228" s="9">
        <v>4.51</v>
      </c>
      <c r="N1228" s="9">
        <v>54.0</v>
      </c>
      <c r="O1228" s="9" t="s">
        <v>4971</v>
      </c>
      <c r="P1228" s="14" t="s">
        <v>4972</v>
      </c>
      <c r="U1228" s="17"/>
      <c r="V1228" s="18"/>
      <c r="W1228" s="16"/>
      <c r="X1228" s="16"/>
      <c r="Y1228" s="16"/>
    </row>
    <row r="1229">
      <c r="A1229" s="9" t="s">
        <v>4973</v>
      </c>
      <c r="B1229" s="10" t="s">
        <v>4974</v>
      </c>
      <c r="C1229" s="10" t="s">
        <v>4191</v>
      </c>
      <c r="D1229" s="10" t="s">
        <v>2450</v>
      </c>
      <c r="E1229" s="10" t="s">
        <v>4047</v>
      </c>
      <c r="F1229" s="10" t="s">
        <v>4136</v>
      </c>
      <c r="G1229" s="10" t="s">
        <v>4192</v>
      </c>
      <c r="H1229" s="10"/>
      <c r="I1229" s="11">
        <v>510.0</v>
      </c>
      <c r="J1229" s="11">
        <v>640.0</v>
      </c>
      <c r="K1229" s="12">
        <f t="shared" si="1"/>
        <v>0.203125</v>
      </c>
      <c r="L1229" s="13">
        <f>IFERROR(__xludf.DUMMYFUNCTION("GOOGLEFINANCE(""CURRENCY:INRBRL"") * I1229
"),30.0296539338)</f>
        <v>30.02965393</v>
      </c>
      <c r="M1229" s="9">
        <v>4.49</v>
      </c>
      <c r="N1229" s="9">
        <v>7229.0</v>
      </c>
      <c r="O1229" s="9" t="s">
        <v>4975</v>
      </c>
      <c r="P1229" s="14" t="s">
        <v>4976</v>
      </c>
      <c r="U1229" s="17"/>
      <c r="V1229" s="18"/>
      <c r="W1229" s="16"/>
      <c r="X1229" s="16"/>
      <c r="Y1229" s="16"/>
    </row>
    <row r="1230">
      <c r="A1230" s="9" t="s">
        <v>4977</v>
      </c>
      <c r="B1230" s="10" t="s">
        <v>4978</v>
      </c>
      <c r="C1230" s="10" t="s">
        <v>4135</v>
      </c>
      <c r="D1230" s="10" t="s">
        <v>2450</v>
      </c>
      <c r="E1230" s="10" t="s">
        <v>4047</v>
      </c>
      <c r="F1230" s="10" t="s">
        <v>4136</v>
      </c>
      <c r="G1230" s="10" t="s">
        <v>4137</v>
      </c>
      <c r="H1230" s="10"/>
      <c r="I1230" s="11">
        <v>1899.0</v>
      </c>
      <c r="J1230" s="11">
        <v>3799.0</v>
      </c>
      <c r="K1230" s="12">
        <f t="shared" si="1"/>
        <v>0.5001316136</v>
      </c>
      <c r="L1230" s="13">
        <f>IFERROR(__xludf.DUMMYFUNCTION("GOOGLEFINANCE(""CURRENCY:INRBRL"") * I1230
"),111.81629964762)</f>
        <v>111.8162996</v>
      </c>
      <c r="M1230" s="9">
        <v>4.51</v>
      </c>
      <c r="N1230" s="9">
        <v>3842.0</v>
      </c>
      <c r="O1230" s="9" t="s">
        <v>4979</v>
      </c>
      <c r="P1230" s="14" t="s">
        <v>4980</v>
      </c>
      <c r="U1230" s="17"/>
      <c r="V1230" s="18"/>
      <c r="W1230" s="16"/>
      <c r="X1230" s="16"/>
      <c r="Y1230" s="16"/>
    </row>
    <row r="1231">
      <c r="A1231" s="9" t="s">
        <v>4981</v>
      </c>
      <c r="B1231" s="10" t="s">
        <v>4982</v>
      </c>
      <c r="C1231" s="10" t="s">
        <v>4135</v>
      </c>
      <c r="D1231" s="10" t="s">
        <v>2450</v>
      </c>
      <c r="E1231" s="10" t="s">
        <v>4047</v>
      </c>
      <c r="F1231" s="10" t="s">
        <v>4136</v>
      </c>
      <c r="G1231" s="10" t="s">
        <v>4137</v>
      </c>
      <c r="H1231" s="10"/>
      <c r="I1231" s="11">
        <v>2599.0</v>
      </c>
      <c r="J1231" s="11">
        <v>4569.0</v>
      </c>
      <c r="K1231" s="12">
        <f t="shared" si="1"/>
        <v>0.4311665572</v>
      </c>
      <c r="L1231" s="13">
        <f>IFERROR(__xludf.DUMMYFUNCTION("GOOGLEFINANCE(""CURRENCY:INRBRL"") * I1231
"),153.03347171362)</f>
        <v>153.0334717</v>
      </c>
      <c r="M1231" s="9">
        <v>4.5</v>
      </c>
      <c r="N1231" s="9">
        <v>646.0</v>
      </c>
      <c r="O1231" s="9" t="s">
        <v>4983</v>
      </c>
      <c r="P1231" s="14" t="s">
        <v>4984</v>
      </c>
      <c r="U1231" s="17"/>
      <c r="V1231" s="18"/>
      <c r="W1231" s="16"/>
      <c r="X1231" s="16"/>
      <c r="Y1231" s="16"/>
    </row>
    <row r="1232">
      <c r="A1232" s="9" t="s">
        <v>4985</v>
      </c>
      <c r="B1232" s="10" t="s">
        <v>4986</v>
      </c>
      <c r="C1232" s="10" t="s">
        <v>4278</v>
      </c>
      <c r="D1232" s="10" t="s">
        <v>2450</v>
      </c>
      <c r="E1232" s="10" t="s">
        <v>4038</v>
      </c>
      <c r="F1232" s="10" t="s">
        <v>4039</v>
      </c>
      <c r="G1232" s="10" t="s">
        <v>4279</v>
      </c>
      <c r="H1232" s="10"/>
      <c r="I1232" s="11">
        <v>1199.0</v>
      </c>
      <c r="J1232" s="11">
        <v>3499.0</v>
      </c>
      <c r="K1232" s="12">
        <f t="shared" si="1"/>
        <v>0.6573306659</v>
      </c>
      <c r="L1232" s="13">
        <f>IFERROR(__xludf.DUMMYFUNCTION("GOOGLEFINANCE(""CURRENCY:INRBRL"") * I1232
"),70.59912758162)</f>
        <v>70.59912758</v>
      </c>
      <c r="M1232" s="9">
        <v>4.5</v>
      </c>
      <c r="N1232" s="9">
        <v>1802.0</v>
      </c>
      <c r="O1232" s="9" t="s">
        <v>4987</v>
      </c>
      <c r="P1232" s="14" t="s">
        <v>4988</v>
      </c>
      <c r="U1232" s="17"/>
      <c r="V1232" s="18"/>
      <c r="W1232" s="16"/>
      <c r="X1232" s="16"/>
      <c r="Y1232" s="16"/>
    </row>
    <row r="1233">
      <c r="A1233" s="9" t="s">
        <v>4989</v>
      </c>
      <c r="B1233" s="10" t="s">
        <v>4990</v>
      </c>
      <c r="C1233" s="10" t="s">
        <v>4135</v>
      </c>
      <c r="D1233" s="10" t="s">
        <v>2450</v>
      </c>
      <c r="E1233" s="10" t="s">
        <v>4047</v>
      </c>
      <c r="F1233" s="10" t="s">
        <v>4136</v>
      </c>
      <c r="G1233" s="10" t="s">
        <v>4137</v>
      </c>
      <c r="H1233" s="10"/>
      <c r="I1233" s="11">
        <v>999.0</v>
      </c>
      <c r="J1233" s="11">
        <v>2599.0</v>
      </c>
      <c r="K1233" s="12">
        <f t="shared" si="1"/>
        <v>0.6156213928</v>
      </c>
      <c r="L1233" s="13">
        <f>IFERROR(__xludf.DUMMYFUNCTION("GOOGLEFINANCE(""CURRENCY:INRBRL"") * I1233
"),58.822792705619996)</f>
        <v>58.82279271</v>
      </c>
      <c r="M1233" s="9">
        <v>4.5</v>
      </c>
      <c r="N1233" s="9">
        <v>252.0</v>
      </c>
      <c r="O1233" s="9" t="s">
        <v>4991</v>
      </c>
      <c r="P1233" s="14" t="s">
        <v>4992</v>
      </c>
      <c r="U1233" s="17"/>
      <c r="V1233" s="18"/>
      <c r="W1233" s="16"/>
      <c r="X1233" s="16"/>
      <c r="Y1233" s="16"/>
    </row>
    <row r="1234">
      <c r="A1234" s="9" t="s">
        <v>4993</v>
      </c>
      <c r="B1234" s="10" t="s">
        <v>4994</v>
      </c>
      <c r="C1234" s="10" t="s">
        <v>4099</v>
      </c>
      <c r="D1234" s="10" t="s">
        <v>2450</v>
      </c>
      <c r="E1234" s="10" t="s">
        <v>4038</v>
      </c>
      <c r="F1234" s="10" t="s">
        <v>4039</v>
      </c>
      <c r="G1234" s="10" t="s">
        <v>4100</v>
      </c>
      <c r="H1234" s="10"/>
      <c r="I1234" s="11">
        <v>1999.0</v>
      </c>
      <c r="J1234" s="11">
        <v>3299.0</v>
      </c>
      <c r="K1234" s="12">
        <f t="shared" si="1"/>
        <v>0.3940588057</v>
      </c>
      <c r="L1234" s="13">
        <f>IFERROR(__xludf.DUMMYFUNCTION("GOOGLEFINANCE(""CURRENCY:INRBRL"") * I1234
"),117.70446708562)</f>
        <v>117.7044671</v>
      </c>
      <c r="M1234" s="9">
        <v>4.5</v>
      </c>
      <c r="N1234" s="9">
        <v>780.0</v>
      </c>
      <c r="O1234" s="9" t="s">
        <v>4995</v>
      </c>
      <c r="P1234" s="14" t="s">
        <v>4996</v>
      </c>
      <c r="U1234" s="17"/>
      <c r="V1234" s="18"/>
      <c r="W1234" s="16"/>
      <c r="X1234" s="16"/>
      <c r="Y1234" s="16"/>
    </row>
    <row r="1235">
      <c r="A1235" s="9" t="s">
        <v>4997</v>
      </c>
      <c r="B1235" s="10" t="s">
        <v>4998</v>
      </c>
      <c r="C1235" s="10" t="s">
        <v>4117</v>
      </c>
      <c r="D1235" s="10" t="s">
        <v>2450</v>
      </c>
      <c r="E1235" s="10" t="s">
        <v>4038</v>
      </c>
      <c r="F1235" s="10" t="s">
        <v>4039</v>
      </c>
      <c r="G1235" s="10" t="s">
        <v>4118</v>
      </c>
      <c r="H1235" s="10"/>
      <c r="I1235" s="11">
        <v>210.0</v>
      </c>
      <c r="J1235" s="11">
        <v>699.0</v>
      </c>
      <c r="K1235" s="12">
        <f t="shared" si="1"/>
        <v>0.6995708155</v>
      </c>
      <c r="L1235" s="13">
        <f>IFERROR(__xludf.DUMMYFUNCTION("GOOGLEFINANCE(""CURRENCY:INRBRL"") * I1235
"),12.365151619799999)</f>
        <v>12.36515162</v>
      </c>
      <c r="M1235" s="9">
        <v>4.51</v>
      </c>
      <c r="N1235" s="9">
        <v>74.0</v>
      </c>
      <c r="O1235" s="9" t="s">
        <v>4999</v>
      </c>
      <c r="P1235" s="14" t="s">
        <v>5000</v>
      </c>
      <c r="U1235" s="17"/>
      <c r="V1235" s="18"/>
      <c r="W1235" s="16"/>
      <c r="X1235" s="16"/>
      <c r="Y1235" s="16"/>
    </row>
    <row r="1236">
      <c r="A1236" s="9" t="s">
        <v>5001</v>
      </c>
      <c r="B1236" s="10" t="s">
        <v>5002</v>
      </c>
      <c r="C1236" s="10" t="s">
        <v>4736</v>
      </c>
      <c r="D1236" s="10" t="s">
        <v>2450</v>
      </c>
      <c r="E1236" s="10" t="s">
        <v>4047</v>
      </c>
      <c r="F1236" s="10" t="s">
        <v>4737</v>
      </c>
      <c r="G1236" s="10" t="s">
        <v>4738</v>
      </c>
      <c r="H1236" s="10"/>
      <c r="I1236" s="11">
        <v>14499.0</v>
      </c>
      <c r="J1236" s="11">
        <v>23559.0</v>
      </c>
      <c r="K1236" s="12">
        <f t="shared" si="1"/>
        <v>0.3845664077</v>
      </c>
      <c r="L1236" s="13">
        <f>IFERROR(__xludf.DUMMYFUNCTION("GOOGLEFINANCE(""CURRENCY:INRBRL"") * I1236
"),853.72539683562)</f>
        <v>853.7253968</v>
      </c>
      <c r="M1236" s="9">
        <v>4.5</v>
      </c>
      <c r="N1236" s="9">
        <v>2026.0</v>
      </c>
      <c r="O1236" s="9" t="s">
        <v>5003</v>
      </c>
      <c r="P1236" s="14" t="s">
        <v>5004</v>
      </c>
      <c r="U1236" s="17"/>
      <c r="V1236" s="18"/>
      <c r="W1236" s="16"/>
      <c r="X1236" s="16"/>
      <c r="Y1236" s="16"/>
    </row>
    <row r="1237">
      <c r="A1237" s="9" t="s">
        <v>5005</v>
      </c>
      <c r="B1237" s="10" t="s">
        <v>5006</v>
      </c>
      <c r="C1237" s="10" t="s">
        <v>4212</v>
      </c>
      <c r="D1237" s="10" t="s">
        <v>2450</v>
      </c>
      <c r="E1237" s="10" t="s">
        <v>4213</v>
      </c>
      <c r="F1237" s="10" t="s">
        <v>4214</v>
      </c>
      <c r="G1237" s="10" t="s">
        <v>4215</v>
      </c>
      <c r="H1237" s="10"/>
      <c r="I1237" s="11">
        <v>950.0</v>
      </c>
      <c r="J1237" s="11">
        <v>1599.0</v>
      </c>
      <c r="K1237" s="12">
        <f t="shared" si="1"/>
        <v>0.4058786742</v>
      </c>
      <c r="L1237" s="13">
        <f>IFERROR(__xludf.DUMMYFUNCTION("GOOGLEFINANCE(""CURRENCY:INRBRL"") * I1237
"),55.937590661)</f>
        <v>55.93759066</v>
      </c>
      <c r="M1237" s="9">
        <v>4.5</v>
      </c>
      <c r="N1237" s="9">
        <v>5911.0</v>
      </c>
      <c r="O1237" s="9" t="s">
        <v>5007</v>
      </c>
      <c r="P1237" s="14" t="s">
        <v>5008</v>
      </c>
      <c r="U1237" s="17"/>
      <c r="V1237" s="18"/>
      <c r="W1237" s="16"/>
      <c r="X1237" s="16"/>
      <c r="Y1237" s="16"/>
    </row>
    <row r="1238">
      <c r="A1238" s="9" t="s">
        <v>5009</v>
      </c>
      <c r="B1238" s="10" t="s">
        <v>5010</v>
      </c>
      <c r="C1238" s="10" t="s">
        <v>4205</v>
      </c>
      <c r="D1238" s="10" t="s">
        <v>2450</v>
      </c>
      <c r="E1238" s="10" t="s">
        <v>4038</v>
      </c>
      <c r="F1238" s="10" t="s">
        <v>4039</v>
      </c>
      <c r="G1238" s="10" t="s">
        <v>4206</v>
      </c>
      <c r="H1238" s="10" t="s">
        <v>4207</v>
      </c>
      <c r="I1238" s="11">
        <v>7199.0</v>
      </c>
      <c r="J1238" s="11">
        <v>9995.0</v>
      </c>
      <c r="K1238" s="12">
        <f t="shared" si="1"/>
        <v>0.2797398699</v>
      </c>
      <c r="L1238" s="13">
        <f>IFERROR(__xludf.DUMMYFUNCTION("GOOGLEFINANCE(""CURRENCY:INRBRL"") * I1238
"),423.88917386162)</f>
        <v>423.8891739</v>
      </c>
      <c r="M1238" s="9">
        <v>4.5</v>
      </c>
      <c r="N1238" s="9">
        <v>1964.0</v>
      </c>
      <c r="O1238" s="9" t="s">
        <v>5011</v>
      </c>
      <c r="P1238" s="14" t="s">
        <v>5012</v>
      </c>
      <c r="U1238" s="17"/>
      <c r="V1238" s="18"/>
      <c r="W1238" s="16"/>
      <c r="X1238" s="16"/>
      <c r="Y1238" s="16"/>
    </row>
    <row r="1239">
      <c r="A1239" s="9" t="s">
        <v>5013</v>
      </c>
      <c r="B1239" s="10" t="s">
        <v>5014</v>
      </c>
      <c r="C1239" s="10" t="s">
        <v>4046</v>
      </c>
      <c r="D1239" s="10" t="s">
        <v>2450</v>
      </c>
      <c r="E1239" s="10" t="s">
        <v>4047</v>
      </c>
      <c r="F1239" s="10" t="s">
        <v>4048</v>
      </c>
      <c r="G1239" s="10" t="s">
        <v>4049</v>
      </c>
      <c r="H1239" s="10"/>
      <c r="I1239" s="11">
        <v>2439.0</v>
      </c>
      <c r="J1239" s="11">
        <v>2545.0</v>
      </c>
      <c r="K1239" s="12">
        <f t="shared" si="1"/>
        <v>0.0416502947</v>
      </c>
      <c r="L1239" s="13">
        <f>IFERROR(__xludf.DUMMYFUNCTION("GOOGLEFINANCE(""CURRENCY:INRBRL"") * I1239
"),143.61240381282)</f>
        <v>143.6124038</v>
      </c>
      <c r="M1239" s="9">
        <v>4.49</v>
      </c>
      <c r="N1239" s="9">
        <v>25.0</v>
      </c>
      <c r="O1239" s="9" t="s">
        <v>5015</v>
      </c>
      <c r="P1239" s="14" t="s">
        <v>5016</v>
      </c>
      <c r="U1239" s="17"/>
      <c r="V1239" s="18"/>
      <c r="W1239" s="16"/>
      <c r="X1239" s="16"/>
      <c r="Y1239" s="16"/>
    </row>
    <row r="1240">
      <c r="A1240" s="9" t="s">
        <v>5017</v>
      </c>
      <c r="B1240" s="10" t="s">
        <v>5018</v>
      </c>
      <c r="C1240" s="10" t="s">
        <v>4220</v>
      </c>
      <c r="D1240" s="10" t="s">
        <v>2450</v>
      </c>
      <c r="E1240" s="10" t="s">
        <v>4038</v>
      </c>
      <c r="F1240" s="10" t="s">
        <v>4061</v>
      </c>
      <c r="G1240" s="10" t="s">
        <v>4062</v>
      </c>
      <c r="H1240" s="10" t="s">
        <v>4124</v>
      </c>
      <c r="I1240" s="11">
        <v>7799.0</v>
      </c>
      <c r="J1240" s="11">
        <v>8995.0</v>
      </c>
      <c r="K1240" s="12">
        <f t="shared" si="1"/>
        <v>0.1329627571</v>
      </c>
      <c r="L1240" s="13">
        <f>IFERROR(__xludf.DUMMYFUNCTION("GOOGLEFINANCE(""CURRENCY:INRBRL"") * I1240
"),459.21817848962)</f>
        <v>459.2181785</v>
      </c>
      <c r="M1240" s="9">
        <v>4.0</v>
      </c>
      <c r="N1240" s="9">
        <v>316.0</v>
      </c>
      <c r="O1240" s="9" t="s">
        <v>5019</v>
      </c>
      <c r="P1240" s="14" t="s">
        <v>5020</v>
      </c>
      <c r="U1240" s="17"/>
      <c r="V1240" s="18"/>
      <c r="W1240" s="16"/>
      <c r="X1240" s="16"/>
      <c r="Y1240" s="16"/>
    </row>
    <row r="1241">
      <c r="A1241" s="9" t="s">
        <v>5021</v>
      </c>
      <c r="B1241" s="10" t="s">
        <v>5022</v>
      </c>
      <c r="C1241" s="10" t="s">
        <v>4346</v>
      </c>
      <c r="D1241" s="10" t="s">
        <v>2450</v>
      </c>
      <c r="E1241" s="10" t="s">
        <v>4038</v>
      </c>
      <c r="F1241" s="10" t="s">
        <v>4039</v>
      </c>
      <c r="G1241" s="10" t="s">
        <v>4347</v>
      </c>
      <c r="H1241" s="10"/>
      <c r="I1241" s="11">
        <v>1599.0</v>
      </c>
      <c r="J1241" s="11">
        <v>1999.0</v>
      </c>
      <c r="K1241" s="12">
        <f t="shared" si="1"/>
        <v>0.20010005</v>
      </c>
      <c r="L1241" s="13">
        <f>IFERROR(__xludf.DUMMYFUNCTION("GOOGLEFINANCE(""CURRENCY:INRBRL"") * I1241
"),94.15179733362)</f>
        <v>94.15179733</v>
      </c>
      <c r="M1241" s="9">
        <v>4.5</v>
      </c>
      <c r="N1241" s="9">
        <v>1558.0</v>
      </c>
      <c r="O1241" s="9" t="s">
        <v>5023</v>
      </c>
      <c r="P1241" s="14" t="s">
        <v>5024</v>
      </c>
      <c r="U1241" s="17"/>
      <c r="V1241" s="18"/>
      <c r="W1241" s="16"/>
      <c r="X1241" s="16"/>
      <c r="Y1241" s="16"/>
    </row>
    <row r="1242">
      <c r="A1242" s="9" t="s">
        <v>5025</v>
      </c>
      <c r="B1242" s="10" t="s">
        <v>5026</v>
      </c>
      <c r="C1242" s="10" t="s">
        <v>4129</v>
      </c>
      <c r="D1242" s="10" t="s">
        <v>2450</v>
      </c>
      <c r="E1242" s="10" t="s">
        <v>4038</v>
      </c>
      <c r="F1242" s="10" t="s">
        <v>4039</v>
      </c>
      <c r="G1242" s="10" t="s">
        <v>4130</v>
      </c>
      <c r="H1242" s="10"/>
      <c r="I1242" s="11">
        <v>2899.0</v>
      </c>
      <c r="J1242" s="11">
        <v>5499.0</v>
      </c>
      <c r="K1242" s="12">
        <f t="shared" si="1"/>
        <v>0.4728132388</v>
      </c>
      <c r="L1242" s="13">
        <f>IFERROR(__xludf.DUMMYFUNCTION("GOOGLEFINANCE(""CURRENCY:INRBRL"") * I1242
"),170.69797402762)</f>
        <v>170.697974</v>
      </c>
      <c r="M1242" s="9">
        <v>4.51</v>
      </c>
      <c r="N1242" s="9">
        <v>8958.0</v>
      </c>
      <c r="O1242" s="9" t="s">
        <v>5027</v>
      </c>
      <c r="P1242" s="14" t="s">
        <v>5028</v>
      </c>
      <c r="U1242" s="17"/>
      <c r="V1242" s="18"/>
      <c r="W1242" s="16"/>
      <c r="X1242" s="16"/>
      <c r="Y1242" s="16"/>
    </row>
    <row r="1243">
      <c r="A1243" s="9" t="s">
        <v>5029</v>
      </c>
      <c r="B1243" s="10" t="s">
        <v>5030</v>
      </c>
      <c r="C1243" s="10" t="s">
        <v>4815</v>
      </c>
      <c r="D1243" s="10" t="s">
        <v>2450</v>
      </c>
      <c r="E1243" s="10" t="s">
        <v>4038</v>
      </c>
      <c r="F1243" s="10" t="s">
        <v>4816</v>
      </c>
      <c r="G1243" s="10" t="s">
        <v>4817</v>
      </c>
      <c r="H1243" s="10"/>
      <c r="I1243" s="11">
        <v>9799.0</v>
      </c>
      <c r="J1243" s="11">
        <v>12159.0</v>
      </c>
      <c r="K1243" s="12">
        <f t="shared" si="1"/>
        <v>0.1940949091</v>
      </c>
      <c r="L1243" s="13">
        <f>IFERROR(__xludf.DUMMYFUNCTION("GOOGLEFINANCE(""CURRENCY:INRBRL"") * I1243
"),576.98152724962)</f>
        <v>576.9815272</v>
      </c>
      <c r="M1243" s="9">
        <v>4.5</v>
      </c>
      <c r="N1243" s="9">
        <v>13251.0</v>
      </c>
      <c r="O1243" s="9" t="s">
        <v>5031</v>
      </c>
      <c r="P1243" s="14" t="s">
        <v>5032</v>
      </c>
      <c r="U1243" s="17"/>
      <c r="V1243" s="18"/>
      <c r="W1243" s="16"/>
      <c r="X1243" s="16"/>
      <c r="Y1243" s="16"/>
    </row>
    <row r="1244">
      <c r="A1244" s="9" t="s">
        <v>5033</v>
      </c>
      <c r="B1244" s="10" t="s">
        <v>5034</v>
      </c>
      <c r="C1244" s="10" t="s">
        <v>4220</v>
      </c>
      <c r="D1244" s="10" t="s">
        <v>2450</v>
      </c>
      <c r="E1244" s="10" t="s">
        <v>4038</v>
      </c>
      <c r="F1244" s="10" t="s">
        <v>4061</v>
      </c>
      <c r="G1244" s="10" t="s">
        <v>4062</v>
      </c>
      <c r="H1244" s="10" t="s">
        <v>4124</v>
      </c>
      <c r="I1244" s="11">
        <v>3299.0</v>
      </c>
      <c r="J1244" s="11">
        <v>4995.0</v>
      </c>
      <c r="K1244" s="12">
        <f t="shared" si="1"/>
        <v>0.3395395395</v>
      </c>
      <c r="L1244" s="13">
        <f>IFERROR(__xludf.DUMMYFUNCTION("GOOGLEFINANCE(""CURRENCY:INRBRL"") * I1244
"),194.25064377962)</f>
        <v>194.2506438</v>
      </c>
      <c r="M1244" s="9">
        <v>4.51</v>
      </c>
      <c r="N1244" s="9">
        <v>1393.0</v>
      </c>
      <c r="O1244" s="9" t="s">
        <v>5035</v>
      </c>
      <c r="P1244" s="14" t="s">
        <v>5036</v>
      </c>
      <c r="U1244" s="17"/>
      <c r="V1244" s="18"/>
      <c r="W1244" s="16"/>
      <c r="X1244" s="16"/>
      <c r="Y1244" s="16"/>
    </row>
    <row r="1245">
      <c r="A1245" s="9" t="s">
        <v>5037</v>
      </c>
      <c r="B1245" s="10" t="s">
        <v>5038</v>
      </c>
      <c r="C1245" s="10" t="s">
        <v>4117</v>
      </c>
      <c r="D1245" s="10" t="s">
        <v>2450</v>
      </c>
      <c r="E1245" s="10" t="s">
        <v>4038</v>
      </c>
      <c r="F1245" s="10" t="s">
        <v>4039</v>
      </c>
      <c r="G1245" s="10" t="s">
        <v>4118</v>
      </c>
      <c r="H1245" s="10"/>
      <c r="I1245" s="11">
        <v>669.0</v>
      </c>
      <c r="J1245" s="11">
        <v>1499.0</v>
      </c>
      <c r="K1245" s="12">
        <f t="shared" si="1"/>
        <v>0.5537024683</v>
      </c>
      <c r="L1245" s="13">
        <f>IFERROR(__xludf.DUMMYFUNCTION("GOOGLEFINANCE(""CURRENCY:INRBRL"") * I1245
"),39.39184016022)</f>
        <v>39.39184016</v>
      </c>
      <c r="M1245" s="9">
        <v>4.5</v>
      </c>
      <c r="N1245" s="9">
        <v>13.0</v>
      </c>
      <c r="O1245" s="9" t="s">
        <v>5039</v>
      </c>
      <c r="P1245" s="14" t="s">
        <v>5040</v>
      </c>
      <c r="U1245" s="17"/>
      <c r="V1245" s="18"/>
      <c r="W1245" s="16"/>
      <c r="X1245" s="16"/>
      <c r="Y1245" s="16"/>
    </row>
    <row r="1246">
      <c r="A1246" s="9" t="s">
        <v>5041</v>
      </c>
      <c r="B1246" s="10" t="s">
        <v>5042</v>
      </c>
      <c r="C1246" s="10" t="s">
        <v>4237</v>
      </c>
      <c r="D1246" s="10" t="s">
        <v>2450</v>
      </c>
      <c r="E1246" s="10" t="s">
        <v>4038</v>
      </c>
      <c r="F1246" s="10" t="s">
        <v>4039</v>
      </c>
      <c r="G1246" s="10" t="s">
        <v>4238</v>
      </c>
      <c r="H1246" s="10"/>
      <c r="I1246" s="11">
        <v>5899.0</v>
      </c>
      <c r="J1246" s="11">
        <v>7506.0</v>
      </c>
      <c r="K1246" s="12">
        <f t="shared" si="1"/>
        <v>0.2140953904</v>
      </c>
      <c r="L1246" s="13">
        <f>IFERROR(__xludf.DUMMYFUNCTION("GOOGLEFINANCE(""CURRENCY:INRBRL"") * I1246
"),347.34299716762)</f>
        <v>347.3429972</v>
      </c>
      <c r="M1246" s="9">
        <v>4.51</v>
      </c>
      <c r="N1246" s="9">
        <v>7241.0</v>
      </c>
      <c r="O1246" s="9" t="s">
        <v>5043</v>
      </c>
      <c r="P1246" s="14" t="s">
        <v>5044</v>
      </c>
      <c r="U1246" s="17"/>
      <c r="V1246" s="18"/>
      <c r="W1246" s="16"/>
      <c r="X1246" s="16"/>
      <c r="Y1246" s="16"/>
    </row>
    <row r="1247">
      <c r="A1247" s="9" t="s">
        <v>5045</v>
      </c>
      <c r="B1247" s="10" t="s">
        <v>5046</v>
      </c>
      <c r="C1247" s="10" t="s">
        <v>4743</v>
      </c>
      <c r="D1247" s="10" t="s">
        <v>2450</v>
      </c>
      <c r="E1247" s="10" t="s">
        <v>4038</v>
      </c>
      <c r="F1247" s="10" t="s">
        <v>4545</v>
      </c>
      <c r="G1247" s="10" t="s">
        <v>4744</v>
      </c>
      <c r="H1247" s="10"/>
      <c r="I1247" s="11">
        <v>9199.0</v>
      </c>
      <c r="J1247" s="11">
        <v>17999.0</v>
      </c>
      <c r="K1247" s="12">
        <f t="shared" si="1"/>
        <v>0.4889160509</v>
      </c>
      <c r="L1247" s="13">
        <f>IFERROR(__xludf.DUMMYFUNCTION("GOOGLEFINANCE(""CURRENCY:INRBRL"") * I1247
"),541.6525226216199)</f>
        <v>541.6525226</v>
      </c>
      <c r="M1247" s="9">
        <v>4.0</v>
      </c>
      <c r="N1247" s="9">
        <v>1602.0</v>
      </c>
      <c r="O1247" s="9" t="s">
        <v>5047</v>
      </c>
      <c r="P1247" s="14" t="s">
        <v>5048</v>
      </c>
      <c r="U1247" s="17"/>
      <c r="V1247" s="18"/>
      <c r="W1247" s="16"/>
      <c r="X1247" s="16"/>
      <c r="Y1247" s="16"/>
    </row>
    <row r="1248">
      <c r="A1248" s="9" t="s">
        <v>5049</v>
      </c>
      <c r="B1248" s="10" t="s">
        <v>5050</v>
      </c>
      <c r="C1248" s="10" t="s">
        <v>4212</v>
      </c>
      <c r="D1248" s="10" t="s">
        <v>2450</v>
      </c>
      <c r="E1248" s="10" t="s">
        <v>4213</v>
      </c>
      <c r="F1248" s="10" t="s">
        <v>4214</v>
      </c>
      <c r="G1248" s="10" t="s">
        <v>4215</v>
      </c>
      <c r="H1248" s="10"/>
      <c r="I1248" s="11">
        <v>351.0</v>
      </c>
      <c r="J1248" s="11">
        <v>1099.0</v>
      </c>
      <c r="K1248" s="12">
        <f t="shared" si="1"/>
        <v>0.6806187443</v>
      </c>
      <c r="L1248" s="13">
        <f>IFERROR(__xludf.DUMMYFUNCTION("GOOGLEFINANCE(""CURRENCY:INRBRL"") * I1248
"),20.66746770738)</f>
        <v>20.66746771</v>
      </c>
      <c r="M1248" s="9">
        <v>4.51</v>
      </c>
      <c r="N1248" s="9">
        <v>147.0</v>
      </c>
      <c r="O1248" s="9" t="s">
        <v>5051</v>
      </c>
      <c r="P1248" s="14" t="s">
        <v>5052</v>
      </c>
      <c r="U1248" s="17"/>
      <c r="V1248" s="18"/>
      <c r="W1248" s="16"/>
      <c r="X1248" s="16"/>
      <c r="Y1248" s="16"/>
    </row>
    <row r="1249">
      <c r="A1249" s="9" t="s">
        <v>5053</v>
      </c>
      <c r="B1249" s="10" t="s">
        <v>5054</v>
      </c>
      <c r="C1249" s="10" t="s">
        <v>5055</v>
      </c>
      <c r="D1249" s="10" t="s">
        <v>5056</v>
      </c>
      <c r="E1249" s="10" t="s">
        <v>5057</v>
      </c>
      <c r="F1249" s="10" t="s">
        <v>5058</v>
      </c>
      <c r="G1249" s="10" t="s">
        <v>5059</v>
      </c>
      <c r="H1249" s="10" t="s">
        <v>5060</v>
      </c>
      <c r="I1249" s="11">
        <v>899.0</v>
      </c>
      <c r="J1249" s="11">
        <v>1899.0</v>
      </c>
      <c r="K1249" s="12">
        <f t="shared" si="1"/>
        <v>0.5265929437</v>
      </c>
      <c r="L1249" s="13">
        <f>IFERROR(__xludf.DUMMYFUNCTION("GOOGLEFINANCE(""CURRENCY:INRBRL"") * I1249
"),52.93462526762)</f>
        <v>52.93462527</v>
      </c>
      <c r="M1249" s="9">
        <v>4.0</v>
      </c>
      <c r="N1249" s="9">
        <v>3663.0</v>
      </c>
      <c r="O1249" s="9" t="s">
        <v>5061</v>
      </c>
      <c r="P1249" s="14" t="s">
        <v>5062</v>
      </c>
      <c r="U1249" s="17"/>
      <c r="V1249" s="18"/>
      <c r="W1249" s="16"/>
      <c r="X1249" s="16"/>
      <c r="Y1249" s="16"/>
    </row>
    <row r="1250">
      <c r="A1250" s="9" t="s">
        <v>5063</v>
      </c>
      <c r="B1250" s="10" t="s">
        <v>5064</v>
      </c>
      <c r="C1250" s="10" t="s">
        <v>4155</v>
      </c>
      <c r="D1250" s="10" t="s">
        <v>2450</v>
      </c>
      <c r="E1250" s="10" t="s">
        <v>4038</v>
      </c>
      <c r="F1250" s="10" t="s">
        <v>4039</v>
      </c>
      <c r="G1250" s="10" t="s">
        <v>4040</v>
      </c>
      <c r="H1250" s="10" t="s">
        <v>4156</v>
      </c>
      <c r="I1250" s="11">
        <v>1349.0</v>
      </c>
      <c r="J1250" s="11">
        <v>1859.0</v>
      </c>
      <c r="K1250" s="12">
        <f t="shared" si="1"/>
        <v>0.2743410436</v>
      </c>
      <c r="L1250" s="13">
        <f>IFERROR(__xludf.DUMMYFUNCTION("GOOGLEFINANCE(""CURRENCY:INRBRL"") * I1250
"),79.43137873862)</f>
        <v>79.43137874</v>
      </c>
      <c r="M1250" s="9">
        <v>4.5</v>
      </c>
      <c r="N1250" s="9">
        <v>638.0</v>
      </c>
      <c r="O1250" s="9" t="s">
        <v>5065</v>
      </c>
      <c r="P1250" s="14" t="s">
        <v>5066</v>
      </c>
      <c r="U1250" s="17"/>
      <c r="V1250" s="18"/>
      <c r="W1250" s="16"/>
      <c r="X1250" s="16"/>
      <c r="Y1250" s="16"/>
    </row>
    <row r="1251">
      <c r="A1251" s="9" t="s">
        <v>5067</v>
      </c>
      <c r="B1251" s="10" t="s">
        <v>5068</v>
      </c>
      <c r="C1251" s="10" t="s">
        <v>4680</v>
      </c>
      <c r="D1251" s="10" t="s">
        <v>2450</v>
      </c>
      <c r="E1251" s="10" t="s">
        <v>4038</v>
      </c>
      <c r="F1251" s="10" t="s">
        <v>4061</v>
      </c>
      <c r="G1251" s="10" t="s">
        <v>4252</v>
      </c>
      <c r="H1251" s="10" t="s">
        <v>4253</v>
      </c>
      <c r="I1251" s="11">
        <v>6236.0</v>
      </c>
      <c r="J1251" s="11">
        <v>9999.0</v>
      </c>
      <c r="K1251" s="12">
        <f t="shared" si="1"/>
        <v>0.3763376338</v>
      </c>
      <c r="L1251" s="13">
        <f>IFERROR(__xludf.DUMMYFUNCTION("GOOGLEFINANCE(""CURRENCY:INRBRL"") * I1251
"),367.18612143368)</f>
        <v>367.1861214</v>
      </c>
      <c r="M1251" s="9">
        <v>4.49</v>
      </c>
      <c r="N1251" s="9">
        <v>3552.0</v>
      </c>
      <c r="O1251" s="9" t="s">
        <v>5069</v>
      </c>
      <c r="P1251" s="14" t="s">
        <v>5070</v>
      </c>
      <c r="U1251" s="17"/>
      <c r="V1251" s="18"/>
      <c r="W1251" s="16"/>
      <c r="X1251" s="16"/>
      <c r="Y1251" s="16"/>
    </row>
    <row r="1252">
      <c r="A1252" s="9" t="s">
        <v>5071</v>
      </c>
      <c r="B1252" s="10" t="s">
        <v>5072</v>
      </c>
      <c r="C1252" s="10" t="s">
        <v>4117</v>
      </c>
      <c r="D1252" s="10" t="s">
        <v>2450</v>
      </c>
      <c r="E1252" s="10" t="s">
        <v>4038</v>
      </c>
      <c r="F1252" s="10" t="s">
        <v>4039</v>
      </c>
      <c r="G1252" s="10" t="s">
        <v>4118</v>
      </c>
      <c r="H1252" s="10"/>
      <c r="I1252" s="11">
        <v>2742.0</v>
      </c>
      <c r="J1252" s="11">
        <v>3995.0</v>
      </c>
      <c r="K1252" s="12">
        <f t="shared" si="1"/>
        <v>0.3136420526</v>
      </c>
      <c r="L1252" s="13">
        <f>IFERROR(__xludf.DUMMYFUNCTION("GOOGLEFINANCE(""CURRENCY:INRBRL"") * I1252
"),161.45355114996)</f>
        <v>161.4535511</v>
      </c>
      <c r="M1252" s="9">
        <v>4.5</v>
      </c>
      <c r="N1252" s="9">
        <v>11148.0</v>
      </c>
      <c r="O1252" s="9" t="s">
        <v>5073</v>
      </c>
      <c r="P1252" s="14" t="s">
        <v>5074</v>
      </c>
      <c r="U1252" s="17"/>
      <c r="V1252" s="18"/>
      <c r="W1252" s="16"/>
      <c r="X1252" s="16"/>
      <c r="Y1252" s="16"/>
    </row>
    <row r="1253">
      <c r="A1253" s="9" t="s">
        <v>5075</v>
      </c>
      <c r="B1253" s="10" t="s">
        <v>5076</v>
      </c>
      <c r="C1253" s="10" t="s">
        <v>4815</v>
      </c>
      <c r="D1253" s="10" t="s">
        <v>2450</v>
      </c>
      <c r="E1253" s="10" t="s">
        <v>4038</v>
      </c>
      <c r="F1253" s="10" t="s">
        <v>4816</v>
      </c>
      <c r="G1253" s="10" t="s">
        <v>4817</v>
      </c>
      <c r="H1253" s="10"/>
      <c r="I1253" s="11">
        <v>721.0</v>
      </c>
      <c r="J1253" s="11">
        <v>1499.0</v>
      </c>
      <c r="K1253" s="12">
        <f t="shared" si="1"/>
        <v>0.5190126751</v>
      </c>
      <c r="L1253" s="13">
        <f>IFERROR(__xludf.DUMMYFUNCTION("GOOGLEFINANCE(""CURRENCY:INRBRL"") * I1253
"),42.45368722798)</f>
        <v>42.45368723</v>
      </c>
      <c r="M1253" s="9">
        <v>4.49</v>
      </c>
      <c r="N1253" s="9">
        <v>2449.0</v>
      </c>
      <c r="O1253" s="9" t="s">
        <v>5077</v>
      </c>
      <c r="P1253" s="14" t="s">
        <v>5078</v>
      </c>
      <c r="U1253" s="17"/>
      <c r="V1253" s="18"/>
      <c r="W1253" s="16"/>
      <c r="X1253" s="16"/>
      <c r="Y1253" s="16"/>
    </row>
    <row r="1254">
      <c r="A1254" s="9" t="s">
        <v>5079</v>
      </c>
      <c r="B1254" s="10" t="s">
        <v>5080</v>
      </c>
      <c r="C1254" s="10" t="s">
        <v>4220</v>
      </c>
      <c r="D1254" s="10" t="s">
        <v>2450</v>
      </c>
      <c r="E1254" s="10" t="s">
        <v>4038</v>
      </c>
      <c r="F1254" s="10" t="s">
        <v>4061</v>
      </c>
      <c r="G1254" s="10" t="s">
        <v>4062</v>
      </c>
      <c r="H1254" s="10" t="s">
        <v>4124</v>
      </c>
      <c r="I1254" s="11">
        <v>2903.0</v>
      </c>
      <c r="J1254" s="11">
        <v>3295.0</v>
      </c>
      <c r="K1254" s="12">
        <f t="shared" si="1"/>
        <v>0.1189681335</v>
      </c>
      <c r="L1254" s="13">
        <f>IFERROR(__xludf.DUMMYFUNCTION("GOOGLEFINANCE(""CURRENCY:INRBRL"") * I1254
"),170.93350072514)</f>
        <v>170.9335007</v>
      </c>
      <c r="M1254" s="9">
        <v>4.5</v>
      </c>
      <c r="N1254" s="9">
        <v>2299.0</v>
      </c>
      <c r="O1254" s="9" t="s">
        <v>5081</v>
      </c>
      <c r="P1254" s="14" t="s">
        <v>5082</v>
      </c>
      <c r="U1254" s="17"/>
      <c r="V1254" s="18"/>
      <c r="W1254" s="16"/>
      <c r="X1254" s="16"/>
      <c r="Y1254" s="16"/>
    </row>
    <row r="1255">
      <c r="A1255" s="9" t="s">
        <v>5083</v>
      </c>
      <c r="B1255" s="10" t="s">
        <v>5084</v>
      </c>
      <c r="C1255" s="10" t="s">
        <v>4346</v>
      </c>
      <c r="D1255" s="10" t="s">
        <v>2450</v>
      </c>
      <c r="E1255" s="10" t="s">
        <v>4038</v>
      </c>
      <c r="F1255" s="10" t="s">
        <v>4039</v>
      </c>
      <c r="G1255" s="10" t="s">
        <v>4347</v>
      </c>
      <c r="H1255" s="10"/>
      <c r="I1255" s="11">
        <v>1656.0</v>
      </c>
      <c r="J1255" s="11">
        <v>2695.0</v>
      </c>
      <c r="K1255" s="12">
        <f t="shared" si="1"/>
        <v>0.385528757</v>
      </c>
      <c r="L1255" s="13">
        <f>IFERROR(__xludf.DUMMYFUNCTION("GOOGLEFINANCE(""CURRENCY:INRBRL"") * I1255
"),97.50805277328)</f>
        <v>97.50805277</v>
      </c>
      <c r="M1255" s="9">
        <v>4.5</v>
      </c>
      <c r="N1255" s="9">
        <v>6027.0</v>
      </c>
      <c r="O1255" s="9" t="s">
        <v>5085</v>
      </c>
      <c r="P1255" s="14" t="s">
        <v>5086</v>
      </c>
      <c r="U1255" s="17"/>
      <c r="V1255" s="18"/>
      <c r="W1255" s="16"/>
      <c r="X1255" s="16"/>
      <c r="Y1255" s="16"/>
    </row>
    <row r="1256">
      <c r="A1256" s="9" t="s">
        <v>5087</v>
      </c>
      <c r="B1256" s="10" t="s">
        <v>5088</v>
      </c>
      <c r="C1256" s="10" t="s">
        <v>4278</v>
      </c>
      <c r="D1256" s="10" t="s">
        <v>2450</v>
      </c>
      <c r="E1256" s="10" t="s">
        <v>4038</v>
      </c>
      <c r="F1256" s="10" t="s">
        <v>4039</v>
      </c>
      <c r="G1256" s="10" t="s">
        <v>4279</v>
      </c>
      <c r="H1256" s="10"/>
      <c r="I1256" s="11">
        <v>1399.0</v>
      </c>
      <c r="J1256" s="11">
        <v>2299.0</v>
      </c>
      <c r="K1256" s="12">
        <f t="shared" si="1"/>
        <v>0.3914745542</v>
      </c>
      <c r="L1256" s="13">
        <f>IFERROR(__xludf.DUMMYFUNCTION("GOOGLEFINANCE(""CURRENCY:INRBRL"") * I1256
"),82.37546245762)</f>
        <v>82.37546246</v>
      </c>
      <c r="M1256" s="9">
        <v>4.5</v>
      </c>
      <c r="N1256" s="9">
        <v>461.0</v>
      </c>
      <c r="O1256" s="9" t="s">
        <v>5089</v>
      </c>
      <c r="P1256" s="14" t="s">
        <v>5090</v>
      </c>
      <c r="U1256" s="17"/>
      <c r="V1256" s="18"/>
      <c r="W1256" s="16"/>
      <c r="X1256" s="16"/>
      <c r="Y1256" s="16"/>
    </row>
    <row r="1257">
      <c r="A1257" s="9" t="s">
        <v>5091</v>
      </c>
      <c r="B1257" s="10" t="s">
        <v>5092</v>
      </c>
      <c r="C1257" s="10" t="s">
        <v>4292</v>
      </c>
      <c r="D1257" s="10" t="s">
        <v>2450</v>
      </c>
      <c r="E1257" s="10" t="s">
        <v>4038</v>
      </c>
      <c r="F1257" s="10" t="s">
        <v>4039</v>
      </c>
      <c r="G1257" s="10" t="s">
        <v>4293</v>
      </c>
      <c r="H1257" s="10"/>
      <c r="I1257" s="11">
        <v>2079.0</v>
      </c>
      <c r="J1257" s="11">
        <v>3099.0</v>
      </c>
      <c r="K1257" s="12">
        <f t="shared" si="1"/>
        <v>0.3291384318</v>
      </c>
      <c r="L1257" s="13">
        <f>IFERROR(__xludf.DUMMYFUNCTION("GOOGLEFINANCE(""CURRENCY:INRBRL"") * I1257
"),122.41500103602)</f>
        <v>122.415001</v>
      </c>
      <c r="M1257" s="9">
        <v>4.49</v>
      </c>
      <c r="N1257" s="9">
        <v>282.0</v>
      </c>
      <c r="O1257" s="9" t="s">
        <v>5093</v>
      </c>
      <c r="P1257" s="14" t="s">
        <v>5094</v>
      </c>
      <c r="U1257" s="17"/>
      <c r="V1257" s="18"/>
      <c r="W1257" s="16"/>
      <c r="X1257" s="16"/>
      <c r="Y1257" s="16"/>
    </row>
    <row r="1258">
      <c r="A1258" s="9" t="s">
        <v>5095</v>
      </c>
      <c r="B1258" s="10" t="s">
        <v>5096</v>
      </c>
      <c r="C1258" s="10" t="s">
        <v>4191</v>
      </c>
      <c r="D1258" s="10" t="s">
        <v>2450</v>
      </c>
      <c r="E1258" s="10" t="s">
        <v>4047</v>
      </c>
      <c r="F1258" s="10" t="s">
        <v>4136</v>
      </c>
      <c r="G1258" s="10" t="s">
        <v>4192</v>
      </c>
      <c r="H1258" s="10"/>
      <c r="I1258" s="11">
        <v>999.0</v>
      </c>
      <c r="J1258" s="11">
        <v>1075.0</v>
      </c>
      <c r="K1258" s="12">
        <f t="shared" si="1"/>
        <v>0.07069767442</v>
      </c>
      <c r="L1258" s="13">
        <f>IFERROR(__xludf.DUMMYFUNCTION("GOOGLEFINANCE(""CURRENCY:INRBRL"") * I1258
"),58.822792705619996)</f>
        <v>58.82279271</v>
      </c>
      <c r="M1258" s="9">
        <v>4.49</v>
      </c>
      <c r="N1258" s="9">
        <v>9275.0</v>
      </c>
      <c r="O1258" s="9" t="s">
        <v>5097</v>
      </c>
      <c r="P1258" s="14" t="s">
        <v>5098</v>
      </c>
      <c r="U1258" s="17"/>
      <c r="V1258" s="18"/>
      <c r="W1258" s="16"/>
      <c r="X1258" s="16"/>
      <c r="Y1258" s="16"/>
    </row>
    <row r="1259">
      <c r="A1259" s="9" t="s">
        <v>5099</v>
      </c>
      <c r="B1259" s="10" t="s">
        <v>5100</v>
      </c>
      <c r="C1259" s="10" t="s">
        <v>4251</v>
      </c>
      <c r="D1259" s="10" t="s">
        <v>2450</v>
      </c>
      <c r="E1259" s="10" t="s">
        <v>4038</v>
      </c>
      <c r="F1259" s="10" t="s">
        <v>4061</v>
      </c>
      <c r="G1259" s="10" t="s">
        <v>4252</v>
      </c>
      <c r="H1259" s="10" t="s">
        <v>4253</v>
      </c>
      <c r="I1259" s="11">
        <v>3179.0</v>
      </c>
      <c r="J1259" s="11">
        <v>6999.0</v>
      </c>
      <c r="K1259" s="12">
        <f t="shared" si="1"/>
        <v>0.545792256</v>
      </c>
      <c r="L1259" s="13">
        <f>IFERROR(__xludf.DUMMYFUNCTION("GOOGLEFINANCE(""CURRENCY:INRBRL"") * I1259
"),187.18484285402)</f>
        <v>187.1848429</v>
      </c>
      <c r="M1259" s="9">
        <v>4.0</v>
      </c>
      <c r="N1259" s="9">
        <v>743.0</v>
      </c>
      <c r="O1259" s="9" t="s">
        <v>5101</v>
      </c>
      <c r="P1259" s="14" t="s">
        <v>5102</v>
      </c>
      <c r="U1259" s="17"/>
      <c r="V1259" s="18"/>
      <c r="W1259" s="16"/>
      <c r="X1259" s="16"/>
      <c r="Y1259" s="16"/>
    </row>
    <row r="1260">
      <c r="A1260" s="9" t="s">
        <v>5103</v>
      </c>
      <c r="B1260" s="10" t="s">
        <v>5104</v>
      </c>
      <c r="C1260" s="10" t="s">
        <v>4135</v>
      </c>
      <c r="D1260" s="10" t="s">
        <v>2450</v>
      </c>
      <c r="E1260" s="10" t="s">
        <v>4047</v>
      </c>
      <c r="F1260" s="10" t="s">
        <v>4136</v>
      </c>
      <c r="G1260" s="10" t="s">
        <v>4137</v>
      </c>
      <c r="H1260" s="10"/>
      <c r="I1260" s="11">
        <v>1049.0</v>
      </c>
      <c r="J1260" s="11">
        <v>2499.0</v>
      </c>
      <c r="K1260" s="12">
        <f t="shared" si="1"/>
        <v>0.5802320928</v>
      </c>
      <c r="L1260" s="13">
        <f>IFERROR(__xludf.DUMMYFUNCTION("GOOGLEFINANCE(""CURRENCY:INRBRL"") * I1260
"),61.76687642462)</f>
        <v>61.76687642</v>
      </c>
      <c r="M1260" s="9">
        <v>4.51</v>
      </c>
      <c r="N1260" s="9">
        <v>328.0</v>
      </c>
      <c r="O1260" s="9" t="s">
        <v>5105</v>
      </c>
      <c r="P1260" s="14" t="s">
        <v>5106</v>
      </c>
      <c r="U1260" s="17"/>
      <c r="V1260" s="18"/>
      <c r="W1260" s="16"/>
      <c r="X1260" s="16"/>
      <c r="Y1260" s="16"/>
    </row>
    <row r="1261">
      <c r="A1261" s="9" t="s">
        <v>5107</v>
      </c>
      <c r="B1261" s="10" t="s">
        <v>5108</v>
      </c>
      <c r="C1261" s="10" t="s">
        <v>4135</v>
      </c>
      <c r="D1261" s="10" t="s">
        <v>2450</v>
      </c>
      <c r="E1261" s="10" t="s">
        <v>4047</v>
      </c>
      <c r="F1261" s="10" t="s">
        <v>4136</v>
      </c>
      <c r="G1261" s="10" t="s">
        <v>4137</v>
      </c>
      <c r="H1261" s="10"/>
      <c r="I1261" s="11">
        <v>3599.0</v>
      </c>
      <c r="J1261" s="11">
        <v>7299.0</v>
      </c>
      <c r="K1261" s="12">
        <f t="shared" si="1"/>
        <v>0.506918756</v>
      </c>
      <c r="L1261" s="13">
        <f>IFERROR(__xludf.DUMMYFUNCTION("GOOGLEFINANCE(""CURRENCY:INRBRL"") * I1261
"),211.91514609362)</f>
        <v>211.9151461</v>
      </c>
      <c r="M1261" s="9">
        <v>4.52</v>
      </c>
      <c r="N1261" s="9">
        <v>942.0</v>
      </c>
      <c r="O1261" s="9" t="s">
        <v>5109</v>
      </c>
      <c r="P1261" s="14" t="s">
        <v>5110</v>
      </c>
      <c r="U1261" s="17"/>
      <c r="V1261" s="18"/>
      <c r="W1261" s="16"/>
      <c r="X1261" s="16"/>
      <c r="Y1261" s="16"/>
    </row>
    <row r="1262">
      <c r="A1262" s="9" t="s">
        <v>5111</v>
      </c>
      <c r="B1262" s="10" t="s">
        <v>5112</v>
      </c>
      <c r="C1262" s="10" t="s">
        <v>5113</v>
      </c>
      <c r="D1262" s="10" t="s">
        <v>2450</v>
      </c>
      <c r="E1262" s="10" t="s">
        <v>4038</v>
      </c>
      <c r="F1262" s="10" t="s">
        <v>4493</v>
      </c>
      <c r="G1262" s="10" t="s">
        <v>5114</v>
      </c>
      <c r="H1262" s="10"/>
      <c r="I1262" s="11">
        <v>4799.0</v>
      </c>
      <c r="J1262" s="11">
        <v>5795.0</v>
      </c>
      <c r="K1262" s="12">
        <f t="shared" si="1"/>
        <v>0.1718723037</v>
      </c>
      <c r="L1262" s="13">
        <f>IFERROR(__xludf.DUMMYFUNCTION("GOOGLEFINANCE(""CURRENCY:INRBRL"") * I1262
"),282.57315534962)</f>
        <v>282.5731553</v>
      </c>
      <c r="M1262" s="9">
        <v>4.52</v>
      </c>
      <c r="N1262" s="9">
        <v>3815.0</v>
      </c>
      <c r="O1262" s="9" t="s">
        <v>5115</v>
      </c>
      <c r="P1262" s="14" t="s">
        <v>5116</v>
      </c>
      <c r="U1262" s="17"/>
      <c r="V1262" s="18"/>
      <c r="W1262" s="16"/>
      <c r="X1262" s="16"/>
      <c r="Y1262" s="16"/>
    </row>
    <row r="1263">
      <c r="A1263" s="9" t="s">
        <v>5117</v>
      </c>
      <c r="B1263" s="10" t="s">
        <v>5118</v>
      </c>
      <c r="C1263" s="10" t="s">
        <v>4129</v>
      </c>
      <c r="D1263" s="10" t="s">
        <v>2450</v>
      </c>
      <c r="E1263" s="10" t="s">
        <v>4038</v>
      </c>
      <c r="F1263" s="10" t="s">
        <v>4039</v>
      </c>
      <c r="G1263" s="10" t="s">
        <v>4130</v>
      </c>
      <c r="H1263" s="10"/>
      <c r="I1263" s="11">
        <v>1699.0</v>
      </c>
      <c r="J1263" s="11">
        <v>3398.0</v>
      </c>
      <c r="K1263" s="12">
        <f t="shared" si="1"/>
        <v>0.5</v>
      </c>
      <c r="L1263" s="13">
        <f>IFERROR(__xludf.DUMMYFUNCTION("GOOGLEFINANCE(""CURRENCY:INRBRL"") * I1263
"),100.03996477161999)</f>
        <v>100.0399648</v>
      </c>
      <c r="M1263" s="9">
        <v>4.51</v>
      </c>
      <c r="N1263" s="9">
        <v>7988.0</v>
      </c>
      <c r="O1263" s="9" t="s">
        <v>5119</v>
      </c>
      <c r="P1263" s="14" t="s">
        <v>5120</v>
      </c>
      <c r="U1263" s="17"/>
      <c r="V1263" s="18"/>
      <c r="W1263" s="16"/>
      <c r="X1263" s="16"/>
      <c r="Y1263" s="16"/>
    </row>
    <row r="1264">
      <c r="A1264" s="9" t="s">
        <v>5121</v>
      </c>
      <c r="B1264" s="10" t="s">
        <v>5122</v>
      </c>
      <c r="C1264" s="10" t="s">
        <v>4155</v>
      </c>
      <c r="D1264" s="10" t="s">
        <v>2450</v>
      </c>
      <c r="E1264" s="10" t="s">
        <v>4038</v>
      </c>
      <c r="F1264" s="10" t="s">
        <v>4039</v>
      </c>
      <c r="G1264" s="10" t="s">
        <v>4040</v>
      </c>
      <c r="H1264" s="10" t="s">
        <v>4156</v>
      </c>
      <c r="I1264" s="11">
        <v>664.0</v>
      </c>
      <c r="J1264" s="11">
        <v>1499.0</v>
      </c>
      <c r="K1264" s="12">
        <f t="shared" si="1"/>
        <v>0.5570380254</v>
      </c>
      <c r="L1264" s="13">
        <f>IFERROR(__xludf.DUMMYFUNCTION("GOOGLEFINANCE(""CURRENCY:INRBRL"") * I1264
"),39.09743178832)</f>
        <v>39.09743179</v>
      </c>
      <c r="M1264" s="9">
        <v>4.49</v>
      </c>
      <c r="N1264" s="9">
        <v>925.0</v>
      </c>
      <c r="O1264" s="9" t="s">
        <v>5123</v>
      </c>
      <c r="P1264" s="14" t="s">
        <v>5124</v>
      </c>
      <c r="U1264" s="17"/>
      <c r="V1264" s="18"/>
      <c r="W1264" s="16"/>
      <c r="X1264" s="16"/>
      <c r="Y1264" s="16"/>
    </row>
    <row r="1265">
      <c r="A1265" s="9" t="s">
        <v>5125</v>
      </c>
      <c r="B1265" s="10" t="s">
        <v>5126</v>
      </c>
      <c r="C1265" s="10" t="s">
        <v>5127</v>
      </c>
      <c r="D1265" s="10" t="s">
        <v>2450</v>
      </c>
      <c r="E1265" s="10" t="s">
        <v>4047</v>
      </c>
      <c r="F1265" s="10" t="s">
        <v>4393</v>
      </c>
      <c r="G1265" s="10" t="s">
        <v>5128</v>
      </c>
      <c r="H1265" s="10"/>
      <c r="I1265" s="11">
        <v>948.0</v>
      </c>
      <c r="J1265" s="11">
        <v>1629.0</v>
      </c>
      <c r="K1265" s="12">
        <f t="shared" si="1"/>
        <v>0.4180478821</v>
      </c>
      <c r="L1265" s="13">
        <f>IFERROR(__xludf.DUMMYFUNCTION("GOOGLEFINANCE(""CURRENCY:INRBRL"") * I1265
"),55.81982731224)</f>
        <v>55.81982731</v>
      </c>
      <c r="M1265" s="9">
        <v>4.49</v>
      </c>
      <c r="N1265" s="9">
        <v>437.0</v>
      </c>
      <c r="O1265" s="9" t="s">
        <v>5129</v>
      </c>
      <c r="P1265" s="14" t="s">
        <v>5130</v>
      </c>
      <c r="U1265" s="17"/>
      <c r="V1265" s="18"/>
      <c r="W1265" s="16"/>
      <c r="X1265" s="16"/>
      <c r="Y1265" s="16"/>
    </row>
    <row r="1266">
      <c r="A1266" s="9" t="s">
        <v>5131</v>
      </c>
      <c r="B1266" s="10" t="s">
        <v>5132</v>
      </c>
      <c r="C1266" s="10" t="s">
        <v>4123</v>
      </c>
      <c r="D1266" s="10" t="s">
        <v>2450</v>
      </c>
      <c r="E1266" s="10" t="s">
        <v>4038</v>
      </c>
      <c r="F1266" s="10" t="s">
        <v>4061</v>
      </c>
      <c r="G1266" s="10" t="s">
        <v>4062</v>
      </c>
      <c r="H1266" s="10" t="s">
        <v>4124</v>
      </c>
      <c r="I1266" s="11">
        <v>850.0</v>
      </c>
      <c r="J1266" s="11">
        <v>999.0</v>
      </c>
      <c r="K1266" s="12">
        <f t="shared" si="1"/>
        <v>0.1491491491</v>
      </c>
      <c r="L1266" s="13">
        <f>IFERROR(__xludf.DUMMYFUNCTION("GOOGLEFINANCE(""CURRENCY:INRBRL"") * I1266
"),50.049423223)</f>
        <v>50.04942322</v>
      </c>
      <c r="M1266" s="9">
        <v>4.49</v>
      </c>
      <c r="N1266" s="9">
        <v>7619.0</v>
      </c>
      <c r="O1266" s="9" t="s">
        <v>5133</v>
      </c>
      <c r="P1266" s="14" t="s">
        <v>5134</v>
      </c>
      <c r="U1266" s="17"/>
      <c r="V1266" s="18"/>
      <c r="W1266" s="16"/>
      <c r="X1266" s="16"/>
      <c r="Y1266" s="16"/>
    </row>
    <row r="1267">
      <c r="A1267" s="9" t="s">
        <v>5135</v>
      </c>
      <c r="B1267" s="10" t="s">
        <v>5136</v>
      </c>
      <c r="C1267" s="10" t="s">
        <v>4551</v>
      </c>
      <c r="D1267" s="10" t="s">
        <v>2450</v>
      </c>
      <c r="E1267" s="10" t="s">
        <v>4038</v>
      </c>
      <c r="F1267" s="10" t="s">
        <v>4545</v>
      </c>
      <c r="G1267" s="10" t="s">
        <v>4552</v>
      </c>
      <c r="H1267" s="10"/>
      <c r="I1267" s="11">
        <v>600.0</v>
      </c>
      <c r="J1267" s="11">
        <v>640.0</v>
      </c>
      <c r="K1267" s="12">
        <f t="shared" si="1"/>
        <v>0.0625</v>
      </c>
      <c r="L1267" s="13">
        <f>IFERROR(__xludf.DUMMYFUNCTION("GOOGLEFINANCE(""CURRENCY:INRBRL"") * I1267
"),35.329004628)</f>
        <v>35.32900463</v>
      </c>
      <c r="M1267" s="9">
        <v>4.51</v>
      </c>
      <c r="N1267" s="9">
        <v>2593.0</v>
      </c>
      <c r="O1267" s="9" t="s">
        <v>5137</v>
      </c>
      <c r="P1267" s="14" t="s">
        <v>5138</v>
      </c>
      <c r="U1267" s="17"/>
      <c r="V1267" s="18"/>
      <c r="W1267" s="16"/>
      <c r="X1267" s="16"/>
      <c r="Y1267" s="16"/>
    </row>
    <row r="1268">
      <c r="A1268" s="9" t="s">
        <v>5139</v>
      </c>
      <c r="B1268" s="10" t="s">
        <v>5140</v>
      </c>
      <c r="C1268" s="10" t="s">
        <v>4046</v>
      </c>
      <c r="D1268" s="10" t="s">
        <v>2450</v>
      </c>
      <c r="E1268" s="10" t="s">
        <v>4047</v>
      </c>
      <c r="F1268" s="10" t="s">
        <v>4048</v>
      </c>
      <c r="G1268" s="10" t="s">
        <v>4049</v>
      </c>
      <c r="H1268" s="10"/>
      <c r="I1268" s="11">
        <v>3711.0</v>
      </c>
      <c r="J1268" s="11">
        <v>4495.0</v>
      </c>
      <c r="K1268" s="12">
        <f t="shared" si="1"/>
        <v>0.1744160178</v>
      </c>
      <c r="L1268" s="13">
        <f>IFERROR(__xludf.DUMMYFUNCTION("GOOGLEFINANCE(""CURRENCY:INRBRL"") * I1268
"),218.50989362418)</f>
        <v>218.5098936</v>
      </c>
      <c r="M1268" s="9">
        <v>4.5</v>
      </c>
      <c r="N1268" s="9">
        <v>356.0</v>
      </c>
      <c r="O1268" s="9" t="s">
        <v>5141</v>
      </c>
      <c r="P1268" s="14" t="s">
        <v>5142</v>
      </c>
      <c r="U1268" s="17"/>
      <c r="V1268" s="18"/>
      <c r="W1268" s="16"/>
      <c r="X1268" s="16"/>
      <c r="Y1268" s="16"/>
    </row>
    <row r="1269">
      <c r="A1269" s="9" t="s">
        <v>5143</v>
      </c>
      <c r="B1269" s="10" t="s">
        <v>5144</v>
      </c>
      <c r="C1269" s="10" t="s">
        <v>4068</v>
      </c>
      <c r="D1269" s="10" t="s">
        <v>2450</v>
      </c>
      <c r="E1269" s="10" t="s">
        <v>4038</v>
      </c>
      <c r="F1269" s="10" t="s">
        <v>4039</v>
      </c>
      <c r="G1269" s="10" t="s">
        <v>4069</v>
      </c>
      <c r="H1269" s="10"/>
      <c r="I1269" s="11">
        <v>799.0</v>
      </c>
      <c r="J1269" s="11">
        <v>2999.0</v>
      </c>
      <c r="K1269" s="12">
        <f t="shared" si="1"/>
        <v>0.7335778593</v>
      </c>
      <c r="L1269" s="13">
        <f>IFERROR(__xludf.DUMMYFUNCTION("GOOGLEFINANCE(""CURRENCY:INRBRL"") * I1269
"),47.046457829619996)</f>
        <v>47.04645783</v>
      </c>
      <c r="M1269" s="9">
        <v>4.51</v>
      </c>
      <c r="N1269" s="9">
        <v>63.0</v>
      </c>
      <c r="O1269" s="9" t="s">
        <v>5145</v>
      </c>
      <c r="P1269" s="14" t="s">
        <v>5146</v>
      </c>
      <c r="U1269" s="17"/>
      <c r="V1269" s="18"/>
      <c r="W1269" s="16"/>
      <c r="X1269" s="16"/>
      <c r="Y1269" s="16"/>
    </row>
    <row r="1270">
      <c r="A1270" s="9" t="s">
        <v>5147</v>
      </c>
      <c r="B1270" s="10" t="s">
        <v>5148</v>
      </c>
      <c r="C1270" s="10" t="s">
        <v>4544</v>
      </c>
      <c r="D1270" s="10" t="s">
        <v>2450</v>
      </c>
      <c r="E1270" s="10" t="s">
        <v>4038</v>
      </c>
      <c r="F1270" s="10" t="s">
        <v>4545</v>
      </c>
      <c r="G1270" s="10" t="s">
        <v>4546</v>
      </c>
      <c r="H1270" s="10"/>
      <c r="I1270" s="11">
        <v>980.0</v>
      </c>
      <c r="J1270" s="11">
        <v>980.0</v>
      </c>
      <c r="K1270" s="12">
        <f t="shared" si="1"/>
        <v>0</v>
      </c>
      <c r="L1270" s="13">
        <f>IFERROR(__xludf.DUMMYFUNCTION("GOOGLEFINANCE(""CURRENCY:INRBRL"") * I1270
"),57.7040408924)</f>
        <v>57.70404089</v>
      </c>
      <c r="M1270" s="9">
        <v>4.5</v>
      </c>
      <c r="N1270" s="9">
        <v>474.0</v>
      </c>
      <c r="O1270" s="9" t="s">
        <v>5149</v>
      </c>
      <c r="P1270" s="14" t="s">
        <v>5150</v>
      </c>
      <c r="U1270" s="17"/>
      <c r="V1270" s="18"/>
      <c r="W1270" s="16"/>
      <c r="X1270" s="16"/>
      <c r="Y1270" s="16"/>
    </row>
    <row r="1271">
      <c r="A1271" s="9" t="s">
        <v>5151</v>
      </c>
      <c r="B1271" s="10" t="s">
        <v>5152</v>
      </c>
      <c r="C1271" s="10" t="s">
        <v>4212</v>
      </c>
      <c r="D1271" s="10" t="s">
        <v>2450</v>
      </c>
      <c r="E1271" s="10" t="s">
        <v>4213</v>
      </c>
      <c r="F1271" s="10" t="s">
        <v>4214</v>
      </c>
      <c r="G1271" s="10" t="s">
        <v>4215</v>
      </c>
      <c r="H1271" s="10"/>
      <c r="I1271" s="11">
        <v>351.0</v>
      </c>
      <c r="J1271" s="11">
        <v>899.0</v>
      </c>
      <c r="K1271" s="12">
        <f t="shared" si="1"/>
        <v>0.6095661846</v>
      </c>
      <c r="L1271" s="13">
        <f>IFERROR(__xludf.DUMMYFUNCTION("GOOGLEFINANCE(""CURRENCY:INRBRL"") * I1271
"),20.66746770738)</f>
        <v>20.66746771</v>
      </c>
      <c r="M1271" s="9">
        <v>4.52</v>
      </c>
      <c r="N1271" s="9">
        <v>296.0</v>
      </c>
      <c r="O1271" s="9" t="s">
        <v>5153</v>
      </c>
      <c r="P1271" s="14" t="s">
        <v>5154</v>
      </c>
      <c r="U1271" s="17"/>
      <c r="V1271" s="18"/>
      <c r="W1271" s="16"/>
      <c r="X1271" s="16"/>
      <c r="Y1271" s="16"/>
    </row>
    <row r="1272">
      <c r="A1272" s="9" t="s">
        <v>5155</v>
      </c>
      <c r="B1272" s="10" t="s">
        <v>5156</v>
      </c>
      <c r="C1272" s="10" t="s">
        <v>5157</v>
      </c>
      <c r="D1272" s="10" t="s">
        <v>2450</v>
      </c>
      <c r="E1272" s="10" t="s">
        <v>4038</v>
      </c>
      <c r="F1272" s="10" t="s">
        <v>4493</v>
      </c>
      <c r="G1272" s="10" t="s">
        <v>5158</v>
      </c>
      <c r="H1272" s="10"/>
      <c r="I1272" s="11">
        <v>229.0</v>
      </c>
      <c r="J1272" s="11">
        <v>499.0</v>
      </c>
      <c r="K1272" s="12">
        <f t="shared" si="1"/>
        <v>0.5410821643</v>
      </c>
      <c r="L1272" s="13">
        <f>IFERROR(__xludf.DUMMYFUNCTION("GOOGLEFINANCE(""CURRENCY:INRBRL"") * I1272
"),13.48390343302)</f>
        <v>13.48390343</v>
      </c>
      <c r="M1272" s="9">
        <v>4.5</v>
      </c>
      <c r="N1272" s="9">
        <v>185.0</v>
      </c>
      <c r="O1272" s="9" t="s">
        <v>5159</v>
      </c>
      <c r="P1272" s="14" t="s">
        <v>5160</v>
      </c>
      <c r="U1272" s="17"/>
      <c r="V1272" s="18"/>
      <c r="W1272" s="16"/>
      <c r="X1272" s="16"/>
      <c r="Y1272" s="16"/>
    </row>
    <row r="1273">
      <c r="A1273" s="9" t="s">
        <v>5161</v>
      </c>
      <c r="B1273" s="10" t="s">
        <v>5162</v>
      </c>
      <c r="C1273" s="10" t="s">
        <v>4220</v>
      </c>
      <c r="D1273" s="10" t="s">
        <v>2450</v>
      </c>
      <c r="E1273" s="10" t="s">
        <v>4038</v>
      </c>
      <c r="F1273" s="10" t="s">
        <v>4061</v>
      </c>
      <c r="G1273" s="10" t="s">
        <v>4062</v>
      </c>
      <c r="H1273" s="10" t="s">
        <v>4124</v>
      </c>
      <c r="I1273" s="11">
        <v>3349.0</v>
      </c>
      <c r="J1273" s="11">
        <v>3995.0</v>
      </c>
      <c r="K1273" s="12">
        <f t="shared" si="1"/>
        <v>0.1617021277</v>
      </c>
      <c r="L1273" s="13">
        <f>IFERROR(__xludf.DUMMYFUNCTION("GOOGLEFINANCE(""CURRENCY:INRBRL"") * I1273
"),197.19472749861998)</f>
        <v>197.1947275</v>
      </c>
      <c r="M1273" s="9">
        <v>4.5</v>
      </c>
      <c r="N1273" s="9">
        <v>1954.0</v>
      </c>
      <c r="O1273" s="9" t="s">
        <v>5163</v>
      </c>
      <c r="P1273" s="14" t="s">
        <v>5164</v>
      </c>
      <c r="U1273" s="17"/>
      <c r="V1273" s="18"/>
      <c r="W1273" s="16"/>
      <c r="X1273" s="16"/>
      <c r="Y1273" s="16"/>
    </row>
    <row r="1274">
      <c r="A1274" s="9" t="s">
        <v>5165</v>
      </c>
      <c r="B1274" s="10" t="s">
        <v>5166</v>
      </c>
      <c r="C1274" s="10" t="s">
        <v>4161</v>
      </c>
      <c r="D1274" s="10" t="s">
        <v>2450</v>
      </c>
      <c r="E1274" s="10" t="s">
        <v>4047</v>
      </c>
      <c r="F1274" s="10" t="s">
        <v>4136</v>
      </c>
      <c r="G1274" s="10" t="s">
        <v>4162</v>
      </c>
      <c r="H1274" s="10"/>
      <c r="I1274" s="11">
        <v>5499.0</v>
      </c>
      <c r="J1274" s="11">
        <v>11499.0</v>
      </c>
      <c r="K1274" s="12">
        <f t="shared" si="1"/>
        <v>0.521784503</v>
      </c>
      <c r="L1274" s="13">
        <f>IFERROR(__xludf.DUMMYFUNCTION("GOOGLEFINANCE(""CURRENCY:INRBRL"") * I1274
"),323.79032741561997)</f>
        <v>323.7903274</v>
      </c>
      <c r="M1274" s="9">
        <v>4.52</v>
      </c>
      <c r="N1274" s="9">
        <v>959.0</v>
      </c>
      <c r="O1274" s="9" t="s">
        <v>5167</v>
      </c>
      <c r="P1274" s="14" t="s">
        <v>5168</v>
      </c>
      <c r="U1274" s="17"/>
      <c r="V1274" s="18"/>
      <c r="W1274" s="16"/>
      <c r="X1274" s="16"/>
      <c r="Y1274" s="16"/>
    </row>
    <row r="1275">
      <c r="A1275" s="9" t="s">
        <v>5169</v>
      </c>
      <c r="B1275" s="10" t="s">
        <v>5170</v>
      </c>
      <c r="C1275" s="10" t="s">
        <v>4060</v>
      </c>
      <c r="D1275" s="10" t="s">
        <v>2450</v>
      </c>
      <c r="E1275" s="10" t="s">
        <v>4038</v>
      </c>
      <c r="F1275" s="10" t="s">
        <v>4061</v>
      </c>
      <c r="G1275" s="10" t="s">
        <v>4062</v>
      </c>
      <c r="H1275" s="10" t="s">
        <v>4063</v>
      </c>
      <c r="I1275" s="11">
        <v>299.0</v>
      </c>
      <c r="J1275" s="11">
        <v>499.0</v>
      </c>
      <c r="K1275" s="12">
        <f t="shared" si="1"/>
        <v>0.4008016032</v>
      </c>
      <c r="L1275" s="13">
        <f>IFERROR(__xludf.DUMMYFUNCTION("GOOGLEFINANCE(""CURRENCY:INRBRL"") * I1275
"),17.60562063962)</f>
        <v>17.60562064</v>
      </c>
      <c r="M1275" s="9">
        <v>4.52</v>
      </c>
      <c r="N1275" s="9">
        <v>1015.0</v>
      </c>
      <c r="O1275" s="9" t="s">
        <v>5171</v>
      </c>
      <c r="P1275" s="14" t="s">
        <v>5172</v>
      </c>
      <c r="U1275" s="17"/>
      <c r="V1275" s="18"/>
      <c r="W1275" s="16"/>
      <c r="X1275" s="16"/>
      <c r="Y1275" s="16"/>
    </row>
    <row r="1276">
      <c r="A1276" s="9" t="s">
        <v>5173</v>
      </c>
      <c r="B1276" s="10" t="s">
        <v>5174</v>
      </c>
      <c r="C1276" s="10" t="s">
        <v>5175</v>
      </c>
      <c r="D1276" s="10" t="s">
        <v>2450</v>
      </c>
      <c r="E1276" s="10" t="s">
        <v>4047</v>
      </c>
      <c r="F1276" s="10" t="s">
        <v>5176</v>
      </c>
      <c r="G1276" s="10"/>
      <c r="H1276" s="10"/>
      <c r="I1276" s="11">
        <v>2249.0</v>
      </c>
      <c r="J1276" s="11">
        <v>3549.0</v>
      </c>
      <c r="K1276" s="12">
        <f t="shared" si="1"/>
        <v>0.3663003663</v>
      </c>
      <c r="L1276" s="13">
        <f>IFERROR(__xludf.DUMMYFUNCTION("GOOGLEFINANCE(""CURRENCY:INRBRL"") * I1276
"),132.42488568062)</f>
        <v>132.4248857</v>
      </c>
      <c r="M1276" s="9">
        <v>4.0</v>
      </c>
      <c r="N1276" s="9">
        <v>3973.0</v>
      </c>
      <c r="O1276" s="9" t="s">
        <v>5177</v>
      </c>
      <c r="P1276" s="14" t="s">
        <v>5178</v>
      </c>
      <c r="U1276" s="17"/>
      <c r="V1276" s="18"/>
      <c r="W1276" s="16"/>
      <c r="X1276" s="16"/>
      <c r="Y1276" s="16"/>
    </row>
    <row r="1277">
      <c r="A1277" s="9" t="s">
        <v>5179</v>
      </c>
      <c r="B1277" s="10" t="s">
        <v>5180</v>
      </c>
      <c r="C1277" s="10" t="s">
        <v>4278</v>
      </c>
      <c r="D1277" s="10" t="s">
        <v>2450</v>
      </c>
      <c r="E1277" s="10" t="s">
        <v>4038</v>
      </c>
      <c r="F1277" s="10" t="s">
        <v>4039</v>
      </c>
      <c r="G1277" s="10" t="s">
        <v>4279</v>
      </c>
      <c r="H1277" s="10"/>
      <c r="I1277" s="11">
        <v>699.0</v>
      </c>
      <c r="J1277" s="11">
        <v>1599.0</v>
      </c>
      <c r="K1277" s="12">
        <f t="shared" si="1"/>
        <v>0.5628517824</v>
      </c>
      <c r="L1277" s="13">
        <f>IFERROR(__xludf.DUMMYFUNCTION("GOOGLEFINANCE(""CURRENCY:INRBRL"") * I1277
"),41.15829039162)</f>
        <v>41.15829039</v>
      </c>
      <c r="M1277" s="9">
        <v>4.51</v>
      </c>
      <c r="N1277" s="9">
        <v>23.0</v>
      </c>
      <c r="O1277" s="9" t="s">
        <v>5181</v>
      </c>
      <c r="P1277" s="14" t="s">
        <v>5182</v>
      </c>
      <c r="U1277" s="17"/>
      <c r="V1277" s="18"/>
      <c r="W1277" s="16"/>
      <c r="X1277" s="16"/>
      <c r="Y1277" s="16"/>
    </row>
    <row r="1278">
      <c r="A1278" s="9" t="s">
        <v>5183</v>
      </c>
      <c r="B1278" s="10" t="s">
        <v>5184</v>
      </c>
      <c r="C1278" s="10" t="s">
        <v>4046</v>
      </c>
      <c r="D1278" s="10" t="s">
        <v>2450</v>
      </c>
      <c r="E1278" s="10" t="s">
        <v>4047</v>
      </c>
      <c r="F1278" s="10" t="s">
        <v>4048</v>
      </c>
      <c r="G1278" s="10" t="s">
        <v>4049</v>
      </c>
      <c r="H1278" s="10"/>
      <c r="I1278" s="11">
        <v>1235.0</v>
      </c>
      <c r="J1278" s="11">
        <v>1499.0</v>
      </c>
      <c r="K1278" s="12">
        <f t="shared" si="1"/>
        <v>0.1761174116</v>
      </c>
      <c r="L1278" s="13">
        <f>IFERROR(__xludf.DUMMYFUNCTION("GOOGLEFINANCE(""CURRENCY:INRBRL"") * I1278
"),72.7188678593)</f>
        <v>72.71886786</v>
      </c>
      <c r="M1278" s="9">
        <v>4.49</v>
      </c>
      <c r="N1278" s="9">
        <v>203.0</v>
      </c>
      <c r="O1278" s="9" t="s">
        <v>5185</v>
      </c>
      <c r="P1278" s="14" t="s">
        <v>5186</v>
      </c>
      <c r="U1278" s="17"/>
      <c r="V1278" s="18"/>
      <c r="W1278" s="16"/>
      <c r="X1278" s="16"/>
      <c r="Y1278" s="16"/>
    </row>
    <row r="1279">
      <c r="A1279" s="9" t="s">
        <v>5187</v>
      </c>
      <c r="B1279" s="10" t="s">
        <v>5188</v>
      </c>
      <c r="C1279" s="10" t="s">
        <v>4346</v>
      </c>
      <c r="D1279" s="10" t="s">
        <v>2450</v>
      </c>
      <c r="E1279" s="10" t="s">
        <v>4038</v>
      </c>
      <c r="F1279" s="10" t="s">
        <v>4039</v>
      </c>
      <c r="G1279" s="10" t="s">
        <v>4347</v>
      </c>
      <c r="H1279" s="10"/>
      <c r="I1279" s="11">
        <v>1349.0</v>
      </c>
      <c r="J1279" s="11">
        <v>2999.0</v>
      </c>
      <c r="K1279" s="12">
        <f t="shared" si="1"/>
        <v>0.5501833945</v>
      </c>
      <c r="L1279" s="13">
        <f>IFERROR(__xludf.DUMMYFUNCTION("GOOGLEFINANCE(""CURRENCY:INRBRL"") * I1279
"),79.43137873862)</f>
        <v>79.43137874</v>
      </c>
      <c r="M1279" s="9">
        <v>4.51</v>
      </c>
      <c r="N1279" s="9">
        <v>441.0</v>
      </c>
      <c r="O1279" s="9" t="s">
        <v>5189</v>
      </c>
      <c r="P1279" s="14" t="s">
        <v>5190</v>
      </c>
      <c r="U1279" s="17"/>
      <c r="V1279" s="18"/>
      <c r="W1279" s="16"/>
      <c r="X1279" s="16"/>
      <c r="Y1279" s="16"/>
    </row>
    <row r="1280">
      <c r="A1280" s="9" t="s">
        <v>5191</v>
      </c>
      <c r="B1280" s="10" t="s">
        <v>5192</v>
      </c>
      <c r="C1280" s="10" t="s">
        <v>4161</v>
      </c>
      <c r="D1280" s="10" t="s">
        <v>2450</v>
      </c>
      <c r="E1280" s="10" t="s">
        <v>4047</v>
      </c>
      <c r="F1280" s="10" t="s">
        <v>4136</v>
      </c>
      <c r="G1280" s="10" t="s">
        <v>4162</v>
      </c>
      <c r="H1280" s="10"/>
      <c r="I1280" s="11">
        <v>6799.0</v>
      </c>
      <c r="J1280" s="11">
        <v>11499.0</v>
      </c>
      <c r="K1280" s="12">
        <f t="shared" si="1"/>
        <v>0.408731194</v>
      </c>
      <c r="L1280" s="13">
        <f>IFERROR(__xludf.DUMMYFUNCTION("GOOGLEFINANCE(""CURRENCY:INRBRL"") * I1280
"),400.33650410961997)</f>
        <v>400.3365041</v>
      </c>
      <c r="M1280" s="9">
        <v>4.49</v>
      </c>
      <c r="N1280" s="9">
        <v>10308.0</v>
      </c>
      <c r="O1280" s="9" t="s">
        <v>5193</v>
      </c>
      <c r="P1280" s="14" t="s">
        <v>5194</v>
      </c>
      <c r="U1280" s="17"/>
      <c r="V1280" s="18"/>
      <c r="W1280" s="16"/>
      <c r="X1280" s="16"/>
      <c r="Y1280" s="16"/>
    </row>
    <row r="1281">
      <c r="A1281" s="9" t="s">
        <v>5195</v>
      </c>
      <c r="B1281" s="10" t="s">
        <v>5196</v>
      </c>
      <c r="C1281" s="10" t="s">
        <v>4251</v>
      </c>
      <c r="D1281" s="10" t="s">
        <v>2450</v>
      </c>
      <c r="E1281" s="10" t="s">
        <v>4038</v>
      </c>
      <c r="F1281" s="10" t="s">
        <v>4061</v>
      </c>
      <c r="G1281" s="10" t="s">
        <v>4252</v>
      </c>
      <c r="H1281" s="10" t="s">
        <v>4253</v>
      </c>
      <c r="I1281" s="11">
        <v>2099.0</v>
      </c>
      <c r="J1281" s="11">
        <v>2499.0</v>
      </c>
      <c r="K1281" s="12">
        <f t="shared" si="1"/>
        <v>0.1600640256</v>
      </c>
      <c r="L1281" s="13">
        <f>IFERROR(__xludf.DUMMYFUNCTION("GOOGLEFINANCE(""CURRENCY:INRBRL"") * I1281
"),123.59263452361999)</f>
        <v>123.5926345</v>
      </c>
      <c r="M1281" s="9">
        <v>0.0</v>
      </c>
      <c r="N1281" s="9">
        <v>992.0</v>
      </c>
      <c r="O1281" s="9" t="s">
        <v>5197</v>
      </c>
      <c r="P1281" s="14" t="s">
        <v>5198</v>
      </c>
      <c r="U1281" s="17"/>
      <c r="V1281" s="18"/>
      <c r="W1281" s="16"/>
      <c r="X1281" s="16"/>
      <c r="Y1281" s="16"/>
    </row>
    <row r="1282">
      <c r="A1282" s="9" t="s">
        <v>5199</v>
      </c>
      <c r="B1282" s="10" t="s">
        <v>5200</v>
      </c>
      <c r="C1282" s="10" t="s">
        <v>4292</v>
      </c>
      <c r="D1282" s="10" t="s">
        <v>2450</v>
      </c>
      <c r="E1282" s="10" t="s">
        <v>4038</v>
      </c>
      <c r="F1282" s="10" t="s">
        <v>4039</v>
      </c>
      <c r="G1282" s="10" t="s">
        <v>4293</v>
      </c>
      <c r="H1282" s="10"/>
      <c r="I1282" s="11">
        <v>1699.0</v>
      </c>
      <c r="J1282" s="11">
        <v>1975.0</v>
      </c>
      <c r="K1282" s="12">
        <f t="shared" si="1"/>
        <v>0.1397468354</v>
      </c>
      <c r="L1282" s="13">
        <f>IFERROR(__xludf.DUMMYFUNCTION("GOOGLEFINANCE(""CURRENCY:INRBRL"") * I1282
"),100.03996477161999)</f>
        <v>100.0399648</v>
      </c>
      <c r="M1282" s="9">
        <v>4.49</v>
      </c>
      <c r="N1282" s="9">
        <v>4716.0</v>
      </c>
      <c r="O1282" s="9" t="s">
        <v>5201</v>
      </c>
      <c r="P1282" s="14" t="s">
        <v>5202</v>
      </c>
      <c r="U1282" s="17"/>
      <c r="V1282" s="18"/>
      <c r="W1282" s="16"/>
      <c r="X1282" s="16"/>
      <c r="Y1282" s="16"/>
    </row>
    <row r="1283">
      <c r="A1283" s="9" t="s">
        <v>5203</v>
      </c>
      <c r="B1283" s="10" t="s">
        <v>5204</v>
      </c>
      <c r="C1283" s="10" t="s">
        <v>4054</v>
      </c>
      <c r="D1283" s="10" t="s">
        <v>2450</v>
      </c>
      <c r="E1283" s="10" t="s">
        <v>4047</v>
      </c>
      <c r="F1283" s="10" t="s">
        <v>4048</v>
      </c>
      <c r="G1283" s="10" t="s">
        <v>4055</v>
      </c>
      <c r="H1283" s="10"/>
      <c r="I1283" s="11">
        <v>1069.0</v>
      </c>
      <c r="J1283" s="11">
        <v>1699.0</v>
      </c>
      <c r="K1283" s="12">
        <f t="shared" si="1"/>
        <v>0.3708063567</v>
      </c>
      <c r="L1283" s="13">
        <f>IFERROR(__xludf.DUMMYFUNCTION("GOOGLEFINANCE(""CURRENCY:INRBRL"") * I1283
"),62.94450991222)</f>
        <v>62.94450991</v>
      </c>
      <c r="M1283" s="9">
        <v>4.52</v>
      </c>
      <c r="N1283" s="9">
        <v>313.0</v>
      </c>
      <c r="O1283" s="9" t="s">
        <v>5205</v>
      </c>
      <c r="P1283" s="14" t="s">
        <v>5206</v>
      </c>
      <c r="U1283" s="17"/>
      <c r="V1283" s="18"/>
      <c r="W1283" s="16"/>
      <c r="X1283" s="16"/>
      <c r="Y1283" s="16"/>
    </row>
    <row r="1284">
      <c r="A1284" s="9" t="s">
        <v>5207</v>
      </c>
      <c r="B1284" s="10" t="s">
        <v>5208</v>
      </c>
      <c r="C1284" s="10" t="s">
        <v>4054</v>
      </c>
      <c r="D1284" s="10" t="s">
        <v>2450</v>
      </c>
      <c r="E1284" s="10" t="s">
        <v>4047</v>
      </c>
      <c r="F1284" s="10" t="s">
        <v>4048</v>
      </c>
      <c r="G1284" s="10" t="s">
        <v>4055</v>
      </c>
      <c r="H1284" s="10"/>
      <c r="I1284" s="11">
        <v>1349.0</v>
      </c>
      <c r="J1284" s="11">
        <v>2495.0</v>
      </c>
      <c r="K1284" s="12">
        <f t="shared" si="1"/>
        <v>0.4593186373</v>
      </c>
      <c r="L1284" s="13">
        <f>IFERROR(__xludf.DUMMYFUNCTION("GOOGLEFINANCE(""CURRENCY:INRBRL"") * I1284
"),79.43137873862)</f>
        <v>79.43137874</v>
      </c>
      <c r="M1284" s="9">
        <v>4.51</v>
      </c>
      <c r="N1284" s="9">
        <v>166.0</v>
      </c>
      <c r="O1284" s="9" t="s">
        <v>5209</v>
      </c>
      <c r="P1284" s="14" t="s">
        <v>5210</v>
      </c>
      <c r="U1284" s="17"/>
      <c r="V1284" s="18"/>
      <c r="W1284" s="16"/>
      <c r="X1284" s="16"/>
      <c r="Y1284" s="16"/>
    </row>
    <row r="1285">
      <c r="A1285" s="9" t="s">
        <v>5211</v>
      </c>
      <c r="B1285" s="10" t="s">
        <v>5212</v>
      </c>
      <c r="C1285" s="10" t="s">
        <v>4191</v>
      </c>
      <c r="D1285" s="10" t="s">
        <v>2450</v>
      </c>
      <c r="E1285" s="10" t="s">
        <v>4047</v>
      </c>
      <c r="F1285" s="10" t="s">
        <v>4136</v>
      </c>
      <c r="G1285" s="10" t="s">
        <v>4192</v>
      </c>
      <c r="H1285" s="10"/>
      <c r="I1285" s="11">
        <v>1499.0</v>
      </c>
      <c r="J1285" s="11">
        <v>3499.0</v>
      </c>
      <c r="K1285" s="12">
        <f t="shared" si="1"/>
        <v>0.5715918834</v>
      </c>
      <c r="L1285" s="13">
        <f>IFERROR(__xludf.DUMMYFUNCTION("GOOGLEFINANCE(""CURRENCY:INRBRL"") * I1285
"),88.26362989562)</f>
        <v>88.2636299</v>
      </c>
      <c r="M1285" s="9">
        <v>4.49</v>
      </c>
      <c r="N1285" s="9">
        <v>303.0</v>
      </c>
      <c r="O1285" s="9" t="s">
        <v>5213</v>
      </c>
      <c r="P1285" s="14" t="s">
        <v>5214</v>
      </c>
      <c r="U1285" s="17"/>
      <c r="V1285" s="18"/>
      <c r="W1285" s="16"/>
      <c r="X1285" s="16"/>
      <c r="Y1285" s="16"/>
    </row>
    <row r="1286">
      <c r="A1286" s="9" t="s">
        <v>5215</v>
      </c>
      <c r="B1286" s="10" t="s">
        <v>5216</v>
      </c>
      <c r="C1286" s="10" t="s">
        <v>4292</v>
      </c>
      <c r="D1286" s="10" t="s">
        <v>2450</v>
      </c>
      <c r="E1286" s="10" t="s">
        <v>4038</v>
      </c>
      <c r="F1286" s="10" t="s">
        <v>4039</v>
      </c>
      <c r="G1286" s="10" t="s">
        <v>4293</v>
      </c>
      <c r="H1286" s="10"/>
      <c r="I1286" s="11">
        <v>2092.0</v>
      </c>
      <c r="J1286" s="11">
        <v>4599.0</v>
      </c>
      <c r="K1286" s="12">
        <f t="shared" si="1"/>
        <v>0.545118504</v>
      </c>
      <c r="L1286" s="13">
        <f>IFERROR(__xludf.DUMMYFUNCTION("GOOGLEFINANCE(""CURRENCY:INRBRL"") * I1286
"),123.18046280296)</f>
        <v>123.1804628</v>
      </c>
      <c r="M1286" s="9">
        <v>4.5</v>
      </c>
      <c r="N1286" s="9">
        <v>562.0</v>
      </c>
      <c r="O1286" s="9" t="s">
        <v>5217</v>
      </c>
      <c r="P1286" s="14" t="s">
        <v>5218</v>
      </c>
      <c r="U1286" s="17"/>
      <c r="V1286" s="18"/>
      <c r="W1286" s="16"/>
      <c r="X1286" s="16"/>
      <c r="Y1286" s="16"/>
    </row>
    <row r="1287">
      <c r="A1287" s="9" t="s">
        <v>5219</v>
      </c>
      <c r="B1287" s="10" t="s">
        <v>5220</v>
      </c>
      <c r="C1287" s="10" t="s">
        <v>4680</v>
      </c>
      <c r="D1287" s="10" t="s">
        <v>2450</v>
      </c>
      <c r="E1287" s="10" t="s">
        <v>4038</v>
      </c>
      <c r="F1287" s="10" t="s">
        <v>4061</v>
      </c>
      <c r="G1287" s="10" t="s">
        <v>4252</v>
      </c>
      <c r="H1287" s="10" t="s">
        <v>4253</v>
      </c>
      <c r="I1287" s="11">
        <v>3859.0</v>
      </c>
      <c r="J1287" s="11">
        <v>10295.0</v>
      </c>
      <c r="K1287" s="12">
        <f t="shared" si="1"/>
        <v>0.6251578436</v>
      </c>
      <c r="L1287" s="13">
        <f>IFERROR(__xludf.DUMMYFUNCTION("GOOGLEFINANCE(""CURRENCY:INRBRL"") * I1287
"),227.22438143242)</f>
        <v>227.2243814</v>
      </c>
      <c r="M1287" s="9">
        <v>4.52</v>
      </c>
      <c r="N1287" s="9">
        <v>8095.0</v>
      </c>
      <c r="O1287" s="9" t="s">
        <v>5221</v>
      </c>
      <c r="P1287" s="14" t="s">
        <v>5222</v>
      </c>
      <c r="U1287" s="17"/>
      <c r="V1287" s="18"/>
      <c r="W1287" s="16"/>
      <c r="X1287" s="16"/>
      <c r="Y1287" s="16"/>
    </row>
    <row r="1288">
      <c r="A1288" s="9" t="s">
        <v>5223</v>
      </c>
      <c r="B1288" s="10" t="s">
        <v>5224</v>
      </c>
      <c r="C1288" s="10" t="s">
        <v>4237</v>
      </c>
      <c r="D1288" s="10" t="s">
        <v>2450</v>
      </c>
      <c r="E1288" s="10" t="s">
        <v>4038</v>
      </c>
      <c r="F1288" s="10" t="s">
        <v>4039</v>
      </c>
      <c r="G1288" s="10" t="s">
        <v>4238</v>
      </c>
      <c r="H1288" s="10"/>
      <c r="I1288" s="11">
        <v>499.0</v>
      </c>
      <c r="J1288" s="11">
        <v>2199.0</v>
      </c>
      <c r="K1288" s="12">
        <f t="shared" si="1"/>
        <v>0.7730786721</v>
      </c>
      <c r="L1288" s="13">
        <f>IFERROR(__xludf.DUMMYFUNCTION("GOOGLEFINANCE(""CURRENCY:INRBRL"") * I1288
"),29.38195551562)</f>
        <v>29.38195552</v>
      </c>
      <c r="M1288" s="9">
        <v>4.51</v>
      </c>
      <c r="N1288" s="9">
        <v>109.0</v>
      </c>
      <c r="O1288" s="9" t="s">
        <v>5225</v>
      </c>
      <c r="P1288" s="14" t="s">
        <v>5226</v>
      </c>
      <c r="U1288" s="17"/>
      <c r="V1288" s="18"/>
      <c r="W1288" s="16"/>
      <c r="X1288" s="16"/>
      <c r="Y1288" s="16"/>
    </row>
    <row r="1289">
      <c r="A1289" s="9" t="s">
        <v>5227</v>
      </c>
      <c r="B1289" s="10" t="s">
        <v>5228</v>
      </c>
      <c r="C1289" s="10" t="s">
        <v>4392</v>
      </c>
      <c r="D1289" s="10" t="s">
        <v>2450</v>
      </c>
      <c r="E1289" s="10" t="s">
        <v>4047</v>
      </c>
      <c r="F1289" s="10" t="s">
        <v>4393</v>
      </c>
      <c r="G1289" s="10" t="s">
        <v>4394</v>
      </c>
      <c r="H1289" s="10"/>
      <c r="I1289" s="11">
        <v>1804.0</v>
      </c>
      <c r="J1289" s="11">
        <v>2399.0</v>
      </c>
      <c r="K1289" s="12">
        <f t="shared" si="1"/>
        <v>0.2480200083</v>
      </c>
      <c r="L1289" s="13">
        <f>IFERROR(__xludf.DUMMYFUNCTION("GOOGLEFINANCE(""CURRENCY:INRBRL"") * I1289
"),106.22254058152)</f>
        <v>106.2225406</v>
      </c>
      <c r="M1289" s="9">
        <v>4.0</v>
      </c>
      <c r="N1289" s="9">
        <v>15382.0</v>
      </c>
      <c r="O1289" s="9" t="s">
        <v>5229</v>
      </c>
      <c r="P1289" s="14" t="s">
        <v>5230</v>
      </c>
      <c r="U1289" s="17"/>
      <c r="V1289" s="18"/>
      <c r="W1289" s="16"/>
      <c r="X1289" s="16"/>
      <c r="Y1289" s="16"/>
    </row>
    <row r="1290">
      <c r="A1290" s="9" t="s">
        <v>5231</v>
      </c>
      <c r="B1290" s="10" t="s">
        <v>5232</v>
      </c>
      <c r="C1290" s="10" t="s">
        <v>4237</v>
      </c>
      <c r="D1290" s="10" t="s">
        <v>2450</v>
      </c>
      <c r="E1290" s="10" t="s">
        <v>4038</v>
      </c>
      <c r="F1290" s="10" t="s">
        <v>4039</v>
      </c>
      <c r="G1290" s="10" t="s">
        <v>4238</v>
      </c>
      <c r="H1290" s="10"/>
      <c r="I1290" s="11">
        <v>6525.0</v>
      </c>
      <c r="J1290" s="11">
        <v>8819.0</v>
      </c>
      <c r="K1290" s="12">
        <f t="shared" si="1"/>
        <v>0.260120195</v>
      </c>
      <c r="L1290" s="13">
        <f>IFERROR(__xludf.DUMMYFUNCTION("GOOGLEFINANCE(""CURRENCY:INRBRL"") * I1290
"),384.2029253295)</f>
        <v>384.2029253</v>
      </c>
      <c r="M1290" s="9">
        <v>4.51</v>
      </c>
      <c r="N1290" s="9">
        <v>5137.0</v>
      </c>
      <c r="O1290" s="9" t="s">
        <v>5233</v>
      </c>
      <c r="P1290" s="14" t="s">
        <v>5234</v>
      </c>
      <c r="U1290" s="17"/>
      <c r="V1290" s="18"/>
      <c r="W1290" s="16"/>
      <c r="X1290" s="16"/>
      <c r="Y1290" s="16"/>
    </row>
    <row r="1291">
      <c r="A1291" s="9" t="s">
        <v>5235</v>
      </c>
      <c r="B1291" s="10" t="s">
        <v>5236</v>
      </c>
      <c r="C1291" s="10" t="s">
        <v>4743</v>
      </c>
      <c r="D1291" s="10" t="s">
        <v>2450</v>
      </c>
      <c r="E1291" s="10" t="s">
        <v>4038</v>
      </c>
      <c r="F1291" s="10" t="s">
        <v>4545</v>
      </c>
      <c r="G1291" s="10" t="s">
        <v>4744</v>
      </c>
      <c r="H1291" s="10"/>
      <c r="I1291" s="11">
        <v>4999.0</v>
      </c>
      <c r="J1291" s="11">
        <v>24999.0</v>
      </c>
      <c r="K1291" s="12">
        <f t="shared" si="1"/>
        <v>0.8000320013</v>
      </c>
      <c r="L1291" s="13">
        <f>IFERROR(__xludf.DUMMYFUNCTION("GOOGLEFINANCE(""CURRENCY:INRBRL"") * I1291
"),294.34949022562)</f>
        <v>294.3494902</v>
      </c>
      <c r="M1291" s="9">
        <v>4.51</v>
      </c>
      <c r="N1291" s="9">
        <v>124.0</v>
      </c>
      <c r="O1291" s="9" t="s">
        <v>5237</v>
      </c>
      <c r="P1291" s="14" t="s">
        <v>5238</v>
      </c>
      <c r="U1291" s="17"/>
      <c r="V1291" s="18"/>
      <c r="W1291" s="16"/>
      <c r="X1291" s="16"/>
      <c r="Y1291" s="16"/>
    </row>
    <row r="1292">
      <c r="A1292" s="9" t="s">
        <v>5239</v>
      </c>
      <c r="B1292" s="10" t="s">
        <v>5240</v>
      </c>
      <c r="C1292" s="10" t="s">
        <v>4534</v>
      </c>
      <c r="D1292" s="10" t="s">
        <v>2450</v>
      </c>
      <c r="E1292" s="10" t="s">
        <v>4038</v>
      </c>
      <c r="F1292" s="10" t="s">
        <v>4493</v>
      </c>
      <c r="G1292" s="10" t="s">
        <v>4535</v>
      </c>
      <c r="H1292" s="10"/>
      <c r="I1292" s="11">
        <v>1189.0</v>
      </c>
      <c r="J1292" s="11">
        <v>2399.0</v>
      </c>
      <c r="K1292" s="12">
        <f t="shared" si="1"/>
        <v>0.5043768237</v>
      </c>
      <c r="L1292" s="13">
        <f>IFERROR(__xludf.DUMMYFUNCTION("GOOGLEFINANCE(""CURRENCY:INRBRL"") * I1292
"),70.01031083782)</f>
        <v>70.01031084</v>
      </c>
      <c r="M1292" s="9">
        <v>4.49</v>
      </c>
      <c r="N1292" s="9">
        <v>618.0</v>
      </c>
      <c r="O1292" s="9" t="s">
        <v>5241</v>
      </c>
      <c r="P1292" s="14" t="s">
        <v>5242</v>
      </c>
      <c r="U1292" s="17"/>
      <c r="V1292" s="18"/>
      <c r="W1292" s="16"/>
      <c r="X1292" s="16"/>
      <c r="Y1292" s="16"/>
    </row>
    <row r="1293">
      <c r="A1293" s="9" t="s">
        <v>5243</v>
      </c>
      <c r="B1293" s="10" t="s">
        <v>5244</v>
      </c>
      <c r="C1293" s="10" t="s">
        <v>4054</v>
      </c>
      <c r="D1293" s="10" t="s">
        <v>2450</v>
      </c>
      <c r="E1293" s="10" t="s">
        <v>4047</v>
      </c>
      <c r="F1293" s="10" t="s">
        <v>4048</v>
      </c>
      <c r="G1293" s="10" t="s">
        <v>4055</v>
      </c>
      <c r="H1293" s="10"/>
      <c r="I1293" s="11">
        <v>2599.0</v>
      </c>
      <c r="J1293" s="11">
        <v>4199.0</v>
      </c>
      <c r="K1293" s="12">
        <f t="shared" si="1"/>
        <v>0.3810431055</v>
      </c>
      <c r="L1293" s="13">
        <f>IFERROR(__xludf.DUMMYFUNCTION("GOOGLEFINANCE(""CURRENCY:INRBRL"") * I1293
"),153.03347171362)</f>
        <v>153.0334717</v>
      </c>
      <c r="M1293" s="9">
        <v>4.49</v>
      </c>
      <c r="N1293" s="9">
        <v>63.0</v>
      </c>
      <c r="O1293" s="9" t="s">
        <v>5245</v>
      </c>
      <c r="P1293" s="14" t="s">
        <v>5246</v>
      </c>
      <c r="U1293" s="17"/>
      <c r="V1293" s="18"/>
      <c r="W1293" s="16"/>
      <c r="X1293" s="16"/>
      <c r="Y1293" s="16"/>
    </row>
    <row r="1294">
      <c r="A1294" s="9" t="s">
        <v>5247</v>
      </c>
      <c r="B1294" s="10" t="s">
        <v>5248</v>
      </c>
      <c r="C1294" s="10" t="s">
        <v>4054</v>
      </c>
      <c r="D1294" s="10" t="s">
        <v>2450</v>
      </c>
      <c r="E1294" s="10" t="s">
        <v>4047</v>
      </c>
      <c r="F1294" s="10" t="s">
        <v>4048</v>
      </c>
      <c r="G1294" s="10" t="s">
        <v>4055</v>
      </c>
      <c r="H1294" s="10"/>
      <c r="I1294" s="11">
        <v>899.0</v>
      </c>
      <c r="J1294" s="11">
        <v>1599.0</v>
      </c>
      <c r="K1294" s="12">
        <f t="shared" si="1"/>
        <v>0.4377736085</v>
      </c>
      <c r="L1294" s="13">
        <f>IFERROR(__xludf.DUMMYFUNCTION("GOOGLEFINANCE(""CURRENCY:INRBRL"") * I1294
"),52.93462526762)</f>
        <v>52.93462527</v>
      </c>
      <c r="M1294" s="9">
        <v>4.5</v>
      </c>
      <c r="N1294" s="9">
        <v>15.0</v>
      </c>
      <c r="O1294" s="9" t="s">
        <v>5249</v>
      </c>
      <c r="P1294" s="14" t="s">
        <v>5250</v>
      </c>
      <c r="U1294" s="17"/>
      <c r="V1294" s="18"/>
      <c r="W1294" s="16"/>
      <c r="X1294" s="16"/>
      <c r="Y1294" s="16"/>
    </row>
    <row r="1295">
      <c r="A1295" s="9" t="s">
        <v>5251</v>
      </c>
      <c r="B1295" s="10" t="s">
        <v>5252</v>
      </c>
      <c r="C1295" s="10" t="s">
        <v>4054</v>
      </c>
      <c r="D1295" s="10" t="s">
        <v>2450</v>
      </c>
      <c r="E1295" s="10" t="s">
        <v>4047</v>
      </c>
      <c r="F1295" s="10" t="s">
        <v>4048</v>
      </c>
      <c r="G1295" s="10" t="s">
        <v>4055</v>
      </c>
      <c r="H1295" s="10"/>
      <c r="I1295" s="11">
        <v>998.0</v>
      </c>
      <c r="J1295" s="11">
        <v>2999.0</v>
      </c>
      <c r="K1295" s="12">
        <f t="shared" si="1"/>
        <v>0.6672224075</v>
      </c>
      <c r="L1295" s="13">
        <f>IFERROR(__xludf.DUMMYFUNCTION("GOOGLEFINANCE(""CURRENCY:INRBRL"") * I1295
"),58.76391103124)</f>
        <v>58.76391103</v>
      </c>
      <c r="M1295" s="9">
        <v>4.51</v>
      </c>
      <c r="N1295" s="9">
        <v>9.0</v>
      </c>
      <c r="O1295" s="9" t="s">
        <v>5253</v>
      </c>
      <c r="P1295" s="14" t="s">
        <v>5254</v>
      </c>
      <c r="U1295" s="17"/>
      <c r="V1295" s="18"/>
      <c r="W1295" s="16"/>
      <c r="X1295" s="16"/>
      <c r="Y1295" s="16"/>
    </row>
    <row r="1296">
      <c r="A1296" s="9" t="s">
        <v>5255</v>
      </c>
      <c r="B1296" s="10" t="s">
        <v>5256</v>
      </c>
      <c r="C1296" s="10" t="s">
        <v>4212</v>
      </c>
      <c r="D1296" s="10" t="s">
        <v>2450</v>
      </c>
      <c r="E1296" s="10" t="s">
        <v>4213</v>
      </c>
      <c r="F1296" s="10" t="s">
        <v>4214</v>
      </c>
      <c r="G1296" s="10" t="s">
        <v>4215</v>
      </c>
      <c r="H1296" s="10"/>
      <c r="I1296" s="11">
        <v>998.06</v>
      </c>
      <c r="J1296" s="11">
        <v>1282.0</v>
      </c>
      <c r="K1296" s="12">
        <f t="shared" si="1"/>
        <v>0.2214820593</v>
      </c>
      <c r="L1296" s="13">
        <f>IFERROR(__xludf.DUMMYFUNCTION("GOOGLEFINANCE(""CURRENCY:INRBRL"") * I1296
"),58.76744393170279)</f>
        <v>58.76744393</v>
      </c>
      <c r="M1296" s="9">
        <v>4.5</v>
      </c>
      <c r="N1296" s="9">
        <v>7274.0</v>
      </c>
      <c r="O1296" s="9" t="s">
        <v>5257</v>
      </c>
      <c r="P1296" s="14" t="s">
        <v>5258</v>
      </c>
      <c r="U1296" s="17"/>
      <c r="V1296" s="18"/>
      <c r="W1296" s="16"/>
      <c r="X1296" s="16"/>
      <c r="Y1296" s="16"/>
    </row>
    <row r="1297">
      <c r="A1297" s="9" t="s">
        <v>5259</v>
      </c>
      <c r="B1297" s="10" t="s">
        <v>5260</v>
      </c>
      <c r="C1297" s="10" t="s">
        <v>4392</v>
      </c>
      <c r="D1297" s="10" t="s">
        <v>2450</v>
      </c>
      <c r="E1297" s="10" t="s">
        <v>4047</v>
      </c>
      <c r="F1297" s="10" t="s">
        <v>4393</v>
      </c>
      <c r="G1297" s="10" t="s">
        <v>4394</v>
      </c>
      <c r="H1297" s="10"/>
      <c r="I1297" s="11">
        <v>1099.0</v>
      </c>
      <c r="J1297" s="11">
        <v>1999.0</v>
      </c>
      <c r="K1297" s="12">
        <f t="shared" si="1"/>
        <v>0.4502251126</v>
      </c>
      <c r="L1297" s="13">
        <f>IFERROR(__xludf.DUMMYFUNCTION("GOOGLEFINANCE(""CURRENCY:INRBRL"") * I1297
"),64.71096014362)</f>
        <v>64.71096014</v>
      </c>
      <c r="M1297" s="9">
        <v>4.52</v>
      </c>
      <c r="N1297" s="9">
        <v>5911.0</v>
      </c>
      <c r="O1297" s="9" t="s">
        <v>5261</v>
      </c>
      <c r="P1297" s="14" t="s">
        <v>5262</v>
      </c>
      <c r="U1297" s="17"/>
      <c r="V1297" s="18"/>
      <c r="W1297" s="16"/>
      <c r="X1297" s="16"/>
      <c r="Y1297" s="16"/>
    </row>
    <row r="1298">
      <c r="A1298" s="9" t="s">
        <v>5263</v>
      </c>
      <c r="B1298" s="10" t="s">
        <v>5264</v>
      </c>
      <c r="C1298" s="10" t="s">
        <v>4432</v>
      </c>
      <c r="D1298" s="10" t="s">
        <v>2450</v>
      </c>
      <c r="E1298" s="10" t="s">
        <v>4038</v>
      </c>
      <c r="F1298" s="10" t="s">
        <v>4061</v>
      </c>
      <c r="G1298" s="10" t="s">
        <v>4433</v>
      </c>
      <c r="H1298" s="10"/>
      <c r="I1298" s="11">
        <v>5999.0</v>
      </c>
      <c r="J1298" s="11">
        <v>9999.0</v>
      </c>
      <c r="K1298" s="12">
        <f t="shared" si="1"/>
        <v>0.400040004</v>
      </c>
      <c r="L1298" s="13">
        <f>IFERROR(__xludf.DUMMYFUNCTION("GOOGLEFINANCE(""CURRENCY:INRBRL"") * I1298
"),353.23116460562)</f>
        <v>353.2311646</v>
      </c>
      <c r="M1298" s="9">
        <v>4.5</v>
      </c>
      <c r="N1298" s="9">
        <v>170.0</v>
      </c>
      <c r="O1298" s="9" t="s">
        <v>5265</v>
      </c>
      <c r="P1298" s="14" t="s">
        <v>5266</v>
      </c>
      <c r="U1298" s="17"/>
      <c r="V1298" s="18"/>
      <c r="W1298" s="16"/>
      <c r="X1298" s="16"/>
      <c r="Y1298" s="16"/>
    </row>
    <row r="1299">
      <c r="A1299" s="9" t="s">
        <v>5267</v>
      </c>
      <c r="B1299" s="10" t="s">
        <v>5268</v>
      </c>
      <c r="C1299" s="10" t="s">
        <v>4680</v>
      </c>
      <c r="D1299" s="10" t="s">
        <v>2450</v>
      </c>
      <c r="E1299" s="10" t="s">
        <v>4038</v>
      </c>
      <c r="F1299" s="10" t="s">
        <v>4061</v>
      </c>
      <c r="G1299" s="10" t="s">
        <v>4252</v>
      </c>
      <c r="H1299" s="10" t="s">
        <v>4253</v>
      </c>
      <c r="I1299" s="11">
        <v>8886.0</v>
      </c>
      <c r="J1299" s="11">
        <v>11849.0</v>
      </c>
      <c r="K1299" s="12">
        <f t="shared" si="1"/>
        <v>0.2500632965</v>
      </c>
      <c r="L1299" s="13">
        <f>IFERROR(__xludf.DUMMYFUNCTION("GOOGLEFINANCE(""CURRENCY:INRBRL"") * I1299
"),523.22255854068)</f>
        <v>523.2225585</v>
      </c>
      <c r="M1299" s="9">
        <v>4.5</v>
      </c>
      <c r="N1299" s="9">
        <v>3065.0</v>
      </c>
      <c r="O1299" s="9" t="s">
        <v>5269</v>
      </c>
      <c r="P1299" s="14" t="s">
        <v>5270</v>
      </c>
      <c r="U1299" s="17"/>
      <c r="V1299" s="18"/>
      <c r="W1299" s="16"/>
      <c r="X1299" s="16"/>
      <c r="Y1299" s="16"/>
    </row>
    <row r="1300">
      <c r="A1300" s="9" t="s">
        <v>5271</v>
      </c>
      <c r="B1300" s="10" t="s">
        <v>5272</v>
      </c>
      <c r="C1300" s="10" t="s">
        <v>4060</v>
      </c>
      <c r="D1300" s="10" t="s">
        <v>2450</v>
      </c>
      <c r="E1300" s="10" t="s">
        <v>4038</v>
      </c>
      <c r="F1300" s="10" t="s">
        <v>4061</v>
      </c>
      <c r="G1300" s="10" t="s">
        <v>4062</v>
      </c>
      <c r="H1300" s="10" t="s">
        <v>4063</v>
      </c>
      <c r="I1300" s="11">
        <v>475.0</v>
      </c>
      <c r="J1300" s="11">
        <v>999.0</v>
      </c>
      <c r="K1300" s="12">
        <f t="shared" si="1"/>
        <v>0.5245245245</v>
      </c>
      <c r="L1300" s="13">
        <f>IFERROR(__xludf.DUMMYFUNCTION("GOOGLEFINANCE(""CURRENCY:INRBRL"") * I1300
"),27.9687953305)</f>
        <v>27.96879533</v>
      </c>
      <c r="M1300" s="9">
        <v>4.49</v>
      </c>
      <c r="N1300" s="9">
        <v>1021.0</v>
      </c>
      <c r="O1300" s="9" t="s">
        <v>5273</v>
      </c>
      <c r="P1300" s="14" t="s">
        <v>5274</v>
      </c>
      <c r="U1300" s="17"/>
      <c r="V1300" s="18"/>
      <c r="W1300" s="16"/>
      <c r="X1300" s="16"/>
      <c r="Y1300" s="16"/>
    </row>
    <row r="1301">
      <c r="A1301" s="9" t="s">
        <v>5275</v>
      </c>
      <c r="B1301" s="10" t="s">
        <v>5276</v>
      </c>
      <c r="C1301" s="10" t="s">
        <v>4205</v>
      </c>
      <c r="D1301" s="10" t="s">
        <v>2450</v>
      </c>
      <c r="E1301" s="10" t="s">
        <v>4038</v>
      </c>
      <c r="F1301" s="10" t="s">
        <v>4039</v>
      </c>
      <c r="G1301" s="10" t="s">
        <v>4206</v>
      </c>
      <c r="H1301" s="10" t="s">
        <v>4207</v>
      </c>
      <c r="I1301" s="11">
        <v>4995.0</v>
      </c>
      <c r="J1301" s="11">
        <v>20049.0</v>
      </c>
      <c r="K1301" s="12">
        <f t="shared" si="1"/>
        <v>0.750860392</v>
      </c>
      <c r="L1301" s="13">
        <f>IFERROR(__xludf.DUMMYFUNCTION("GOOGLEFINANCE(""CURRENCY:INRBRL"") * I1301
"),294.1139635281)</f>
        <v>294.1139635</v>
      </c>
      <c r="M1301" s="9">
        <v>4.51</v>
      </c>
      <c r="N1301" s="9">
        <v>3964.0</v>
      </c>
      <c r="O1301" s="9" t="s">
        <v>5277</v>
      </c>
      <c r="P1301" s="14" t="s">
        <v>5278</v>
      </c>
      <c r="U1301" s="17"/>
      <c r="V1301" s="18"/>
      <c r="W1301" s="16"/>
      <c r="X1301" s="16"/>
      <c r="Y1301" s="16"/>
    </row>
    <row r="1302">
      <c r="A1302" s="9" t="s">
        <v>5279</v>
      </c>
      <c r="B1302" s="10" t="s">
        <v>5280</v>
      </c>
      <c r="C1302" s="10" t="s">
        <v>4743</v>
      </c>
      <c r="D1302" s="10" t="s">
        <v>2450</v>
      </c>
      <c r="E1302" s="10" t="s">
        <v>4038</v>
      </c>
      <c r="F1302" s="10" t="s">
        <v>4545</v>
      </c>
      <c r="G1302" s="10" t="s">
        <v>4744</v>
      </c>
      <c r="H1302" s="10"/>
      <c r="I1302" s="11">
        <v>13999.0</v>
      </c>
      <c r="J1302" s="11">
        <v>24849.0</v>
      </c>
      <c r="K1302" s="12">
        <f t="shared" si="1"/>
        <v>0.4366372892</v>
      </c>
      <c r="L1302" s="13">
        <f>IFERROR(__xludf.DUMMYFUNCTION("GOOGLEFINANCE(""CURRENCY:INRBRL"") * I1302
"),824.28455964562)</f>
        <v>824.2845596</v>
      </c>
      <c r="M1302" s="9">
        <v>4.5</v>
      </c>
      <c r="N1302" s="9">
        <v>8948.0</v>
      </c>
      <c r="O1302" s="9" t="s">
        <v>5281</v>
      </c>
      <c r="P1302" s="14" t="s">
        <v>5282</v>
      </c>
      <c r="U1302" s="17"/>
      <c r="V1302" s="18"/>
      <c r="W1302" s="16"/>
      <c r="X1302" s="16"/>
      <c r="Y1302" s="16"/>
    </row>
    <row r="1303">
      <c r="A1303" s="9" t="s">
        <v>5283</v>
      </c>
      <c r="B1303" s="10" t="s">
        <v>5284</v>
      </c>
      <c r="C1303" s="10" t="s">
        <v>4743</v>
      </c>
      <c r="D1303" s="10" t="s">
        <v>2450</v>
      </c>
      <c r="E1303" s="10" t="s">
        <v>4038</v>
      </c>
      <c r="F1303" s="10" t="s">
        <v>4545</v>
      </c>
      <c r="G1303" s="10" t="s">
        <v>4744</v>
      </c>
      <c r="H1303" s="10"/>
      <c r="I1303" s="11">
        <v>8499.0</v>
      </c>
      <c r="J1303" s="11">
        <v>16499.0</v>
      </c>
      <c r="K1303" s="12">
        <f t="shared" si="1"/>
        <v>0.4848778714</v>
      </c>
      <c r="L1303" s="13">
        <f>IFERROR(__xludf.DUMMYFUNCTION("GOOGLEFINANCE(""CURRENCY:INRBRL"") * I1303
"),500.43535055562)</f>
        <v>500.4353506</v>
      </c>
      <c r="M1303" s="9">
        <v>4.5</v>
      </c>
      <c r="N1303" s="9">
        <v>97.0</v>
      </c>
      <c r="O1303" s="9" t="s">
        <v>5285</v>
      </c>
      <c r="P1303" s="14" t="s">
        <v>5286</v>
      </c>
      <c r="U1303" s="17"/>
      <c r="V1303" s="18"/>
      <c r="W1303" s="16"/>
      <c r="X1303" s="16"/>
      <c r="Y1303" s="16"/>
    </row>
    <row r="1304">
      <c r="A1304" s="9" t="s">
        <v>5287</v>
      </c>
      <c r="B1304" s="10" t="s">
        <v>5288</v>
      </c>
      <c r="C1304" s="10" t="s">
        <v>4123</v>
      </c>
      <c r="D1304" s="10" t="s">
        <v>2450</v>
      </c>
      <c r="E1304" s="10" t="s">
        <v>4038</v>
      </c>
      <c r="F1304" s="10" t="s">
        <v>4061</v>
      </c>
      <c r="G1304" s="10" t="s">
        <v>4062</v>
      </c>
      <c r="H1304" s="10" t="s">
        <v>4124</v>
      </c>
      <c r="I1304" s="11">
        <v>949.0</v>
      </c>
      <c r="J1304" s="11">
        <v>975.0</v>
      </c>
      <c r="K1304" s="12">
        <f t="shared" si="1"/>
        <v>0.02666666667</v>
      </c>
      <c r="L1304" s="13">
        <f>IFERROR(__xludf.DUMMYFUNCTION("GOOGLEFINANCE(""CURRENCY:INRBRL"") * I1304
"),55.87870898662)</f>
        <v>55.87870899</v>
      </c>
      <c r="M1304" s="9">
        <v>4.5</v>
      </c>
      <c r="N1304" s="9">
        <v>7223.0</v>
      </c>
      <c r="O1304" s="9" t="s">
        <v>5289</v>
      </c>
      <c r="P1304" s="14" t="s">
        <v>5290</v>
      </c>
      <c r="U1304" s="17"/>
      <c r="V1304" s="18"/>
      <c r="W1304" s="16"/>
      <c r="X1304" s="16"/>
      <c r="Y1304" s="16"/>
    </row>
    <row r="1305">
      <c r="A1305" s="9" t="s">
        <v>5291</v>
      </c>
      <c r="B1305" s="10" t="s">
        <v>5292</v>
      </c>
      <c r="C1305" s="10" t="s">
        <v>4212</v>
      </c>
      <c r="D1305" s="10" t="s">
        <v>2450</v>
      </c>
      <c r="E1305" s="10" t="s">
        <v>4213</v>
      </c>
      <c r="F1305" s="10" t="s">
        <v>4214</v>
      </c>
      <c r="G1305" s="10" t="s">
        <v>4215</v>
      </c>
      <c r="H1305" s="10"/>
      <c r="I1305" s="11">
        <v>395.0</v>
      </c>
      <c r="J1305" s="11">
        <v>499.0</v>
      </c>
      <c r="K1305" s="12">
        <f t="shared" si="1"/>
        <v>0.2084168337</v>
      </c>
      <c r="L1305" s="13">
        <f>IFERROR(__xludf.DUMMYFUNCTION("GOOGLEFINANCE(""CURRENCY:INRBRL"") * I1305
"),23.2582613801)</f>
        <v>23.25826138</v>
      </c>
      <c r="M1305" s="9">
        <v>4.0</v>
      </c>
      <c r="N1305" s="9">
        <v>330.0</v>
      </c>
      <c r="O1305" s="9" t="s">
        <v>5293</v>
      </c>
      <c r="P1305" s="14" t="s">
        <v>5294</v>
      </c>
      <c r="U1305" s="17"/>
      <c r="V1305" s="18"/>
      <c r="W1305" s="16"/>
      <c r="X1305" s="16"/>
      <c r="Y1305" s="16"/>
    </row>
    <row r="1306">
      <c r="A1306" s="9" t="s">
        <v>5295</v>
      </c>
      <c r="B1306" s="10" t="s">
        <v>5296</v>
      </c>
      <c r="C1306" s="10" t="s">
        <v>5297</v>
      </c>
      <c r="D1306" s="10" t="s">
        <v>2450</v>
      </c>
      <c r="E1306" s="10" t="s">
        <v>4038</v>
      </c>
      <c r="F1306" s="10" t="s">
        <v>4039</v>
      </c>
      <c r="G1306" s="10" t="s">
        <v>5298</v>
      </c>
      <c r="H1306" s="10" t="s">
        <v>5299</v>
      </c>
      <c r="I1306" s="11">
        <v>635.0</v>
      </c>
      <c r="J1306" s="11">
        <v>635.0</v>
      </c>
      <c r="K1306" s="12">
        <f t="shared" si="1"/>
        <v>0</v>
      </c>
      <c r="L1306" s="13">
        <f>IFERROR(__xludf.DUMMYFUNCTION("GOOGLEFINANCE(""CURRENCY:INRBRL"") * I1306
"),37.3898632313)</f>
        <v>37.38986323</v>
      </c>
      <c r="M1306" s="9">
        <v>4.5</v>
      </c>
      <c r="N1306" s="9">
        <v>457.0</v>
      </c>
      <c r="O1306" s="9" t="s">
        <v>5300</v>
      </c>
      <c r="P1306" s="14" t="s">
        <v>5301</v>
      </c>
      <c r="U1306" s="17"/>
      <c r="V1306" s="18"/>
      <c r="W1306" s="16"/>
      <c r="X1306" s="16"/>
      <c r="Y1306" s="16"/>
    </row>
    <row r="1307">
      <c r="A1307" s="9" t="s">
        <v>5302</v>
      </c>
      <c r="B1307" s="10" t="s">
        <v>5303</v>
      </c>
      <c r="C1307" s="10" t="s">
        <v>4123</v>
      </c>
      <c r="D1307" s="10" t="s">
        <v>2450</v>
      </c>
      <c r="E1307" s="10" t="s">
        <v>4038</v>
      </c>
      <c r="F1307" s="10" t="s">
        <v>4061</v>
      </c>
      <c r="G1307" s="10" t="s">
        <v>4062</v>
      </c>
      <c r="H1307" s="10" t="s">
        <v>4124</v>
      </c>
      <c r="I1307" s="11">
        <v>717.0</v>
      </c>
      <c r="J1307" s="11">
        <v>1399.0</v>
      </c>
      <c r="K1307" s="12">
        <f t="shared" si="1"/>
        <v>0.487491065</v>
      </c>
      <c r="L1307" s="13">
        <f>IFERROR(__xludf.DUMMYFUNCTION("GOOGLEFINANCE(""CURRENCY:INRBRL"") * I1307
"),42.21816053046)</f>
        <v>42.21816053</v>
      </c>
      <c r="M1307" s="9">
        <v>4.0</v>
      </c>
      <c r="N1307" s="9">
        <v>4867.0</v>
      </c>
      <c r="O1307" s="9" t="s">
        <v>5304</v>
      </c>
      <c r="P1307" s="14" t="s">
        <v>5305</v>
      </c>
      <c r="U1307" s="17"/>
      <c r="V1307" s="18"/>
      <c r="W1307" s="16"/>
      <c r="X1307" s="16"/>
      <c r="Y1307" s="16"/>
    </row>
    <row r="1308">
      <c r="A1308" s="9" t="s">
        <v>5306</v>
      </c>
      <c r="B1308" s="10" t="s">
        <v>5307</v>
      </c>
      <c r="C1308" s="10" t="s">
        <v>5308</v>
      </c>
      <c r="D1308" s="10" t="s">
        <v>2450</v>
      </c>
      <c r="E1308" s="10" t="s">
        <v>4038</v>
      </c>
      <c r="F1308" s="10" t="s">
        <v>4061</v>
      </c>
      <c r="G1308" s="10" t="s">
        <v>4252</v>
      </c>
      <c r="H1308" s="10" t="s">
        <v>4253</v>
      </c>
      <c r="I1308" s="11">
        <v>27899.0</v>
      </c>
      <c r="J1308" s="11">
        <v>59999.0</v>
      </c>
      <c r="K1308" s="12">
        <f t="shared" si="1"/>
        <v>0.5350089168</v>
      </c>
      <c r="L1308" s="13">
        <f>IFERROR(__xludf.DUMMYFUNCTION("GOOGLEFINANCE(""CURRENCY:INRBRL"") * I1308
"),1642.73983352762)</f>
        <v>1642.739834</v>
      </c>
      <c r="M1308" s="9">
        <v>4.5</v>
      </c>
      <c r="N1308" s="9">
        <v>5298.0</v>
      </c>
      <c r="O1308" s="9" t="s">
        <v>5309</v>
      </c>
      <c r="P1308" s="14" t="s">
        <v>5310</v>
      </c>
      <c r="U1308" s="17"/>
      <c r="V1308" s="18"/>
      <c r="W1308" s="16"/>
      <c r="X1308" s="16"/>
      <c r="Y1308" s="16"/>
    </row>
    <row r="1309">
      <c r="A1309" s="9" t="s">
        <v>5311</v>
      </c>
      <c r="B1309" s="10" t="s">
        <v>5312</v>
      </c>
      <c r="C1309" s="10" t="s">
        <v>4551</v>
      </c>
      <c r="D1309" s="10" t="s">
        <v>2450</v>
      </c>
      <c r="E1309" s="10" t="s">
        <v>4038</v>
      </c>
      <c r="F1309" s="10" t="s">
        <v>4545</v>
      </c>
      <c r="G1309" s="10" t="s">
        <v>4552</v>
      </c>
      <c r="H1309" s="10"/>
      <c r="I1309" s="11">
        <v>649.0</v>
      </c>
      <c r="J1309" s="11">
        <v>670.0</v>
      </c>
      <c r="K1309" s="12">
        <f t="shared" si="1"/>
        <v>0.03134328358</v>
      </c>
      <c r="L1309" s="13">
        <f>IFERROR(__xludf.DUMMYFUNCTION("GOOGLEFINANCE(""CURRENCY:INRBRL"") * I1309
"),38.21420667262)</f>
        <v>38.21420667</v>
      </c>
      <c r="M1309" s="9">
        <v>4.49</v>
      </c>
      <c r="N1309" s="9">
        <v>7786.0</v>
      </c>
      <c r="O1309" s="9" t="s">
        <v>5313</v>
      </c>
      <c r="P1309" s="14" t="s">
        <v>5314</v>
      </c>
      <c r="U1309" s="17"/>
      <c r="V1309" s="18"/>
      <c r="W1309" s="16"/>
      <c r="X1309" s="16"/>
      <c r="Y1309" s="16"/>
    </row>
    <row r="1310">
      <c r="A1310" s="9" t="s">
        <v>5315</v>
      </c>
      <c r="B1310" s="10" t="s">
        <v>5316</v>
      </c>
      <c r="C1310" s="10" t="s">
        <v>4544</v>
      </c>
      <c r="D1310" s="10" t="s">
        <v>2450</v>
      </c>
      <c r="E1310" s="10" t="s">
        <v>4038</v>
      </c>
      <c r="F1310" s="10" t="s">
        <v>4545</v>
      </c>
      <c r="G1310" s="10" t="s">
        <v>4546</v>
      </c>
      <c r="H1310" s="10"/>
      <c r="I1310" s="11">
        <v>193.0</v>
      </c>
      <c r="J1310" s="11">
        <v>399.0</v>
      </c>
      <c r="K1310" s="12">
        <f t="shared" si="1"/>
        <v>0.5162907268</v>
      </c>
      <c r="L1310" s="13">
        <f>IFERROR(__xludf.DUMMYFUNCTION("GOOGLEFINANCE(""CURRENCY:INRBRL"") * I1310
"),11.36416315534)</f>
        <v>11.36416316</v>
      </c>
      <c r="M1310" s="9">
        <v>4.51</v>
      </c>
      <c r="N1310" s="9">
        <v>37.0</v>
      </c>
      <c r="O1310" s="9" t="s">
        <v>5317</v>
      </c>
      <c r="P1310" s="14" t="s">
        <v>5318</v>
      </c>
      <c r="U1310" s="17"/>
      <c r="V1310" s="18"/>
      <c r="W1310" s="16"/>
      <c r="X1310" s="16"/>
      <c r="Y1310" s="16"/>
    </row>
    <row r="1311">
      <c r="A1311" s="9" t="s">
        <v>5319</v>
      </c>
      <c r="B1311" s="10" t="s">
        <v>5320</v>
      </c>
      <c r="C1311" s="10" t="s">
        <v>4054</v>
      </c>
      <c r="D1311" s="10" t="s">
        <v>2450</v>
      </c>
      <c r="E1311" s="10" t="s">
        <v>4047</v>
      </c>
      <c r="F1311" s="10" t="s">
        <v>4048</v>
      </c>
      <c r="G1311" s="10" t="s">
        <v>4055</v>
      </c>
      <c r="H1311" s="10"/>
      <c r="I1311" s="11">
        <v>1299.0</v>
      </c>
      <c r="J1311" s="11">
        <v>2495.0</v>
      </c>
      <c r="K1311" s="12">
        <f t="shared" si="1"/>
        <v>0.4793587174</v>
      </c>
      <c r="L1311" s="13">
        <f>IFERROR(__xludf.DUMMYFUNCTION("GOOGLEFINANCE(""CURRENCY:INRBRL"") * I1311
"),76.48729501961999)</f>
        <v>76.48729502</v>
      </c>
      <c r="M1311" s="9">
        <v>2.0</v>
      </c>
      <c r="N1311" s="9">
        <v>2.0</v>
      </c>
      <c r="O1311" s="9" t="s">
        <v>5321</v>
      </c>
      <c r="P1311" s="14" t="s">
        <v>5322</v>
      </c>
      <c r="U1311" s="17"/>
      <c r="V1311" s="18"/>
      <c r="W1311" s="16"/>
      <c r="X1311" s="16"/>
      <c r="Y1311" s="16"/>
    </row>
    <row r="1312">
      <c r="A1312" s="9" t="s">
        <v>5323</v>
      </c>
      <c r="B1312" s="10" t="s">
        <v>5324</v>
      </c>
      <c r="C1312" s="10" t="s">
        <v>4129</v>
      </c>
      <c r="D1312" s="10" t="s">
        <v>2450</v>
      </c>
      <c r="E1312" s="10" t="s">
        <v>4038</v>
      </c>
      <c r="F1312" s="10" t="s">
        <v>4039</v>
      </c>
      <c r="G1312" s="10" t="s">
        <v>4130</v>
      </c>
      <c r="H1312" s="10"/>
      <c r="I1312" s="11">
        <v>2449.0</v>
      </c>
      <c r="J1312" s="11">
        <v>3399.0</v>
      </c>
      <c r="K1312" s="12">
        <f t="shared" si="1"/>
        <v>0.2794939688</v>
      </c>
      <c r="L1312" s="13">
        <f>IFERROR(__xludf.DUMMYFUNCTION("GOOGLEFINANCE(""CURRENCY:INRBRL"") * I1312
"),144.20122055662)</f>
        <v>144.2012206</v>
      </c>
      <c r="M1312" s="9">
        <v>4.0</v>
      </c>
      <c r="N1312" s="9">
        <v>5206.0</v>
      </c>
      <c r="O1312" s="9" t="s">
        <v>5325</v>
      </c>
      <c r="P1312" s="14" t="s">
        <v>5326</v>
      </c>
      <c r="U1312" s="17"/>
      <c r="V1312" s="18"/>
      <c r="W1312" s="16"/>
      <c r="X1312" s="16"/>
      <c r="Y1312" s="16"/>
    </row>
    <row r="1313">
      <c r="A1313" s="9" t="s">
        <v>5327</v>
      </c>
      <c r="B1313" s="10" t="s">
        <v>5328</v>
      </c>
      <c r="C1313" s="10" t="s">
        <v>4135</v>
      </c>
      <c r="D1313" s="10" t="s">
        <v>2450</v>
      </c>
      <c r="E1313" s="10" t="s">
        <v>4047</v>
      </c>
      <c r="F1313" s="10" t="s">
        <v>4136</v>
      </c>
      <c r="G1313" s="10" t="s">
        <v>4137</v>
      </c>
      <c r="H1313" s="10"/>
      <c r="I1313" s="11">
        <v>1049.0</v>
      </c>
      <c r="J1313" s="11">
        <v>2499.0</v>
      </c>
      <c r="K1313" s="12">
        <f t="shared" si="1"/>
        <v>0.5802320928</v>
      </c>
      <c r="L1313" s="13">
        <f>IFERROR(__xludf.DUMMYFUNCTION("GOOGLEFINANCE(""CURRENCY:INRBRL"") * I1313
"),61.76687642462)</f>
        <v>61.76687642</v>
      </c>
      <c r="M1313" s="9">
        <v>4.51</v>
      </c>
      <c r="N1313" s="9">
        <v>638.0</v>
      </c>
      <c r="O1313" s="9" t="s">
        <v>5105</v>
      </c>
      <c r="P1313" s="14" t="s">
        <v>5329</v>
      </c>
      <c r="U1313" s="17"/>
      <c r="V1313" s="18"/>
      <c r="W1313" s="16"/>
      <c r="X1313" s="16"/>
      <c r="Y1313" s="16"/>
    </row>
    <row r="1314">
      <c r="A1314" s="9" t="s">
        <v>5330</v>
      </c>
      <c r="B1314" s="10" t="s">
        <v>5331</v>
      </c>
      <c r="C1314" s="10" t="s">
        <v>5127</v>
      </c>
      <c r="D1314" s="10" t="s">
        <v>2450</v>
      </c>
      <c r="E1314" s="10" t="s">
        <v>4047</v>
      </c>
      <c r="F1314" s="10" t="s">
        <v>4393</v>
      </c>
      <c r="G1314" s="10" t="s">
        <v>5128</v>
      </c>
      <c r="H1314" s="10"/>
      <c r="I1314" s="11">
        <v>2399.0</v>
      </c>
      <c r="J1314" s="11">
        <v>4199.0</v>
      </c>
      <c r="K1314" s="12">
        <f t="shared" si="1"/>
        <v>0.4286734937</v>
      </c>
      <c r="L1314" s="13">
        <f>IFERROR(__xludf.DUMMYFUNCTION("GOOGLEFINANCE(""CURRENCY:INRBRL"") * I1314
"),141.25713683762)</f>
        <v>141.2571368</v>
      </c>
      <c r="M1314" s="9">
        <v>4.51</v>
      </c>
      <c r="N1314" s="9">
        <v>397.0</v>
      </c>
      <c r="O1314" s="9" t="s">
        <v>5332</v>
      </c>
      <c r="P1314" s="14" t="s">
        <v>5333</v>
      </c>
      <c r="U1314" s="17"/>
      <c r="V1314" s="18"/>
      <c r="W1314" s="16"/>
      <c r="X1314" s="16"/>
      <c r="Y1314" s="16"/>
    </row>
    <row r="1315">
      <c r="A1315" s="9" t="s">
        <v>5334</v>
      </c>
      <c r="B1315" s="10" t="s">
        <v>5335</v>
      </c>
      <c r="C1315" s="10" t="s">
        <v>4251</v>
      </c>
      <c r="D1315" s="10" t="s">
        <v>2450</v>
      </c>
      <c r="E1315" s="10" t="s">
        <v>4038</v>
      </c>
      <c r="F1315" s="10" t="s">
        <v>4061</v>
      </c>
      <c r="G1315" s="10" t="s">
        <v>4252</v>
      </c>
      <c r="H1315" s="10" t="s">
        <v>4253</v>
      </c>
      <c r="I1315" s="11">
        <v>2286.0</v>
      </c>
      <c r="J1315" s="11">
        <v>4495.0</v>
      </c>
      <c r="K1315" s="12">
        <f t="shared" si="1"/>
        <v>0.4914349277</v>
      </c>
      <c r="L1315" s="13">
        <f>IFERROR(__xludf.DUMMYFUNCTION("GOOGLEFINANCE(""CURRENCY:INRBRL"") * I1315
"),134.60350763268)</f>
        <v>134.6035076</v>
      </c>
      <c r="M1315" s="9">
        <v>4.52</v>
      </c>
      <c r="N1315" s="9">
        <v>326.0</v>
      </c>
      <c r="O1315" s="9" t="s">
        <v>5336</v>
      </c>
      <c r="P1315" s="14" t="s">
        <v>5337</v>
      </c>
      <c r="U1315" s="17"/>
      <c r="V1315" s="18"/>
      <c r="W1315" s="16"/>
      <c r="X1315" s="16"/>
      <c r="Y1315" s="16"/>
    </row>
    <row r="1316">
      <c r="A1316" s="9" t="s">
        <v>5338</v>
      </c>
      <c r="B1316" s="10" t="s">
        <v>5339</v>
      </c>
      <c r="C1316" s="10" t="s">
        <v>4948</v>
      </c>
      <c r="D1316" s="10" t="s">
        <v>2450</v>
      </c>
      <c r="E1316" s="10" t="s">
        <v>4038</v>
      </c>
      <c r="F1316" s="10" t="s">
        <v>4039</v>
      </c>
      <c r="G1316" s="10" t="s">
        <v>4949</v>
      </c>
      <c r="H1316" s="10"/>
      <c r="I1316" s="11">
        <v>499.0</v>
      </c>
      <c r="J1316" s="11">
        <v>2199.0</v>
      </c>
      <c r="K1316" s="12">
        <f t="shared" si="1"/>
        <v>0.7730786721</v>
      </c>
      <c r="L1316" s="13">
        <f>IFERROR(__xludf.DUMMYFUNCTION("GOOGLEFINANCE(""CURRENCY:INRBRL"") * I1316
"),29.38195551562)</f>
        <v>29.38195552</v>
      </c>
      <c r="M1316" s="9">
        <v>4.49</v>
      </c>
      <c r="N1316" s="9">
        <v>3527.0</v>
      </c>
      <c r="O1316" s="9" t="s">
        <v>5340</v>
      </c>
      <c r="P1316" s="14" t="s">
        <v>5341</v>
      </c>
      <c r="U1316" s="17"/>
      <c r="V1316" s="18"/>
      <c r="W1316" s="16"/>
      <c r="X1316" s="16"/>
      <c r="Y1316" s="16"/>
    </row>
    <row r="1317">
      <c r="A1317" s="9" t="s">
        <v>5342</v>
      </c>
      <c r="B1317" s="10" t="s">
        <v>5343</v>
      </c>
      <c r="C1317" s="10" t="s">
        <v>4386</v>
      </c>
      <c r="D1317" s="10" t="s">
        <v>2450</v>
      </c>
      <c r="E1317" s="10" t="s">
        <v>4038</v>
      </c>
      <c r="F1317" s="10" t="s">
        <v>4039</v>
      </c>
      <c r="G1317" s="10" t="s">
        <v>4387</v>
      </c>
      <c r="H1317" s="10"/>
      <c r="I1317" s="11">
        <v>429.0</v>
      </c>
      <c r="J1317" s="11">
        <v>999.0</v>
      </c>
      <c r="K1317" s="12">
        <f t="shared" si="1"/>
        <v>0.5705705706</v>
      </c>
      <c r="L1317" s="13">
        <f>IFERROR(__xludf.DUMMYFUNCTION("GOOGLEFINANCE(""CURRENCY:INRBRL"") * I1317
"),25.26023830902)</f>
        <v>25.26023831</v>
      </c>
      <c r="M1317" s="9">
        <v>3.0</v>
      </c>
      <c r="N1317" s="9">
        <v>617.0</v>
      </c>
      <c r="O1317" s="9" t="s">
        <v>5344</v>
      </c>
      <c r="P1317" s="14" t="s">
        <v>5345</v>
      </c>
      <c r="U1317" s="17"/>
      <c r="V1317" s="18"/>
      <c r="W1317" s="16"/>
      <c r="X1317" s="16"/>
      <c r="Y1317" s="16"/>
    </row>
    <row r="1318">
      <c r="A1318" s="9" t="s">
        <v>5346</v>
      </c>
      <c r="B1318" s="10" t="s">
        <v>5347</v>
      </c>
      <c r="C1318" s="10" t="s">
        <v>4292</v>
      </c>
      <c r="D1318" s="10" t="s">
        <v>2450</v>
      </c>
      <c r="E1318" s="10" t="s">
        <v>4038</v>
      </c>
      <c r="F1318" s="10" t="s">
        <v>4039</v>
      </c>
      <c r="G1318" s="10" t="s">
        <v>4293</v>
      </c>
      <c r="H1318" s="10"/>
      <c r="I1318" s="11">
        <v>299.0</v>
      </c>
      <c r="J1318" s="11">
        <v>595.0</v>
      </c>
      <c r="K1318" s="12">
        <f t="shared" si="1"/>
        <v>0.4974789916</v>
      </c>
      <c r="L1318" s="13">
        <f>IFERROR(__xludf.DUMMYFUNCTION("GOOGLEFINANCE(""CURRENCY:INRBRL"") * I1318
"),17.60562063962)</f>
        <v>17.60562064</v>
      </c>
      <c r="M1318" s="9">
        <v>4.0</v>
      </c>
      <c r="N1318" s="9">
        <v>314.0</v>
      </c>
      <c r="O1318" s="9" t="s">
        <v>5348</v>
      </c>
      <c r="P1318" s="14" t="s">
        <v>5349</v>
      </c>
      <c r="U1318" s="17"/>
      <c r="V1318" s="18"/>
      <c r="W1318" s="16"/>
      <c r="X1318" s="16"/>
      <c r="Y1318" s="16"/>
    </row>
    <row r="1319">
      <c r="A1319" s="9" t="s">
        <v>5350</v>
      </c>
      <c r="B1319" s="10" t="s">
        <v>5351</v>
      </c>
      <c r="C1319" s="10" t="s">
        <v>4743</v>
      </c>
      <c r="D1319" s="10" t="s">
        <v>2450</v>
      </c>
      <c r="E1319" s="10" t="s">
        <v>4038</v>
      </c>
      <c r="F1319" s="10" t="s">
        <v>4545</v>
      </c>
      <c r="G1319" s="10" t="s">
        <v>4744</v>
      </c>
      <c r="H1319" s="10"/>
      <c r="I1319" s="11">
        <v>5395.0</v>
      </c>
      <c r="J1319" s="11">
        <v>19999.0</v>
      </c>
      <c r="K1319" s="12">
        <f t="shared" si="1"/>
        <v>0.7302365118</v>
      </c>
      <c r="L1319" s="13">
        <f>IFERROR(__xludf.DUMMYFUNCTION("GOOGLEFINANCE(""CURRENCY:INRBRL"") * I1319
"),317.6666332801)</f>
        <v>317.6666333</v>
      </c>
      <c r="M1319" s="9">
        <v>4.5</v>
      </c>
      <c r="N1319" s="9">
        <v>535.0</v>
      </c>
      <c r="O1319" s="9" t="s">
        <v>5352</v>
      </c>
      <c r="P1319" s="14" t="s">
        <v>5353</v>
      </c>
      <c r="U1319" s="17"/>
      <c r="V1319" s="18"/>
      <c r="W1319" s="16"/>
      <c r="X1319" s="16"/>
      <c r="Y1319" s="16"/>
    </row>
    <row r="1320">
      <c r="A1320" s="9" t="s">
        <v>5354</v>
      </c>
      <c r="B1320" s="10" t="s">
        <v>5355</v>
      </c>
      <c r="C1320" s="10" t="s">
        <v>4123</v>
      </c>
      <c r="D1320" s="10" t="s">
        <v>2450</v>
      </c>
      <c r="E1320" s="10" t="s">
        <v>4038</v>
      </c>
      <c r="F1320" s="10" t="s">
        <v>4061</v>
      </c>
      <c r="G1320" s="10" t="s">
        <v>4062</v>
      </c>
      <c r="H1320" s="10" t="s">
        <v>4124</v>
      </c>
      <c r="I1320" s="11">
        <v>559.0</v>
      </c>
      <c r="J1320" s="11">
        <v>1099.0</v>
      </c>
      <c r="K1320" s="12">
        <f t="shared" si="1"/>
        <v>0.491355778</v>
      </c>
      <c r="L1320" s="13">
        <f>IFERROR(__xludf.DUMMYFUNCTION("GOOGLEFINANCE(""CURRENCY:INRBRL"") * I1320
"),32.91485597842)</f>
        <v>32.91485598</v>
      </c>
      <c r="M1320" s="9">
        <v>4.49</v>
      </c>
      <c r="N1320" s="9">
        <v>17325.0</v>
      </c>
      <c r="O1320" s="9" t="s">
        <v>5356</v>
      </c>
      <c r="P1320" s="14" t="s">
        <v>5357</v>
      </c>
      <c r="U1320" s="17"/>
      <c r="V1320" s="18"/>
      <c r="W1320" s="16"/>
      <c r="X1320" s="16"/>
      <c r="Y1320" s="16"/>
    </row>
    <row r="1321">
      <c r="A1321" s="9" t="s">
        <v>5358</v>
      </c>
      <c r="B1321" s="10" t="s">
        <v>5359</v>
      </c>
      <c r="C1321" s="10" t="s">
        <v>4123</v>
      </c>
      <c r="D1321" s="10" t="s">
        <v>2450</v>
      </c>
      <c r="E1321" s="10" t="s">
        <v>4038</v>
      </c>
      <c r="F1321" s="10" t="s">
        <v>4061</v>
      </c>
      <c r="G1321" s="10" t="s">
        <v>4062</v>
      </c>
      <c r="H1321" s="10" t="s">
        <v>4124</v>
      </c>
      <c r="I1321" s="11">
        <v>660.0</v>
      </c>
      <c r="J1321" s="11">
        <v>1099.0</v>
      </c>
      <c r="K1321" s="12">
        <f t="shared" si="1"/>
        <v>0.3994540491</v>
      </c>
      <c r="L1321" s="13">
        <f>IFERROR(__xludf.DUMMYFUNCTION("GOOGLEFINANCE(""CURRENCY:INRBRL"") * I1321
"),38.8619050908)</f>
        <v>38.86190509</v>
      </c>
      <c r="M1321" s="9">
        <v>4.51</v>
      </c>
      <c r="N1321" s="9">
        <v>91.0</v>
      </c>
      <c r="O1321" s="9" t="s">
        <v>5360</v>
      </c>
      <c r="P1321" s="14" t="s">
        <v>5361</v>
      </c>
      <c r="U1321" s="17"/>
      <c r="V1321" s="18"/>
      <c r="W1321" s="16"/>
      <c r="X1321" s="16"/>
      <c r="Y1321" s="16"/>
    </row>
    <row r="1322">
      <c r="A1322" s="9" t="s">
        <v>5362</v>
      </c>
      <c r="B1322" s="10" t="s">
        <v>5363</v>
      </c>
      <c r="C1322" s="10" t="s">
        <v>4278</v>
      </c>
      <c r="D1322" s="10" t="s">
        <v>2450</v>
      </c>
      <c r="E1322" s="10" t="s">
        <v>4038</v>
      </c>
      <c r="F1322" s="10" t="s">
        <v>4039</v>
      </c>
      <c r="G1322" s="10" t="s">
        <v>4279</v>
      </c>
      <c r="H1322" s="10"/>
      <c r="I1322" s="11">
        <v>419.0</v>
      </c>
      <c r="J1322" s="11">
        <v>999.0</v>
      </c>
      <c r="K1322" s="12">
        <f t="shared" si="1"/>
        <v>0.5805805806</v>
      </c>
      <c r="L1322" s="13">
        <f>IFERROR(__xludf.DUMMYFUNCTION("GOOGLEFINANCE(""CURRENCY:INRBRL"") * I1322
"),24.67142156522)</f>
        <v>24.67142157</v>
      </c>
      <c r="M1322" s="9">
        <v>4.5</v>
      </c>
      <c r="N1322" s="9">
        <v>227.0</v>
      </c>
      <c r="O1322" s="9" t="s">
        <v>5364</v>
      </c>
      <c r="P1322" s="14" t="s">
        <v>5365</v>
      </c>
      <c r="U1322" s="17"/>
      <c r="V1322" s="18"/>
      <c r="W1322" s="16"/>
      <c r="X1322" s="16"/>
      <c r="Y1322" s="16"/>
    </row>
    <row r="1323">
      <c r="A1323" s="9" t="s">
        <v>5366</v>
      </c>
      <c r="B1323" s="10" t="s">
        <v>5367</v>
      </c>
      <c r="C1323" s="10" t="s">
        <v>4161</v>
      </c>
      <c r="D1323" s="10" t="s">
        <v>2450</v>
      </c>
      <c r="E1323" s="10" t="s">
        <v>4047</v>
      </c>
      <c r="F1323" s="10" t="s">
        <v>4136</v>
      </c>
      <c r="G1323" s="10" t="s">
        <v>4162</v>
      </c>
      <c r="H1323" s="10"/>
      <c r="I1323" s="11">
        <v>7349.0</v>
      </c>
      <c r="J1323" s="11">
        <v>10899.0</v>
      </c>
      <c r="K1323" s="12">
        <f t="shared" si="1"/>
        <v>0.3257179558</v>
      </c>
      <c r="L1323" s="13">
        <f>IFERROR(__xludf.DUMMYFUNCTION("GOOGLEFINANCE(""CURRENCY:INRBRL"") * I1323
"),432.72142501862)</f>
        <v>432.721425</v>
      </c>
      <c r="M1323" s="9">
        <v>4.5</v>
      </c>
      <c r="N1323" s="9">
        <v>11957.0</v>
      </c>
      <c r="O1323" s="9" t="s">
        <v>5368</v>
      </c>
      <c r="P1323" s="14" t="s">
        <v>5369</v>
      </c>
      <c r="U1323" s="17"/>
      <c r="V1323" s="18"/>
      <c r="W1323" s="16"/>
      <c r="X1323" s="16"/>
      <c r="Y1323" s="16"/>
    </row>
    <row r="1324">
      <c r="A1324" s="9" t="s">
        <v>5370</v>
      </c>
      <c r="B1324" s="10" t="s">
        <v>5371</v>
      </c>
      <c r="C1324" s="10" t="s">
        <v>4392</v>
      </c>
      <c r="D1324" s="10" t="s">
        <v>2450</v>
      </c>
      <c r="E1324" s="10" t="s">
        <v>4047</v>
      </c>
      <c r="F1324" s="10" t="s">
        <v>4393</v>
      </c>
      <c r="G1324" s="10" t="s">
        <v>4394</v>
      </c>
      <c r="H1324" s="10"/>
      <c r="I1324" s="11">
        <v>2899.0</v>
      </c>
      <c r="J1324" s="11">
        <v>4005.0</v>
      </c>
      <c r="K1324" s="12">
        <f t="shared" si="1"/>
        <v>0.2761548065</v>
      </c>
      <c r="L1324" s="13">
        <f>IFERROR(__xludf.DUMMYFUNCTION("GOOGLEFINANCE(""CURRENCY:INRBRL"") * I1324
"),170.69797402762)</f>
        <v>170.697974</v>
      </c>
      <c r="M1324" s="9">
        <v>4.5</v>
      </c>
      <c r="N1324" s="9">
        <v>714.0</v>
      </c>
      <c r="O1324" s="9" t="s">
        <v>5372</v>
      </c>
      <c r="P1324" s="14" t="s">
        <v>5373</v>
      </c>
      <c r="U1324" s="17"/>
      <c r="V1324" s="18"/>
      <c r="W1324" s="16"/>
      <c r="X1324" s="16"/>
      <c r="Y1324" s="16"/>
    </row>
    <row r="1325">
      <c r="A1325" s="9" t="s">
        <v>5374</v>
      </c>
      <c r="B1325" s="10" t="s">
        <v>5375</v>
      </c>
      <c r="C1325" s="10" t="s">
        <v>4251</v>
      </c>
      <c r="D1325" s="10" t="s">
        <v>2450</v>
      </c>
      <c r="E1325" s="10" t="s">
        <v>4038</v>
      </c>
      <c r="F1325" s="10" t="s">
        <v>4061</v>
      </c>
      <c r="G1325" s="10" t="s">
        <v>4252</v>
      </c>
      <c r="H1325" s="10" t="s">
        <v>4253</v>
      </c>
      <c r="I1325" s="11">
        <v>1799.0</v>
      </c>
      <c r="J1325" s="11">
        <v>3295.0</v>
      </c>
      <c r="K1325" s="12">
        <f t="shared" si="1"/>
        <v>0.4540212443</v>
      </c>
      <c r="L1325" s="13">
        <f>IFERROR(__xludf.DUMMYFUNCTION("GOOGLEFINANCE(""CURRENCY:INRBRL"") * I1325
"),105.92813220962)</f>
        <v>105.9281322</v>
      </c>
      <c r="M1325" s="9">
        <v>4.51</v>
      </c>
      <c r="N1325" s="9">
        <v>687.0</v>
      </c>
      <c r="O1325" s="9" t="s">
        <v>5376</v>
      </c>
      <c r="P1325" s="14" t="s">
        <v>5377</v>
      </c>
      <c r="U1325" s="17"/>
      <c r="V1325" s="18"/>
      <c r="W1325" s="16"/>
      <c r="X1325" s="16"/>
      <c r="Y1325" s="16"/>
    </row>
    <row r="1326">
      <c r="A1326" s="9" t="s">
        <v>5378</v>
      </c>
      <c r="B1326" s="10" t="s">
        <v>5379</v>
      </c>
      <c r="C1326" s="10" t="s">
        <v>4292</v>
      </c>
      <c r="D1326" s="10" t="s">
        <v>2450</v>
      </c>
      <c r="E1326" s="10" t="s">
        <v>4038</v>
      </c>
      <c r="F1326" s="10" t="s">
        <v>4039</v>
      </c>
      <c r="G1326" s="10" t="s">
        <v>4293</v>
      </c>
      <c r="H1326" s="10"/>
      <c r="I1326" s="11">
        <v>1474.0</v>
      </c>
      <c r="J1326" s="11">
        <v>4649.0</v>
      </c>
      <c r="K1326" s="12">
        <f t="shared" si="1"/>
        <v>0.6829425683</v>
      </c>
      <c r="L1326" s="13">
        <f>IFERROR(__xludf.DUMMYFUNCTION("GOOGLEFINANCE(""CURRENCY:INRBRL"") * I1326
"),86.79158803612)</f>
        <v>86.79158804</v>
      </c>
      <c r="M1326" s="9">
        <v>4.49</v>
      </c>
      <c r="N1326" s="9">
        <v>1045.0</v>
      </c>
      <c r="O1326" s="9" t="s">
        <v>5380</v>
      </c>
      <c r="P1326" s="14" t="s">
        <v>5381</v>
      </c>
      <c r="U1326" s="17"/>
      <c r="V1326" s="18"/>
      <c r="W1326" s="16"/>
      <c r="X1326" s="16"/>
      <c r="Y1326" s="16"/>
    </row>
    <row r="1327">
      <c r="A1327" s="9" t="s">
        <v>5382</v>
      </c>
      <c r="B1327" s="10" t="s">
        <v>5383</v>
      </c>
      <c r="C1327" s="10" t="s">
        <v>4743</v>
      </c>
      <c r="D1327" s="10" t="s">
        <v>2450</v>
      </c>
      <c r="E1327" s="10" t="s">
        <v>4038</v>
      </c>
      <c r="F1327" s="10" t="s">
        <v>4545</v>
      </c>
      <c r="G1327" s="10" t="s">
        <v>4744</v>
      </c>
      <c r="H1327" s="10"/>
      <c r="I1327" s="11">
        <v>15999.0</v>
      </c>
      <c r="J1327" s="11">
        <v>24499.0</v>
      </c>
      <c r="K1327" s="12">
        <f t="shared" si="1"/>
        <v>0.3469529369</v>
      </c>
      <c r="L1327" s="13">
        <f>IFERROR(__xludf.DUMMYFUNCTION("GOOGLEFINANCE(""CURRENCY:INRBRL"") * I1327
"),942.04790840562)</f>
        <v>942.0479084</v>
      </c>
      <c r="M1327" s="9">
        <v>4.0</v>
      </c>
      <c r="N1327" s="9">
        <v>11206.0</v>
      </c>
      <c r="O1327" s="9" t="s">
        <v>5384</v>
      </c>
      <c r="P1327" s="14" t="s">
        <v>5385</v>
      </c>
      <c r="U1327" s="17"/>
      <c r="V1327" s="18"/>
      <c r="W1327" s="16"/>
      <c r="X1327" s="16"/>
      <c r="Y1327" s="16"/>
    </row>
    <row r="1328">
      <c r="A1328" s="9" t="s">
        <v>5386</v>
      </c>
      <c r="B1328" s="10" t="s">
        <v>5387</v>
      </c>
      <c r="C1328" s="10" t="s">
        <v>4135</v>
      </c>
      <c r="D1328" s="10" t="s">
        <v>2450</v>
      </c>
      <c r="E1328" s="10" t="s">
        <v>4047</v>
      </c>
      <c r="F1328" s="10" t="s">
        <v>4136</v>
      </c>
      <c r="G1328" s="10" t="s">
        <v>4137</v>
      </c>
      <c r="H1328" s="10"/>
      <c r="I1328" s="11">
        <v>3645.0</v>
      </c>
      <c r="J1328" s="11">
        <v>6069.0</v>
      </c>
      <c r="K1328" s="12">
        <f t="shared" si="1"/>
        <v>0.3994068216</v>
      </c>
      <c r="L1328" s="13">
        <f>IFERROR(__xludf.DUMMYFUNCTION("GOOGLEFINANCE(""CURRENCY:INRBRL"") * I1328
"),214.6237031151)</f>
        <v>214.6237031</v>
      </c>
      <c r="M1328" s="9">
        <v>4.5</v>
      </c>
      <c r="N1328" s="9">
        <v>561.0</v>
      </c>
      <c r="O1328" s="9" t="s">
        <v>5388</v>
      </c>
      <c r="P1328" s="14" t="s">
        <v>5389</v>
      </c>
      <c r="U1328" s="17"/>
      <c r="V1328" s="18"/>
      <c r="W1328" s="16"/>
      <c r="X1328" s="16"/>
      <c r="Y1328" s="16"/>
    </row>
    <row r="1329">
      <c r="A1329" s="9" t="s">
        <v>5390</v>
      </c>
      <c r="B1329" s="10" t="s">
        <v>5391</v>
      </c>
      <c r="C1329" s="10" t="s">
        <v>4117</v>
      </c>
      <c r="D1329" s="10" t="s">
        <v>2450</v>
      </c>
      <c r="E1329" s="10" t="s">
        <v>4038</v>
      </c>
      <c r="F1329" s="10" t="s">
        <v>4039</v>
      </c>
      <c r="G1329" s="10" t="s">
        <v>4118</v>
      </c>
      <c r="H1329" s="10"/>
      <c r="I1329" s="11">
        <v>375.0</v>
      </c>
      <c r="J1329" s="11">
        <v>999.0</v>
      </c>
      <c r="K1329" s="12">
        <f t="shared" si="1"/>
        <v>0.6246246246</v>
      </c>
      <c r="L1329" s="13">
        <f>IFERROR(__xludf.DUMMYFUNCTION("GOOGLEFINANCE(""CURRENCY:INRBRL"") * I1329
"),22.0806278925)</f>
        <v>22.08062789</v>
      </c>
      <c r="M1329" s="9">
        <v>4.51</v>
      </c>
      <c r="N1329" s="9">
        <v>1988.0</v>
      </c>
      <c r="O1329" s="9" t="s">
        <v>5392</v>
      </c>
      <c r="P1329" s="14" t="s">
        <v>5393</v>
      </c>
      <c r="U1329" s="17"/>
      <c r="V1329" s="18"/>
      <c r="W1329" s="16"/>
      <c r="X1329" s="16"/>
      <c r="Y1329" s="16"/>
    </row>
    <row r="1330">
      <c r="A1330" s="9" t="s">
        <v>5394</v>
      </c>
      <c r="B1330" s="10" t="s">
        <v>5395</v>
      </c>
      <c r="C1330" s="10" t="s">
        <v>4573</v>
      </c>
      <c r="D1330" s="10" t="s">
        <v>2450</v>
      </c>
      <c r="E1330" s="10" t="s">
        <v>4038</v>
      </c>
      <c r="F1330" s="10" t="s">
        <v>4039</v>
      </c>
      <c r="G1330" s="10" t="s">
        <v>4574</v>
      </c>
      <c r="H1330" s="10"/>
      <c r="I1330" s="11">
        <v>2976.0</v>
      </c>
      <c r="J1330" s="11">
        <v>3945.0</v>
      </c>
      <c r="K1330" s="12">
        <f t="shared" si="1"/>
        <v>0.2456273764</v>
      </c>
      <c r="L1330" s="13">
        <f>IFERROR(__xludf.DUMMYFUNCTION("GOOGLEFINANCE(""CURRENCY:INRBRL"") * I1330
"),175.23186295488)</f>
        <v>175.231863</v>
      </c>
      <c r="M1330" s="9">
        <v>4.5</v>
      </c>
      <c r="N1330" s="9">
        <v>374.0</v>
      </c>
      <c r="O1330" s="9" t="s">
        <v>5396</v>
      </c>
      <c r="P1330" s="14" t="s">
        <v>5397</v>
      </c>
      <c r="U1330" s="17"/>
      <c r="V1330" s="18"/>
      <c r="W1330" s="16"/>
      <c r="X1330" s="16"/>
      <c r="Y1330" s="16"/>
    </row>
    <row r="1331">
      <c r="A1331" s="9" t="s">
        <v>5398</v>
      </c>
      <c r="B1331" s="10" t="s">
        <v>5399</v>
      </c>
      <c r="C1331" s="10" t="s">
        <v>5157</v>
      </c>
      <c r="D1331" s="10" t="s">
        <v>2450</v>
      </c>
      <c r="E1331" s="10" t="s">
        <v>4038</v>
      </c>
      <c r="F1331" s="10" t="s">
        <v>4493</v>
      </c>
      <c r="G1331" s="10" t="s">
        <v>5158</v>
      </c>
      <c r="H1331" s="10"/>
      <c r="I1331" s="11">
        <v>1099.0</v>
      </c>
      <c r="J1331" s="11">
        <v>1499.0</v>
      </c>
      <c r="K1331" s="12">
        <f t="shared" si="1"/>
        <v>0.266844563</v>
      </c>
      <c r="L1331" s="13">
        <f>IFERROR(__xludf.DUMMYFUNCTION("GOOGLEFINANCE(""CURRENCY:INRBRL"") * I1331
"),64.71096014362)</f>
        <v>64.71096014</v>
      </c>
      <c r="M1331" s="9">
        <v>4.49</v>
      </c>
      <c r="N1331" s="9">
        <v>4401.0</v>
      </c>
      <c r="O1331" s="9" t="s">
        <v>5400</v>
      </c>
      <c r="P1331" s="14" t="s">
        <v>5401</v>
      </c>
      <c r="U1331" s="17"/>
      <c r="V1331" s="18"/>
      <c r="W1331" s="16"/>
      <c r="X1331" s="16"/>
      <c r="Y1331" s="16"/>
    </row>
    <row r="1332">
      <c r="A1332" s="9" t="s">
        <v>5402</v>
      </c>
      <c r="B1332" s="10" t="s">
        <v>5403</v>
      </c>
      <c r="C1332" s="10" t="s">
        <v>4220</v>
      </c>
      <c r="D1332" s="10" t="s">
        <v>2450</v>
      </c>
      <c r="E1332" s="10" t="s">
        <v>4038</v>
      </c>
      <c r="F1332" s="10" t="s">
        <v>4061</v>
      </c>
      <c r="G1332" s="10" t="s">
        <v>4062</v>
      </c>
      <c r="H1332" s="10" t="s">
        <v>4124</v>
      </c>
      <c r="I1332" s="11">
        <v>2575.0</v>
      </c>
      <c r="J1332" s="11">
        <v>6699.0</v>
      </c>
      <c r="K1332" s="12">
        <f t="shared" si="1"/>
        <v>0.6156142708</v>
      </c>
      <c r="L1332" s="13">
        <f>IFERROR(__xludf.DUMMYFUNCTION("GOOGLEFINANCE(""CURRENCY:INRBRL"") * I1332
"),151.6203115285)</f>
        <v>151.6203115</v>
      </c>
      <c r="M1332" s="9">
        <v>4.5</v>
      </c>
      <c r="N1332" s="9">
        <v>611.0</v>
      </c>
      <c r="O1332" s="9" t="s">
        <v>5404</v>
      </c>
      <c r="P1332" s="14" t="s">
        <v>5405</v>
      </c>
      <c r="U1332" s="17"/>
      <c r="V1332" s="18"/>
      <c r="W1332" s="16"/>
      <c r="X1332" s="16"/>
      <c r="Y1332" s="16"/>
    </row>
    <row r="1333">
      <c r="A1333" s="9" t="s">
        <v>5406</v>
      </c>
      <c r="B1333" s="10" t="s">
        <v>5407</v>
      </c>
      <c r="C1333" s="10" t="s">
        <v>4129</v>
      </c>
      <c r="D1333" s="10" t="s">
        <v>2450</v>
      </c>
      <c r="E1333" s="10" t="s">
        <v>4038</v>
      </c>
      <c r="F1333" s="10" t="s">
        <v>4039</v>
      </c>
      <c r="G1333" s="10" t="s">
        <v>4130</v>
      </c>
      <c r="H1333" s="10"/>
      <c r="I1333" s="11">
        <v>1649.0</v>
      </c>
      <c r="J1333" s="11">
        <v>2799.0</v>
      </c>
      <c r="K1333" s="12">
        <f t="shared" si="1"/>
        <v>0.4108610218</v>
      </c>
      <c r="L1333" s="13">
        <f>IFERROR(__xludf.DUMMYFUNCTION("GOOGLEFINANCE(""CURRENCY:INRBRL"") * I1333
"),97.09588105262)</f>
        <v>97.09588105</v>
      </c>
      <c r="M1333" s="9">
        <v>4.52</v>
      </c>
      <c r="N1333" s="9">
        <v>2162.0</v>
      </c>
      <c r="O1333" s="9" t="s">
        <v>5408</v>
      </c>
      <c r="P1333" s="14" t="s">
        <v>5409</v>
      </c>
      <c r="U1333" s="17"/>
      <c r="V1333" s="18"/>
      <c r="W1333" s="16"/>
      <c r="X1333" s="16"/>
      <c r="Y1333" s="16"/>
    </row>
    <row r="1334">
      <c r="A1334" s="9" t="s">
        <v>5410</v>
      </c>
      <c r="B1334" s="10" t="s">
        <v>5411</v>
      </c>
      <c r="C1334" s="10" t="s">
        <v>4117</v>
      </c>
      <c r="D1334" s="10" t="s">
        <v>2450</v>
      </c>
      <c r="E1334" s="10" t="s">
        <v>4038</v>
      </c>
      <c r="F1334" s="10" t="s">
        <v>4039</v>
      </c>
      <c r="G1334" s="10" t="s">
        <v>4118</v>
      </c>
      <c r="H1334" s="10"/>
      <c r="I1334" s="11">
        <v>799.0</v>
      </c>
      <c r="J1334" s="11">
        <v>1699.0</v>
      </c>
      <c r="K1334" s="12">
        <f t="shared" si="1"/>
        <v>0.5297233667</v>
      </c>
      <c r="L1334" s="13">
        <f>IFERROR(__xludf.DUMMYFUNCTION("GOOGLEFINANCE(""CURRENCY:INRBRL"") * I1334
"),47.046457829619996)</f>
        <v>47.04645783</v>
      </c>
      <c r="M1334" s="9">
        <v>4.0</v>
      </c>
      <c r="N1334" s="9">
        <v>97.0</v>
      </c>
      <c r="O1334" s="9" t="s">
        <v>5412</v>
      </c>
      <c r="P1334" s="14" t="s">
        <v>5413</v>
      </c>
      <c r="U1334" s="17"/>
      <c r="V1334" s="18"/>
      <c r="W1334" s="16"/>
      <c r="X1334" s="16"/>
      <c r="Y1334" s="16"/>
    </row>
    <row r="1335">
      <c r="A1335" s="9" t="s">
        <v>5414</v>
      </c>
      <c r="B1335" s="10" t="s">
        <v>5415</v>
      </c>
      <c r="C1335" s="10" t="s">
        <v>4117</v>
      </c>
      <c r="D1335" s="10" t="s">
        <v>2450</v>
      </c>
      <c r="E1335" s="10" t="s">
        <v>4038</v>
      </c>
      <c r="F1335" s="10" t="s">
        <v>4039</v>
      </c>
      <c r="G1335" s="10" t="s">
        <v>4118</v>
      </c>
      <c r="H1335" s="10"/>
      <c r="I1335" s="11">
        <v>765.0</v>
      </c>
      <c r="J1335" s="11">
        <v>970.0</v>
      </c>
      <c r="K1335" s="12">
        <f t="shared" si="1"/>
        <v>0.2113402062</v>
      </c>
      <c r="L1335" s="13">
        <f>IFERROR(__xludf.DUMMYFUNCTION("GOOGLEFINANCE(""CURRENCY:INRBRL"") * I1335
"),45.0444809007)</f>
        <v>45.0444809</v>
      </c>
      <c r="M1335" s="9">
        <v>4.5</v>
      </c>
      <c r="N1335" s="9">
        <v>6055.0</v>
      </c>
      <c r="O1335" s="9" t="s">
        <v>5416</v>
      </c>
      <c r="P1335" s="14" t="s">
        <v>5417</v>
      </c>
      <c r="U1335" s="17"/>
      <c r="V1335" s="18"/>
      <c r="W1335" s="16"/>
      <c r="X1335" s="16"/>
      <c r="Y1335" s="16"/>
    </row>
    <row r="1336">
      <c r="A1336" s="9" t="s">
        <v>5418</v>
      </c>
      <c r="B1336" s="10" t="s">
        <v>5419</v>
      </c>
      <c r="C1336" s="10" t="s">
        <v>4060</v>
      </c>
      <c r="D1336" s="10" t="s">
        <v>2450</v>
      </c>
      <c r="E1336" s="10" t="s">
        <v>4038</v>
      </c>
      <c r="F1336" s="10" t="s">
        <v>4061</v>
      </c>
      <c r="G1336" s="10" t="s">
        <v>4062</v>
      </c>
      <c r="H1336" s="10" t="s">
        <v>4063</v>
      </c>
      <c r="I1336" s="11">
        <v>999.0</v>
      </c>
      <c r="J1336" s="11">
        <v>1499.0</v>
      </c>
      <c r="K1336" s="12">
        <f t="shared" si="1"/>
        <v>0.3335557038</v>
      </c>
      <c r="L1336" s="13">
        <f>IFERROR(__xludf.DUMMYFUNCTION("GOOGLEFINANCE(""CURRENCY:INRBRL"") * I1336
"),58.822792705619996)</f>
        <v>58.82279271</v>
      </c>
      <c r="M1336" s="9">
        <v>4.5</v>
      </c>
      <c r="N1336" s="9">
        <v>386.0</v>
      </c>
      <c r="O1336" s="9" t="s">
        <v>5420</v>
      </c>
      <c r="P1336" s="14" t="s">
        <v>5421</v>
      </c>
      <c r="U1336" s="17"/>
      <c r="V1336" s="18"/>
      <c r="W1336" s="16"/>
      <c r="X1336" s="16"/>
      <c r="Y1336" s="16"/>
    </row>
    <row r="1337">
      <c r="A1337" s="9" t="s">
        <v>5422</v>
      </c>
      <c r="B1337" s="10" t="s">
        <v>5423</v>
      </c>
      <c r="C1337" s="10" t="s">
        <v>5424</v>
      </c>
      <c r="D1337" s="10" t="s">
        <v>2450</v>
      </c>
      <c r="E1337" s="10" t="s">
        <v>4038</v>
      </c>
      <c r="F1337" s="10" t="s">
        <v>4039</v>
      </c>
      <c r="G1337" s="10" t="s">
        <v>5425</v>
      </c>
      <c r="H1337" s="10"/>
      <c r="I1337" s="11">
        <v>587.0</v>
      </c>
      <c r="J1337" s="11">
        <v>1295.0</v>
      </c>
      <c r="K1337" s="12">
        <f t="shared" si="1"/>
        <v>0.5467181467</v>
      </c>
      <c r="L1337" s="13">
        <f>IFERROR(__xludf.DUMMYFUNCTION("GOOGLEFINANCE(""CURRENCY:INRBRL"") * I1337
"),34.56354286106)</f>
        <v>34.56354286</v>
      </c>
      <c r="M1337" s="9">
        <v>4.49</v>
      </c>
      <c r="N1337" s="9">
        <v>557.0</v>
      </c>
      <c r="O1337" s="9" t="s">
        <v>5426</v>
      </c>
      <c r="P1337" s="14" t="s">
        <v>5427</v>
      </c>
      <c r="U1337" s="17"/>
      <c r="V1337" s="18"/>
      <c r="W1337" s="16"/>
      <c r="X1337" s="16"/>
      <c r="Y1337" s="16"/>
    </row>
    <row r="1338">
      <c r="A1338" s="9" t="s">
        <v>5428</v>
      </c>
      <c r="B1338" s="10" t="s">
        <v>5429</v>
      </c>
      <c r="C1338" s="10" t="s">
        <v>5430</v>
      </c>
      <c r="D1338" s="10" t="s">
        <v>2450</v>
      </c>
      <c r="E1338" s="10" t="s">
        <v>4038</v>
      </c>
      <c r="F1338" s="10" t="s">
        <v>4039</v>
      </c>
      <c r="G1338" s="10" t="s">
        <v>4949</v>
      </c>
      <c r="H1338" s="10" t="s">
        <v>5431</v>
      </c>
      <c r="I1338" s="11">
        <v>12609.0</v>
      </c>
      <c r="J1338" s="11">
        <v>23999.0</v>
      </c>
      <c r="K1338" s="12">
        <f t="shared" si="1"/>
        <v>0.4746031085</v>
      </c>
      <c r="L1338" s="13">
        <f>IFERROR(__xludf.DUMMYFUNCTION("GOOGLEFINANCE(""CURRENCY:INRBRL"") * I1338
"),742.43903225742)</f>
        <v>742.4390323</v>
      </c>
      <c r="M1338" s="9">
        <v>4.5</v>
      </c>
      <c r="N1338" s="9">
        <v>2288.0</v>
      </c>
      <c r="O1338" s="9" t="s">
        <v>5432</v>
      </c>
      <c r="P1338" s="14" t="s">
        <v>5433</v>
      </c>
      <c r="U1338" s="17"/>
      <c r="V1338" s="18"/>
      <c r="W1338" s="16"/>
      <c r="X1338" s="16"/>
      <c r="Y1338" s="16"/>
    </row>
    <row r="1339">
      <c r="A1339" s="9" t="s">
        <v>5434</v>
      </c>
      <c r="B1339" s="10" t="s">
        <v>5435</v>
      </c>
      <c r="C1339" s="10" t="s">
        <v>4123</v>
      </c>
      <c r="D1339" s="10" t="s">
        <v>2450</v>
      </c>
      <c r="E1339" s="10" t="s">
        <v>4038</v>
      </c>
      <c r="F1339" s="10" t="s">
        <v>4061</v>
      </c>
      <c r="G1339" s="10" t="s">
        <v>4062</v>
      </c>
      <c r="H1339" s="10" t="s">
        <v>4124</v>
      </c>
      <c r="I1339" s="11">
        <v>699.0</v>
      </c>
      <c r="J1339" s="11">
        <v>850.0</v>
      </c>
      <c r="K1339" s="12">
        <f t="shared" si="1"/>
        <v>0.1776470588</v>
      </c>
      <c r="L1339" s="13">
        <f>IFERROR(__xludf.DUMMYFUNCTION("GOOGLEFINANCE(""CURRENCY:INRBRL"") * I1339
"),41.15829039162)</f>
        <v>41.15829039</v>
      </c>
      <c r="M1339" s="9">
        <v>4.49</v>
      </c>
      <c r="N1339" s="9">
        <v>1106.0</v>
      </c>
      <c r="O1339" s="9" t="s">
        <v>5436</v>
      </c>
      <c r="P1339" s="14" t="s">
        <v>5437</v>
      </c>
      <c r="U1339" s="17"/>
      <c r="V1339" s="18"/>
      <c r="W1339" s="16"/>
      <c r="X1339" s="16"/>
      <c r="Y1339" s="16"/>
    </row>
    <row r="1340">
      <c r="A1340" s="9" t="s">
        <v>5438</v>
      </c>
      <c r="B1340" s="10" t="s">
        <v>5439</v>
      </c>
      <c r="C1340" s="10" t="s">
        <v>4407</v>
      </c>
      <c r="D1340" s="10" t="s">
        <v>2450</v>
      </c>
      <c r="E1340" s="10" t="s">
        <v>4038</v>
      </c>
      <c r="F1340" s="10" t="s">
        <v>4061</v>
      </c>
      <c r="G1340" s="10" t="s">
        <v>4252</v>
      </c>
      <c r="H1340" s="10" t="s">
        <v>4253</v>
      </c>
      <c r="I1340" s="11">
        <v>3799.0</v>
      </c>
      <c r="J1340" s="11">
        <v>5999.0</v>
      </c>
      <c r="K1340" s="12">
        <f t="shared" si="1"/>
        <v>0.366727788</v>
      </c>
      <c r="L1340" s="13">
        <f>IFERROR(__xludf.DUMMYFUNCTION("GOOGLEFINANCE(""CURRENCY:INRBRL"") * I1340
"),223.69148096962)</f>
        <v>223.691481</v>
      </c>
      <c r="M1340" s="9">
        <v>4.5</v>
      </c>
      <c r="N1340" s="9">
        <v>11935.0</v>
      </c>
      <c r="O1340" s="9" t="s">
        <v>5440</v>
      </c>
      <c r="P1340" s="14" t="s">
        <v>5441</v>
      </c>
      <c r="U1340" s="17"/>
      <c r="V1340" s="18"/>
      <c r="W1340" s="16"/>
      <c r="X1340" s="16"/>
      <c r="Y1340" s="16"/>
    </row>
    <row r="1341">
      <c r="A1341" s="9" t="s">
        <v>5442</v>
      </c>
      <c r="B1341" s="10" t="s">
        <v>5443</v>
      </c>
      <c r="C1341" s="10" t="s">
        <v>4191</v>
      </c>
      <c r="D1341" s="10" t="s">
        <v>2450</v>
      </c>
      <c r="E1341" s="10" t="s">
        <v>4047</v>
      </c>
      <c r="F1341" s="10" t="s">
        <v>4136</v>
      </c>
      <c r="G1341" s="10" t="s">
        <v>4192</v>
      </c>
      <c r="H1341" s="10"/>
      <c r="I1341" s="11">
        <v>640.0</v>
      </c>
      <c r="J1341" s="11">
        <v>1099.0</v>
      </c>
      <c r="K1341" s="12">
        <f t="shared" si="1"/>
        <v>0.4176524113</v>
      </c>
      <c r="L1341" s="13">
        <f>IFERROR(__xludf.DUMMYFUNCTION("GOOGLEFINANCE(""CURRENCY:INRBRL"") * I1341
"),37.6842716032)</f>
        <v>37.6842716</v>
      </c>
      <c r="M1341" s="9">
        <v>4.49</v>
      </c>
      <c r="N1341" s="9">
        <v>5059.0</v>
      </c>
      <c r="O1341" s="9" t="s">
        <v>5444</v>
      </c>
      <c r="P1341" s="14" t="s">
        <v>5445</v>
      </c>
      <c r="U1341" s="17"/>
      <c r="V1341" s="18"/>
      <c r="W1341" s="16"/>
      <c r="X1341" s="16"/>
      <c r="Y1341" s="16"/>
    </row>
    <row r="1342">
      <c r="A1342" s="9" t="s">
        <v>5446</v>
      </c>
      <c r="B1342" s="10" t="s">
        <v>5447</v>
      </c>
      <c r="C1342" s="10" t="s">
        <v>4054</v>
      </c>
      <c r="D1342" s="10" t="s">
        <v>2450</v>
      </c>
      <c r="E1342" s="10" t="s">
        <v>4047</v>
      </c>
      <c r="F1342" s="10" t="s">
        <v>4048</v>
      </c>
      <c r="G1342" s="10" t="s">
        <v>4055</v>
      </c>
      <c r="H1342" s="10"/>
      <c r="I1342" s="11">
        <v>979.0</v>
      </c>
      <c r="J1342" s="11">
        <v>1999.0</v>
      </c>
      <c r="K1342" s="12">
        <f t="shared" si="1"/>
        <v>0.5102551276</v>
      </c>
      <c r="L1342" s="13">
        <f>IFERROR(__xludf.DUMMYFUNCTION("GOOGLEFINANCE(""CURRENCY:INRBRL"") * I1342
"),57.64515921802)</f>
        <v>57.64515922</v>
      </c>
      <c r="M1342" s="9">
        <v>4.52</v>
      </c>
      <c r="N1342" s="9">
        <v>157.0</v>
      </c>
      <c r="O1342" s="9" t="s">
        <v>5448</v>
      </c>
      <c r="P1342" s="14" t="s">
        <v>5449</v>
      </c>
      <c r="U1342" s="17"/>
      <c r="V1342" s="18"/>
      <c r="W1342" s="16"/>
      <c r="X1342" s="16"/>
      <c r="Y1342" s="16"/>
    </row>
    <row r="1343">
      <c r="A1343" s="9" t="s">
        <v>5450</v>
      </c>
      <c r="B1343" s="10" t="s">
        <v>5451</v>
      </c>
      <c r="C1343" s="10" t="s">
        <v>4135</v>
      </c>
      <c r="D1343" s="10" t="s">
        <v>2450</v>
      </c>
      <c r="E1343" s="10" t="s">
        <v>4047</v>
      </c>
      <c r="F1343" s="10" t="s">
        <v>4136</v>
      </c>
      <c r="G1343" s="10" t="s">
        <v>4137</v>
      </c>
      <c r="H1343" s="10"/>
      <c r="I1343" s="11">
        <v>5365.0</v>
      </c>
      <c r="J1343" s="11">
        <v>7445.0</v>
      </c>
      <c r="K1343" s="12">
        <f t="shared" si="1"/>
        <v>0.2793821357</v>
      </c>
      <c r="L1343" s="13">
        <f>IFERROR(__xludf.DUMMYFUNCTION("GOOGLEFINANCE(""CURRENCY:INRBRL"") * I1343
"),315.9001830487)</f>
        <v>315.900183</v>
      </c>
      <c r="M1343" s="9">
        <v>4.52</v>
      </c>
      <c r="N1343" s="9">
        <v>3584.0</v>
      </c>
      <c r="O1343" s="9" t="s">
        <v>5452</v>
      </c>
      <c r="P1343" s="14" t="s">
        <v>5453</v>
      </c>
      <c r="U1343" s="17"/>
      <c r="V1343" s="18"/>
      <c r="W1343" s="16"/>
      <c r="X1343" s="16"/>
      <c r="Y1343" s="16"/>
    </row>
    <row r="1344">
      <c r="A1344" s="9" t="s">
        <v>5454</v>
      </c>
      <c r="B1344" s="10" t="s">
        <v>5455</v>
      </c>
      <c r="C1344" s="10" t="s">
        <v>4220</v>
      </c>
      <c r="D1344" s="10" t="s">
        <v>2450</v>
      </c>
      <c r="E1344" s="10" t="s">
        <v>4038</v>
      </c>
      <c r="F1344" s="10" t="s">
        <v>4061</v>
      </c>
      <c r="G1344" s="10" t="s">
        <v>4062</v>
      </c>
      <c r="H1344" s="10" t="s">
        <v>4124</v>
      </c>
      <c r="I1344" s="11">
        <v>3199.0</v>
      </c>
      <c r="J1344" s="11">
        <v>3499.0</v>
      </c>
      <c r="K1344" s="12">
        <f t="shared" si="1"/>
        <v>0.08573878251</v>
      </c>
      <c r="L1344" s="13">
        <f>IFERROR(__xludf.DUMMYFUNCTION("GOOGLEFINANCE(""CURRENCY:INRBRL"") * I1344
"),188.36247634162)</f>
        <v>188.3624763</v>
      </c>
      <c r="M1344" s="9">
        <v>4.5</v>
      </c>
      <c r="N1344" s="9">
        <v>1899.0</v>
      </c>
      <c r="O1344" s="9" t="s">
        <v>5456</v>
      </c>
      <c r="P1344" s="14" t="s">
        <v>5457</v>
      </c>
      <c r="U1344" s="17"/>
      <c r="V1344" s="18"/>
      <c r="W1344" s="16"/>
      <c r="X1344" s="16"/>
      <c r="Y1344" s="16"/>
    </row>
    <row r="1345">
      <c r="A1345" s="9" t="s">
        <v>5458</v>
      </c>
      <c r="B1345" s="10" t="s">
        <v>5459</v>
      </c>
      <c r="C1345" s="10" t="s">
        <v>4857</v>
      </c>
      <c r="D1345" s="10" t="s">
        <v>2450</v>
      </c>
      <c r="E1345" s="10" t="s">
        <v>4038</v>
      </c>
      <c r="F1345" s="10" t="s">
        <v>4039</v>
      </c>
      <c r="G1345" s="10" t="s">
        <v>4858</v>
      </c>
      <c r="H1345" s="10"/>
      <c r="I1345" s="11">
        <v>979.0</v>
      </c>
      <c r="J1345" s="11">
        <v>1395.0</v>
      </c>
      <c r="K1345" s="12">
        <f t="shared" si="1"/>
        <v>0.2982078853</v>
      </c>
      <c r="L1345" s="13">
        <f>IFERROR(__xludf.DUMMYFUNCTION("GOOGLEFINANCE(""CURRENCY:INRBRL"") * I1345
"),57.64515921802)</f>
        <v>57.64515922</v>
      </c>
      <c r="M1345" s="9">
        <v>4.5</v>
      </c>
      <c r="N1345" s="9">
        <v>15252.0</v>
      </c>
      <c r="O1345" s="9" t="s">
        <v>5460</v>
      </c>
      <c r="P1345" s="14" t="s">
        <v>5461</v>
      </c>
      <c r="U1345" s="17"/>
      <c r="V1345" s="18"/>
      <c r="W1345" s="16"/>
      <c r="X1345" s="16"/>
      <c r="Y1345" s="16"/>
    </row>
    <row r="1346">
      <c r="A1346" s="9" t="s">
        <v>5462</v>
      </c>
      <c r="B1346" s="10" t="s">
        <v>5463</v>
      </c>
      <c r="C1346" s="10" t="s">
        <v>4046</v>
      </c>
      <c r="D1346" s="10" t="s">
        <v>2450</v>
      </c>
      <c r="E1346" s="10" t="s">
        <v>4047</v>
      </c>
      <c r="F1346" s="10" t="s">
        <v>4048</v>
      </c>
      <c r="G1346" s="10" t="s">
        <v>4049</v>
      </c>
      <c r="H1346" s="10"/>
      <c r="I1346" s="11">
        <v>929.0</v>
      </c>
      <c r="J1346" s="11">
        <v>2199.0</v>
      </c>
      <c r="K1346" s="12">
        <f t="shared" si="1"/>
        <v>0.5775352433</v>
      </c>
      <c r="L1346" s="13">
        <f>IFERROR(__xludf.DUMMYFUNCTION("GOOGLEFINANCE(""CURRENCY:INRBRL"") * I1346
"),54.70107549902)</f>
        <v>54.7010755</v>
      </c>
      <c r="M1346" s="9">
        <v>4.51</v>
      </c>
      <c r="N1346" s="9">
        <v>4.0</v>
      </c>
      <c r="O1346" s="9" t="s">
        <v>5464</v>
      </c>
      <c r="P1346" s="14" t="s">
        <v>5465</v>
      </c>
      <c r="U1346" s="17"/>
      <c r="V1346" s="18"/>
      <c r="W1346" s="16"/>
      <c r="X1346" s="16"/>
      <c r="Y1346" s="16"/>
    </row>
    <row r="1347">
      <c r="A1347" s="9" t="s">
        <v>5466</v>
      </c>
      <c r="B1347" s="10" t="s">
        <v>5467</v>
      </c>
      <c r="C1347" s="10" t="s">
        <v>4879</v>
      </c>
      <c r="D1347" s="10" t="s">
        <v>2450</v>
      </c>
      <c r="E1347" s="10" t="s">
        <v>4038</v>
      </c>
      <c r="F1347" s="10" t="s">
        <v>4039</v>
      </c>
      <c r="G1347" s="10" t="s">
        <v>4880</v>
      </c>
      <c r="H1347" s="10" t="s">
        <v>4881</v>
      </c>
      <c r="I1347" s="11">
        <v>3699.0</v>
      </c>
      <c r="J1347" s="11">
        <v>4329.0</v>
      </c>
      <c r="K1347" s="12">
        <f t="shared" si="1"/>
        <v>0.1455301455</v>
      </c>
      <c r="L1347" s="13">
        <f>IFERROR(__xludf.DUMMYFUNCTION("GOOGLEFINANCE(""CURRENCY:INRBRL"") * I1347
"),217.80331353162)</f>
        <v>217.8033135</v>
      </c>
      <c r="M1347" s="9">
        <v>4.51</v>
      </c>
      <c r="N1347" s="9">
        <v>1662.0</v>
      </c>
      <c r="O1347" s="9" t="s">
        <v>5468</v>
      </c>
      <c r="P1347" s="14" t="s">
        <v>5469</v>
      </c>
      <c r="U1347" s="17"/>
      <c r="V1347" s="18"/>
      <c r="W1347" s="16"/>
      <c r="X1347" s="16"/>
      <c r="Y1347" s="16"/>
    </row>
    <row r="1348">
      <c r="A1348" s="9" t="s">
        <v>5470</v>
      </c>
      <c r="B1348" s="10" t="s">
        <v>5471</v>
      </c>
      <c r="C1348" s="10" t="s">
        <v>4129</v>
      </c>
      <c r="D1348" s="10" t="s">
        <v>2450</v>
      </c>
      <c r="E1348" s="10" t="s">
        <v>4038</v>
      </c>
      <c r="F1348" s="10" t="s">
        <v>4039</v>
      </c>
      <c r="G1348" s="10" t="s">
        <v>4130</v>
      </c>
      <c r="H1348" s="10"/>
      <c r="I1348" s="11">
        <v>2033.0</v>
      </c>
      <c r="J1348" s="11">
        <v>4295.0</v>
      </c>
      <c r="K1348" s="12">
        <f t="shared" si="1"/>
        <v>0.5266589057</v>
      </c>
      <c r="L1348" s="13">
        <f>IFERROR(__xludf.DUMMYFUNCTION("GOOGLEFINANCE(""CURRENCY:INRBRL"") * I1348
"),119.70644401454)</f>
        <v>119.706444</v>
      </c>
      <c r="M1348" s="9">
        <v>4.5</v>
      </c>
      <c r="N1348" s="9">
        <v>422.0</v>
      </c>
      <c r="O1348" s="9" t="s">
        <v>5472</v>
      </c>
      <c r="P1348" s="14" t="s">
        <v>5473</v>
      </c>
      <c r="U1348" s="17"/>
      <c r="V1348" s="18"/>
      <c r="W1348" s="16"/>
      <c r="X1348" s="16"/>
      <c r="Y1348" s="16"/>
    </row>
    <row r="1349">
      <c r="A1349" s="9" t="s">
        <v>5474</v>
      </c>
      <c r="B1349" s="10" t="s">
        <v>5475</v>
      </c>
      <c r="C1349" s="10" t="s">
        <v>4046</v>
      </c>
      <c r="D1349" s="10" t="s">
        <v>2450</v>
      </c>
      <c r="E1349" s="10" t="s">
        <v>4047</v>
      </c>
      <c r="F1349" s="10" t="s">
        <v>4048</v>
      </c>
      <c r="G1349" s="10" t="s">
        <v>4049</v>
      </c>
      <c r="H1349" s="10"/>
      <c r="I1349" s="11">
        <v>9495.0</v>
      </c>
      <c r="J1349" s="11">
        <v>18999.0</v>
      </c>
      <c r="K1349" s="12">
        <f t="shared" si="1"/>
        <v>0.5002368546</v>
      </c>
      <c r="L1349" s="13">
        <f>IFERROR(__xludf.DUMMYFUNCTION("GOOGLEFINANCE(""CURRENCY:INRBRL"") * I1349
"),559.0814982381)</f>
        <v>559.0814982</v>
      </c>
      <c r="M1349" s="9">
        <v>4.5</v>
      </c>
      <c r="N1349" s="9">
        <v>79.0</v>
      </c>
      <c r="O1349" s="9" t="s">
        <v>5476</v>
      </c>
      <c r="P1349" s="14" t="s">
        <v>5477</v>
      </c>
      <c r="U1349" s="17"/>
      <c r="V1349" s="18"/>
      <c r="W1349" s="16"/>
      <c r="X1349" s="16"/>
      <c r="Y1349" s="16"/>
    </row>
    <row r="1350">
      <c r="A1350" s="9" t="s">
        <v>5478</v>
      </c>
      <c r="B1350" s="10" t="s">
        <v>5479</v>
      </c>
      <c r="C1350" s="10" t="s">
        <v>4161</v>
      </c>
      <c r="D1350" s="10" t="s">
        <v>2450</v>
      </c>
      <c r="E1350" s="10" t="s">
        <v>4047</v>
      </c>
      <c r="F1350" s="10" t="s">
        <v>4136</v>
      </c>
      <c r="G1350" s="10" t="s">
        <v>4162</v>
      </c>
      <c r="H1350" s="10"/>
      <c r="I1350" s="11">
        <v>7799.0</v>
      </c>
      <c r="J1350" s="11">
        <v>12499.0</v>
      </c>
      <c r="K1350" s="12">
        <f t="shared" si="1"/>
        <v>0.3760300824</v>
      </c>
      <c r="L1350" s="13">
        <f>IFERROR(__xludf.DUMMYFUNCTION("GOOGLEFINANCE(""CURRENCY:INRBRL"") * I1350
"),459.21817848962)</f>
        <v>459.2181785</v>
      </c>
      <c r="M1350" s="9">
        <v>4.0</v>
      </c>
      <c r="N1350" s="9">
        <v>516.0</v>
      </c>
      <c r="O1350" s="9" t="s">
        <v>5480</v>
      </c>
      <c r="P1350" s="14" t="s">
        <v>5481</v>
      </c>
      <c r="U1350" s="17"/>
      <c r="V1350" s="18"/>
      <c r="W1350" s="16"/>
      <c r="X1350" s="16"/>
      <c r="Y1350" s="16"/>
    </row>
    <row r="1351">
      <c r="A1351" s="9" t="s">
        <v>5482</v>
      </c>
      <c r="B1351" s="10" t="s">
        <v>5483</v>
      </c>
      <c r="C1351" s="10" t="s">
        <v>4037</v>
      </c>
      <c r="D1351" s="10" t="s">
        <v>2450</v>
      </c>
      <c r="E1351" s="10" t="s">
        <v>4038</v>
      </c>
      <c r="F1351" s="10" t="s">
        <v>4039</v>
      </c>
      <c r="G1351" s="10" t="s">
        <v>4040</v>
      </c>
      <c r="H1351" s="10" t="s">
        <v>4041</v>
      </c>
      <c r="I1351" s="11">
        <v>949.0</v>
      </c>
      <c r="J1351" s="11">
        <v>2385.0</v>
      </c>
      <c r="K1351" s="12">
        <f t="shared" si="1"/>
        <v>0.6020964361</v>
      </c>
      <c r="L1351" s="13">
        <f>IFERROR(__xludf.DUMMYFUNCTION("GOOGLEFINANCE(""CURRENCY:INRBRL"") * I1351
"),55.87870898662)</f>
        <v>55.87870899</v>
      </c>
      <c r="M1351" s="9">
        <v>4.49</v>
      </c>
      <c r="N1351" s="9">
        <v>2311.0</v>
      </c>
      <c r="O1351" s="9" t="s">
        <v>5484</v>
      </c>
      <c r="P1351" s="14" t="s">
        <v>5485</v>
      </c>
      <c r="U1351" s="17"/>
      <c r="V1351" s="18"/>
      <c r="W1351" s="16"/>
      <c r="X1351" s="16"/>
      <c r="Y1351" s="16"/>
    </row>
    <row r="1352">
      <c r="A1352" s="9" t="s">
        <v>5486</v>
      </c>
      <c r="B1352" s="10" t="s">
        <v>5487</v>
      </c>
      <c r="C1352" s="10" t="s">
        <v>4135</v>
      </c>
      <c r="D1352" s="10" t="s">
        <v>2450</v>
      </c>
      <c r="E1352" s="10" t="s">
        <v>4047</v>
      </c>
      <c r="F1352" s="10" t="s">
        <v>4136</v>
      </c>
      <c r="G1352" s="10" t="s">
        <v>4137</v>
      </c>
      <c r="H1352" s="10"/>
      <c r="I1352" s="11">
        <v>2799.0</v>
      </c>
      <c r="J1352" s="11">
        <v>4899.0</v>
      </c>
      <c r="K1352" s="12">
        <f t="shared" si="1"/>
        <v>0.42865891</v>
      </c>
      <c r="L1352" s="13">
        <f>IFERROR(__xludf.DUMMYFUNCTION("GOOGLEFINANCE(""CURRENCY:INRBRL"") * I1352
"),164.80980658962)</f>
        <v>164.8098066</v>
      </c>
      <c r="M1352" s="9">
        <v>4.52</v>
      </c>
      <c r="N1352" s="9">
        <v>588.0</v>
      </c>
      <c r="O1352" s="9" t="s">
        <v>5488</v>
      </c>
      <c r="P1352" s="14" t="s">
        <v>5489</v>
      </c>
      <c r="U1352" s="17"/>
      <c r="V1352" s="18"/>
      <c r="W1352" s="16"/>
      <c r="X1352" s="16"/>
      <c r="Y1352" s="16"/>
    </row>
    <row r="1353">
      <c r="A1353" s="9" t="s">
        <v>5490</v>
      </c>
      <c r="B1353" s="10" t="s">
        <v>5491</v>
      </c>
      <c r="C1353" s="10" t="s">
        <v>4123</v>
      </c>
      <c r="D1353" s="10" t="s">
        <v>2450</v>
      </c>
      <c r="E1353" s="10" t="s">
        <v>4038</v>
      </c>
      <c r="F1353" s="10" t="s">
        <v>4061</v>
      </c>
      <c r="G1353" s="10" t="s">
        <v>4062</v>
      </c>
      <c r="H1353" s="10" t="s">
        <v>4124</v>
      </c>
      <c r="I1353" s="11">
        <v>645.0</v>
      </c>
      <c r="J1353" s="11">
        <v>1099.0</v>
      </c>
      <c r="K1353" s="12">
        <f t="shared" si="1"/>
        <v>0.4131028207</v>
      </c>
      <c r="L1353" s="13">
        <f>IFERROR(__xludf.DUMMYFUNCTION("GOOGLEFINANCE(""CURRENCY:INRBRL"") * I1353
"),37.9786799751)</f>
        <v>37.97867998</v>
      </c>
      <c r="M1353" s="9">
        <v>4.0</v>
      </c>
      <c r="N1353" s="9">
        <v>3271.0</v>
      </c>
      <c r="O1353" s="9" t="s">
        <v>5492</v>
      </c>
      <c r="P1353" s="14" t="s">
        <v>5493</v>
      </c>
      <c r="U1353" s="17"/>
      <c r="V1353" s="18"/>
      <c r="W1353" s="16"/>
      <c r="X1353" s="16"/>
      <c r="Y1353" s="16"/>
    </row>
    <row r="1354">
      <c r="A1354" s="9" t="s">
        <v>5494</v>
      </c>
      <c r="B1354" s="10" t="s">
        <v>5495</v>
      </c>
      <c r="C1354" s="10" t="s">
        <v>4129</v>
      </c>
      <c r="D1354" s="10" t="s">
        <v>2450</v>
      </c>
      <c r="E1354" s="10" t="s">
        <v>4038</v>
      </c>
      <c r="F1354" s="10" t="s">
        <v>4039</v>
      </c>
      <c r="G1354" s="10" t="s">
        <v>4130</v>
      </c>
      <c r="H1354" s="10"/>
      <c r="I1354" s="11">
        <v>2237.81</v>
      </c>
      <c r="J1354" s="11">
        <v>3899.0</v>
      </c>
      <c r="K1354" s="12">
        <f t="shared" si="1"/>
        <v>0.4260553988</v>
      </c>
      <c r="L1354" s="13">
        <f>IFERROR(__xludf.DUMMYFUNCTION("GOOGLEFINANCE(""CURRENCY:INRBRL"") * I1354
"),131.7659997443078)</f>
        <v>131.7659997</v>
      </c>
      <c r="M1354" s="9">
        <v>4.52</v>
      </c>
      <c r="N1354" s="9">
        <v>11004.0</v>
      </c>
      <c r="O1354" s="9" t="s">
        <v>5496</v>
      </c>
      <c r="P1354" s="14" t="s">
        <v>5497</v>
      </c>
      <c r="U1354" s="17"/>
      <c r="V1354" s="18"/>
      <c r="W1354" s="16"/>
      <c r="X1354" s="16"/>
      <c r="Y1354" s="16"/>
    </row>
    <row r="1355">
      <c r="A1355" s="9" t="s">
        <v>5498</v>
      </c>
      <c r="B1355" s="10" t="s">
        <v>5499</v>
      </c>
      <c r="C1355" s="10" t="s">
        <v>4161</v>
      </c>
      <c r="D1355" s="10" t="s">
        <v>2450</v>
      </c>
      <c r="E1355" s="10" t="s">
        <v>4047</v>
      </c>
      <c r="F1355" s="10" t="s">
        <v>4136</v>
      </c>
      <c r="G1355" s="10" t="s">
        <v>4162</v>
      </c>
      <c r="H1355" s="10"/>
      <c r="I1355" s="11">
        <v>8699.0</v>
      </c>
      <c r="J1355" s="11">
        <v>16899.0</v>
      </c>
      <c r="K1355" s="12">
        <f t="shared" si="1"/>
        <v>0.4852358128</v>
      </c>
      <c r="L1355" s="13">
        <f>IFERROR(__xludf.DUMMYFUNCTION("GOOGLEFINANCE(""CURRENCY:INRBRL"") * I1355
"),512.21168543162)</f>
        <v>512.2116854</v>
      </c>
      <c r="M1355" s="9">
        <v>4.5</v>
      </c>
      <c r="N1355" s="9">
        <v>3195.0</v>
      </c>
      <c r="O1355" s="9" t="s">
        <v>5500</v>
      </c>
      <c r="P1355" s="14" t="s">
        <v>5501</v>
      </c>
      <c r="U1355" s="17"/>
      <c r="V1355" s="18"/>
      <c r="W1355" s="16"/>
      <c r="X1355" s="16"/>
      <c r="Y1355" s="16"/>
    </row>
    <row r="1356">
      <c r="A1356" s="9" t="s">
        <v>5502</v>
      </c>
      <c r="B1356" s="10" t="s">
        <v>5503</v>
      </c>
      <c r="C1356" s="10" t="s">
        <v>5504</v>
      </c>
      <c r="D1356" s="10" t="s">
        <v>2450</v>
      </c>
      <c r="E1356" s="10" t="s">
        <v>4047</v>
      </c>
      <c r="F1356" s="10" t="s">
        <v>5505</v>
      </c>
      <c r="G1356" s="10" t="s">
        <v>5506</v>
      </c>
      <c r="H1356" s="10"/>
      <c r="I1356" s="11">
        <v>42989.0</v>
      </c>
      <c r="J1356" s="11">
        <v>75989.0</v>
      </c>
      <c r="K1356" s="12">
        <f t="shared" si="1"/>
        <v>0.4342733817</v>
      </c>
      <c r="L1356" s="13">
        <f>IFERROR(__xludf.DUMMYFUNCTION("GOOGLEFINANCE(""CURRENCY:INRBRL"") * I1356
"),2531.26429992182)</f>
        <v>2531.2643</v>
      </c>
      <c r="M1356" s="9">
        <v>4.5</v>
      </c>
      <c r="N1356" s="9">
        <v>3231.0</v>
      </c>
      <c r="O1356" s="9" t="s">
        <v>5507</v>
      </c>
      <c r="P1356" s="14" t="s">
        <v>5508</v>
      </c>
      <c r="U1356" s="17"/>
      <c r="V1356" s="18"/>
      <c r="W1356" s="16"/>
      <c r="X1356" s="16"/>
      <c r="Y1356" s="16"/>
    </row>
    <row r="1357">
      <c r="A1357" s="9" t="s">
        <v>5509</v>
      </c>
      <c r="B1357" s="10" t="s">
        <v>5510</v>
      </c>
      <c r="C1357" s="10" t="s">
        <v>4544</v>
      </c>
      <c r="D1357" s="10" t="s">
        <v>2450</v>
      </c>
      <c r="E1357" s="10" t="s">
        <v>4038</v>
      </c>
      <c r="F1357" s="10" t="s">
        <v>4545</v>
      </c>
      <c r="G1357" s="10" t="s">
        <v>4546</v>
      </c>
      <c r="H1357" s="10"/>
      <c r="I1357" s="11">
        <v>825.0</v>
      </c>
      <c r="J1357" s="11">
        <v>825.0</v>
      </c>
      <c r="K1357" s="12">
        <f t="shared" si="1"/>
        <v>0</v>
      </c>
      <c r="L1357" s="13">
        <f>IFERROR(__xludf.DUMMYFUNCTION("GOOGLEFINANCE(""CURRENCY:INRBRL"") * I1357
"),48.577381363499995)</f>
        <v>48.57738136</v>
      </c>
      <c r="M1357" s="9">
        <v>4.0</v>
      </c>
      <c r="N1357" s="9">
        <v>3246.0</v>
      </c>
      <c r="O1357" s="9" t="s">
        <v>5511</v>
      </c>
      <c r="P1357" s="14" t="s">
        <v>5512</v>
      </c>
      <c r="U1357" s="17"/>
      <c r="V1357" s="18"/>
      <c r="W1357" s="16"/>
      <c r="X1357" s="16"/>
      <c r="Y1357" s="16"/>
    </row>
    <row r="1358">
      <c r="A1358" s="9" t="s">
        <v>5513</v>
      </c>
      <c r="B1358" s="10" t="s">
        <v>5514</v>
      </c>
      <c r="C1358" s="10" t="s">
        <v>4386</v>
      </c>
      <c r="D1358" s="10" t="s">
        <v>2450</v>
      </c>
      <c r="E1358" s="10" t="s">
        <v>4038</v>
      </c>
      <c r="F1358" s="10" t="s">
        <v>4039</v>
      </c>
      <c r="G1358" s="10" t="s">
        <v>4387</v>
      </c>
      <c r="H1358" s="10"/>
      <c r="I1358" s="11">
        <v>161.0</v>
      </c>
      <c r="J1358" s="11">
        <v>300.0</v>
      </c>
      <c r="K1358" s="12">
        <f t="shared" si="1"/>
        <v>0.4633333333</v>
      </c>
      <c r="L1358" s="13">
        <f>IFERROR(__xludf.DUMMYFUNCTION("GOOGLEFINANCE(""CURRENCY:INRBRL"") * I1358
"),9.47994957518)</f>
        <v>9.479949575</v>
      </c>
      <c r="M1358" s="9">
        <v>4.51</v>
      </c>
      <c r="N1358" s="9">
        <v>24.0</v>
      </c>
      <c r="O1358" s="9" t="s">
        <v>5515</v>
      </c>
      <c r="P1358" s="14" t="s">
        <v>5516</v>
      </c>
      <c r="U1358" s="17"/>
      <c r="V1358" s="18"/>
      <c r="W1358" s="16"/>
      <c r="X1358" s="16"/>
      <c r="Y1358" s="16"/>
    </row>
    <row r="1359">
      <c r="A1359" s="9" t="s">
        <v>5517</v>
      </c>
      <c r="B1359" s="10" t="s">
        <v>5518</v>
      </c>
      <c r="C1359" s="10" t="s">
        <v>4099</v>
      </c>
      <c r="D1359" s="10" t="s">
        <v>2450</v>
      </c>
      <c r="E1359" s="10" t="s">
        <v>4038</v>
      </c>
      <c r="F1359" s="10" t="s">
        <v>4039</v>
      </c>
      <c r="G1359" s="10" t="s">
        <v>4100</v>
      </c>
      <c r="H1359" s="10"/>
      <c r="I1359" s="11">
        <v>697.0</v>
      </c>
      <c r="J1359" s="11">
        <v>1499.0</v>
      </c>
      <c r="K1359" s="12">
        <f t="shared" si="1"/>
        <v>0.5350233489</v>
      </c>
      <c r="L1359" s="13">
        <f>IFERROR(__xludf.DUMMYFUNCTION("GOOGLEFINANCE(""CURRENCY:INRBRL"") * I1359
"),41.04052704286)</f>
        <v>41.04052704</v>
      </c>
      <c r="M1359" s="9">
        <v>4.51</v>
      </c>
      <c r="N1359" s="9">
        <v>144.0</v>
      </c>
      <c r="O1359" s="9" t="s">
        <v>5519</v>
      </c>
      <c r="P1359" s="14" t="s">
        <v>5520</v>
      </c>
      <c r="U1359" s="17"/>
      <c r="V1359" s="18"/>
      <c r="W1359" s="16"/>
      <c r="X1359" s="16"/>
      <c r="Y1359" s="16"/>
    </row>
    <row r="1360">
      <c r="A1360" s="9" t="s">
        <v>5521</v>
      </c>
      <c r="B1360" s="10" t="s">
        <v>5522</v>
      </c>
      <c r="C1360" s="10" t="s">
        <v>5523</v>
      </c>
      <c r="D1360" s="10" t="s">
        <v>2450</v>
      </c>
      <c r="E1360" s="10" t="s">
        <v>4038</v>
      </c>
      <c r="F1360" s="10" t="s">
        <v>4039</v>
      </c>
      <c r="G1360" s="10" t="s">
        <v>5298</v>
      </c>
      <c r="H1360" s="10"/>
      <c r="I1360" s="11">
        <v>688.0</v>
      </c>
      <c r="J1360" s="11">
        <v>747.0</v>
      </c>
      <c r="K1360" s="12">
        <f t="shared" si="1"/>
        <v>0.07898259705</v>
      </c>
      <c r="L1360" s="13">
        <f>IFERROR(__xludf.DUMMYFUNCTION("GOOGLEFINANCE(""CURRENCY:INRBRL"") * I1360
"),40.51059197344)</f>
        <v>40.51059197</v>
      </c>
      <c r="M1360" s="9">
        <v>4.51</v>
      </c>
      <c r="N1360" s="9">
        <v>228.0</v>
      </c>
      <c r="O1360" s="9" t="s">
        <v>5524</v>
      </c>
      <c r="P1360" s="14" t="s">
        <v>5525</v>
      </c>
      <c r="U1360" s="17"/>
      <c r="V1360" s="18"/>
      <c r="W1360" s="16"/>
      <c r="X1360" s="16"/>
      <c r="Y1360" s="16"/>
    </row>
    <row r="1361">
      <c r="A1361" s="9" t="s">
        <v>5526</v>
      </c>
      <c r="B1361" s="10" t="s">
        <v>5527</v>
      </c>
      <c r="C1361" s="10" t="s">
        <v>4438</v>
      </c>
      <c r="D1361" s="10" t="s">
        <v>2450</v>
      </c>
      <c r="E1361" s="10" t="s">
        <v>4047</v>
      </c>
      <c r="F1361" s="10" t="s">
        <v>4048</v>
      </c>
      <c r="G1361" s="10" t="s">
        <v>4439</v>
      </c>
      <c r="H1361" s="10"/>
      <c r="I1361" s="11">
        <v>2199.0</v>
      </c>
      <c r="J1361" s="11">
        <v>3999.0</v>
      </c>
      <c r="K1361" s="12">
        <f t="shared" si="1"/>
        <v>0.4501125281</v>
      </c>
      <c r="L1361" s="13">
        <f>IFERROR(__xludf.DUMMYFUNCTION("GOOGLEFINANCE(""CURRENCY:INRBRL"") * I1361
"),129.48080196162)</f>
        <v>129.480802</v>
      </c>
      <c r="M1361" s="9">
        <v>4.5</v>
      </c>
      <c r="N1361" s="9">
        <v>340.0</v>
      </c>
      <c r="O1361" s="9" t="s">
        <v>5528</v>
      </c>
      <c r="P1361" s="14" t="s">
        <v>5529</v>
      </c>
      <c r="U1361" s="17"/>
      <c r="V1361" s="18"/>
      <c r="W1361" s="16"/>
      <c r="X1361" s="16"/>
      <c r="Y1361" s="16"/>
    </row>
    <row r="1362">
      <c r="A1362" s="9" t="s">
        <v>5530</v>
      </c>
      <c r="B1362" s="10" t="s">
        <v>5531</v>
      </c>
      <c r="C1362" s="10" t="s">
        <v>4054</v>
      </c>
      <c r="D1362" s="10" t="s">
        <v>2450</v>
      </c>
      <c r="E1362" s="10" t="s">
        <v>4047</v>
      </c>
      <c r="F1362" s="10" t="s">
        <v>4048</v>
      </c>
      <c r="G1362" s="10" t="s">
        <v>4055</v>
      </c>
      <c r="H1362" s="10"/>
      <c r="I1362" s="11">
        <v>6849.0</v>
      </c>
      <c r="J1362" s="11">
        <v>11989.0</v>
      </c>
      <c r="K1362" s="12">
        <f t="shared" si="1"/>
        <v>0.4287263325</v>
      </c>
      <c r="L1362" s="13">
        <f>IFERROR(__xludf.DUMMYFUNCTION("GOOGLEFINANCE(""CURRENCY:INRBRL"") * I1362
"),403.28058782862)</f>
        <v>403.2805878</v>
      </c>
      <c r="M1362" s="9">
        <v>4.52</v>
      </c>
      <c r="N1362" s="9">
        <v>144.0</v>
      </c>
      <c r="O1362" s="9" t="s">
        <v>5532</v>
      </c>
      <c r="P1362" s="14" t="s">
        <v>5533</v>
      </c>
      <c r="U1362" s="17"/>
      <c r="V1362" s="18"/>
      <c r="W1362" s="16"/>
      <c r="X1362" s="16"/>
      <c r="Y1362" s="16"/>
    </row>
    <row r="1363">
      <c r="A1363" s="9" t="s">
        <v>5534</v>
      </c>
      <c r="B1363" s="10" t="s">
        <v>5535</v>
      </c>
      <c r="C1363" s="10" t="s">
        <v>4135</v>
      </c>
      <c r="D1363" s="10" t="s">
        <v>2450</v>
      </c>
      <c r="E1363" s="10" t="s">
        <v>4047</v>
      </c>
      <c r="F1363" s="10" t="s">
        <v>4136</v>
      </c>
      <c r="G1363" s="10" t="s">
        <v>4137</v>
      </c>
      <c r="H1363" s="10"/>
      <c r="I1363" s="11">
        <v>2699.0</v>
      </c>
      <c r="J1363" s="11">
        <v>3799.0</v>
      </c>
      <c r="K1363" s="12">
        <f t="shared" si="1"/>
        <v>0.2895498815</v>
      </c>
      <c r="L1363" s="13">
        <f>IFERROR(__xludf.DUMMYFUNCTION("GOOGLEFINANCE(""CURRENCY:INRBRL"") * I1363
"),158.92163915161998)</f>
        <v>158.9216392</v>
      </c>
      <c r="M1363" s="9">
        <v>4.0</v>
      </c>
      <c r="N1363" s="9">
        <v>727.0</v>
      </c>
      <c r="O1363" s="9" t="s">
        <v>5536</v>
      </c>
      <c r="P1363" s="14" t="s">
        <v>5537</v>
      </c>
      <c r="U1363" s="17"/>
      <c r="V1363" s="18"/>
      <c r="W1363" s="16"/>
      <c r="X1363" s="16"/>
      <c r="Y1363" s="16"/>
    </row>
    <row r="1364">
      <c r="A1364" s="9" t="s">
        <v>5538</v>
      </c>
      <c r="B1364" s="10" t="s">
        <v>5539</v>
      </c>
      <c r="C1364" s="10" t="s">
        <v>5540</v>
      </c>
      <c r="D1364" s="10" t="s">
        <v>2450</v>
      </c>
      <c r="E1364" s="10" t="s">
        <v>4038</v>
      </c>
      <c r="F1364" s="10" t="s">
        <v>4039</v>
      </c>
      <c r="G1364" s="10" t="s">
        <v>5541</v>
      </c>
      <c r="H1364" s="10"/>
      <c r="I1364" s="11">
        <v>899.0</v>
      </c>
      <c r="J1364" s="11">
        <v>1999.0</v>
      </c>
      <c r="K1364" s="12">
        <f t="shared" si="1"/>
        <v>0.5502751376</v>
      </c>
      <c r="L1364" s="13">
        <f>IFERROR(__xludf.DUMMYFUNCTION("GOOGLEFINANCE(""CURRENCY:INRBRL"") * I1364
"),52.93462526762)</f>
        <v>52.93462527</v>
      </c>
      <c r="M1364" s="9">
        <v>4.0</v>
      </c>
      <c r="N1364" s="9">
        <v>832.0</v>
      </c>
      <c r="O1364" s="9" t="s">
        <v>5542</v>
      </c>
      <c r="P1364" s="14" t="s">
        <v>5543</v>
      </c>
      <c r="U1364" s="17"/>
      <c r="V1364" s="18"/>
      <c r="W1364" s="16"/>
      <c r="X1364" s="16"/>
      <c r="Y1364" s="16"/>
    </row>
    <row r="1365">
      <c r="A1365" s="9" t="s">
        <v>5544</v>
      </c>
      <c r="B1365" s="10" t="s">
        <v>5545</v>
      </c>
      <c r="C1365" s="10" t="s">
        <v>4054</v>
      </c>
      <c r="D1365" s="10" t="s">
        <v>2450</v>
      </c>
      <c r="E1365" s="10" t="s">
        <v>4047</v>
      </c>
      <c r="F1365" s="10" t="s">
        <v>4048</v>
      </c>
      <c r="G1365" s="10" t="s">
        <v>4055</v>
      </c>
      <c r="H1365" s="10"/>
      <c r="I1365" s="11">
        <v>1089.0</v>
      </c>
      <c r="J1365" s="11">
        <v>2999.0</v>
      </c>
      <c r="K1365" s="12">
        <f t="shared" si="1"/>
        <v>0.6368789597</v>
      </c>
      <c r="L1365" s="13">
        <f>IFERROR(__xludf.DUMMYFUNCTION("GOOGLEFINANCE(""CURRENCY:INRBRL"") * I1365
"),64.12214339982)</f>
        <v>64.1221434</v>
      </c>
      <c r="M1365" s="9">
        <v>4.5</v>
      </c>
      <c r="N1365" s="9">
        <v>57.0</v>
      </c>
      <c r="O1365" s="9" t="s">
        <v>5546</v>
      </c>
      <c r="P1365" s="14" t="s">
        <v>5547</v>
      </c>
      <c r="U1365" s="17"/>
      <c r="V1365" s="18"/>
      <c r="W1365" s="16"/>
      <c r="X1365" s="16"/>
      <c r="Y1365" s="16"/>
    </row>
    <row r="1366">
      <c r="A1366" s="9" t="s">
        <v>5548</v>
      </c>
      <c r="B1366" s="10" t="s">
        <v>5549</v>
      </c>
      <c r="C1366" s="10" t="s">
        <v>4068</v>
      </c>
      <c r="D1366" s="10" t="s">
        <v>2450</v>
      </c>
      <c r="E1366" s="10" t="s">
        <v>4038</v>
      </c>
      <c r="F1366" s="10" t="s">
        <v>4039</v>
      </c>
      <c r="G1366" s="10" t="s">
        <v>4069</v>
      </c>
      <c r="H1366" s="10"/>
      <c r="I1366" s="11">
        <v>295.0</v>
      </c>
      <c r="J1366" s="11">
        <v>599.0</v>
      </c>
      <c r="K1366" s="12">
        <f t="shared" si="1"/>
        <v>0.5075125209</v>
      </c>
      <c r="L1366" s="13">
        <f>IFERROR(__xludf.DUMMYFUNCTION("GOOGLEFINANCE(""CURRENCY:INRBRL"") * I1366
"),17.3700939421)</f>
        <v>17.37009394</v>
      </c>
      <c r="M1366" s="9">
        <v>4.0</v>
      </c>
      <c r="N1366" s="9">
        <v>1644.0</v>
      </c>
      <c r="O1366" s="9" t="s">
        <v>5550</v>
      </c>
      <c r="P1366" s="14" t="s">
        <v>5551</v>
      </c>
      <c r="U1366" s="17"/>
      <c r="V1366" s="18"/>
      <c r="W1366" s="16"/>
      <c r="X1366" s="16"/>
      <c r="Y1366" s="16"/>
    </row>
    <row r="1367">
      <c r="A1367" s="9" t="s">
        <v>5552</v>
      </c>
      <c r="B1367" s="10" t="s">
        <v>5553</v>
      </c>
      <c r="C1367" s="10" t="s">
        <v>4155</v>
      </c>
      <c r="D1367" s="10" t="s">
        <v>2450</v>
      </c>
      <c r="E1367" s="10" t="s">
        <v>4038</v>
      </c>
      <c r="F1367" s="10" t="s">
        <v>4039</v>
      </c>
      <c r="G1367" s="10" t="s">
        <v>4040</v>
      </c>
      <c r="H1367" s="10" t="s">
        <v>4156</v>
      </c>
      <c r="I1367" s="11">
        <v>479.0</v>
      </c>
      <c r="J1367" s="11">
        <v>1999.0</v>
      </c>
      <c r="K1367" s="12">
        <f t="shared" si="1"/>
        <v>0.7603801901</v>
      </c>
      <c r="L1367" s="13">
        <f>IFERROR(__xludf.DUMMYFUNCTION("GOOGLEFINANCE(""CURRENCY:INRBRL"") * I1367
"),28.204322028019998)</f>
        <v>28.20432203</v>
      </c>
      <c r="M1367" s="9">
        <v>4.5</v>
      </c>
      <c r="N1367" s="9">
        <v>1066.0</v>
      </c>
      <c r="O1367" s="9" t="s">
        <v>5554</v>
      </c>
      <c r="P1367" s="14" t="s">
        <v>5555</v>
      </c>
      <c r="U1367" s="17"/>
      <c r="V1367" s="18"/>
      <c r="W1367" s="16"/>
      <c r="X1367" s="16"/>
      <c r="Y1367" s="16"/>
    </row>
    <row r="1368">
      <c r="A1368" s="9" t="s">
        <v>5556</v>
      </c>
      <c r="B1368" s="10" t="s">
        <v>5557</v>
      </c>
      <c r="C1368" s="10" t="s">
        <v>4135</v>
      </c>
      <c r="D1368" s="10" t="s">
        <v>2450</v>
      </c>
      <c r="E1368" s="10" t="s">
        <v>4047</v>
      </c>
      <c r="F1368" s="10" t="s">
        <v>4136</v>
      </c>
      <c r="G1368" s="10" t="s">
        <v>4137</v>
      </c>
      <c r="H1368" s="10"/>
      <c r="I1368" s="11">
        <v>2949.0</v>
      </c>
      <c r="J1368" s="11">
        <v>4849.0</v>
      </c>
      <c r="K1368" s="12">
        <f t="shared" si="1"/>
        <v>0.3918333677</v>
      </c>
      <c r="L1368" s="13">
        <f>IFERROR(__xludf.DUMMYFUNCTION("GOOGLEFINANCE(""CURRENCY:INRBRL"") * I1368
"),173.64205774662)</f>
        <v>173.6420577</v>
      </c>
      <c r="M1368" s="9">
        <v>4.5</v>
      </c>
      <c r="N1368" s="9">
        <v>7968.0</v>
      </c>
      <c r="O1368" s="9" t="s">
        <v>5558</v>
      </c>
      <c r="P1368" s="14" t="s">
        <v>5559</v>
      </c>
      <c r="U1368" s="17"/>
      <c r="V1368" s="18"/>
      <c r="W1368" s="16"/>
      <c r="X1368" s="16"/>
      <c r="Y1368" s="16"/>
    </row>
    <row r="1369">
      <c r="A1369" s="9" t="s">
        <v>5560</v>
      </c>
      <c r="B1369" s="10" t="s">
        <v>5561</v>
      </c>
      <c r="C1369" s="10" t="s">
        <v>4191</v>
      </c>
      <c r="D1369" s="10" t="s">
        <v>2450</v>
      </c>
      <c r="E1369" s="10" t="s">
        <v>4047</v>
      </c>
      <c r="F1369" s="10" t="s">
        <v>4136</v>
      </c>
      <c r="G1369" s="10" t="s">
        <v>4192</v>
      </c>
      <c r="H1369" s="10"/>
      <c r="I1369" s="11">
        <v>335.0</v>
      </c>
      <c r="J1369" s="11">
        <v>510.0</v>
      </c>
      <c r="K1369" s="12">
        <f t="shared" si="1"/>
        <v>0.3431372549</v>
      </c>
      <c r="L1369" s="13">
        <f>IFERROR(__xludf.DUMMYFUNCTION("GOOGLEFINANCE(""CURRENCY:INRBRL"") * I1369
"),19.725360917299998)</f>
        <v>19.72536092</v>
      </c>
      <c r="M1369" s="9">
        <v>4.51</v>
      </c>
      <c r="N1369" s="9">
        <v>3195.0</v>
      </c>
      <c r="O1369" s="9" t="s">
        <v>5562</v>
      </c>
      <c r="P1369" s="14" t="s">
        <v>5563</v>
      </c>
      <c r="U1369" s="17"/>
      <c r="V1369" s="18"/>
      <c r="W1369" s="16"/>
      <c r="X1369" s="16"/>
      <c r="Y1369" s="16"/>
    </row>
    <row r="1370">
      <c r="A1370" s="9" t="s">
        <v>5564</v>
      </c>
      <c r="B1370" s="10" t="s">
        <v>5565</v>
      </c>
      <c r="C1370" s="10" t="s">
        <v>4534</v>
      </c>
      <c r="D1370" s="10" t="s">
        <v>2450</v>
      </c>
      <c r="E1370" s="10" t="s">
        <v>4038</v>
      </c>
      <c r="F1370" s="10" t="s">
        <v>4493</v>
      </c>
      <c r="G1370" s="10" t="s">
        <v>4535</v>
      </c>
      <c r="H1370" s="10"/>
      <c r="I1370" s="11">
        <v>293.0</v>
      </c>
      <c r="J1370" s="11">
        <v>499.0</v>
      </c>
      <c r="K1370" s="12">
        <f t="shared" si="1"/>
        <v>0.4128256513</v>
      </c>
      <c r="L1370" s="13">
        <f>IFERROR(__xludf.DUMMYFUNCTION("GOOGLEFINANCE(""CURRENCY:INRBRL"") * I1370
"),17.252330593339998)</f>
        <v>17.25233059</v>
      </c>
      <c r="M1370" s="9">
        <v>4.49</v>
      </c>
      <c r="N1370" s="9">
        <v>1456.0</v>
      </c>
      <c r="O1370" s="9" t="s">
        <v>5566</v>
      </c>
      <c r="P1370" s="14" t="s">
        <v>5567</v>
      </c>
      <c r="U1370" s="17"/>
      <c r="V1370" s="18"/>
      <c r="W1370" s="16"/>
      <c r="X1370" s="16"/>
      <c r="Y1370" s="16"/>
    </row>
    <row r="1371">
      <c r="A1371" s="9" t="s">
        <v>5568</v>
      </c>
      <c r="B1371" s="10" t="s">
        <v>5569</v>
      </c>
      <c r="C1371" s="10" t="s">
        <v>5570</v>
      </c>
      <c r="D1371" s="10" t="s">
        <v>2450</v>
      </c>
      <c r="E1371" s="10" t="s">
        <v>4038</v>
      </c>
      <c r="F1371" s="10" t="s">
        <v>4493</v>
      </c>
      <c r="G1371" s="10" t="s">
        <v>5571</v>
      </c>
      <c r="H1371" s="10"/>
      <c r="I1371" s="11">
        <v>599.0</v>
      </c>
      <c r="J1371" s="11">
        <v>1299.0</v>
      </c>
      <c r="K1371" s="12">
        <f t="shared" si="1"/>
        <v>0.5388760585</v>
      </c>
      <c r="L1371" s="13">
        <f>IFERROR(__xludf.DUMMYFUNCTION("GOOGLEFINANCE(""CURRENCY:INRBRL"") * I1371
"),35.270122953619996)</f>
        <v>35.27012295</v>
      </c>
      <c r="M1371" s="9">
        <v>4.5</v>
      </c>
      <c r="N1371" s="9">
        <v>590.0</v>
      </c>
      <c r="O1371" s="9" t="s">
        <v>5572</v>
      </c>
      <c r="P1371" s="14" t="s">
        <v>5573</v>
      </c>
      <c r="U1371" s="17"/>
      <c r="V1371" s="18"/>
      <c r="W1371" s="16"/>
      <c r="X1371" s="16"/>
      <c r="Y1371" s="16"/>
    </row>
    <row r="1372">
      <c r="A1372" s="9" t="s">
        <v>5574</v>
      </c>
      <c r="B1372" s="10" t="s">
        <v>5575</v>
      </c>
      <c r="C1372" s="10" t="s">
        <v>4544</v>
      </c>
      <c r="D1372" s="10" t="s">
        <v>2450</v>
      </c>
      <c r="E1372" s="10" t="s">
        <v>4038</v>
      </c>
      <c r="F1372" s="10" t="s">
        <v>4545</v>
      </c>
      <c r="G1372" s="10" t="s">
        <v>4546</v>
      </c>
      <c r="H1372" s="10"/>
      <c r="I1372" s="11">
        <v>499.0</v>
      </c>
      <c r="J1372" s="11">
        <v>999.0</v>
      </c>
      <c r="K1372" s="12">
        <f t="shared" si="1"/>
        <v>0.5005005005</v>
      </c>
      <c r="L1372" s="13">
        <f>IFERROR(__xludf.DUMMYFUNCTION("GOOGLEFINANCE(""CURRENCY:INRBRL"") * I1372
"),29.38195551562)</f>
        <v>29.38195552</v>
      </c>
      <c r="M1372" s="9">
        <v>4.5</v>
      </c>
      <c r="N1372" s="9">
        <v>1436.0</v>
      </c>
      <c r="O1372" s="9" t="s">
        <v>5576</v>
      </c>
      <c r="P1372" s="14" t="s">
        <v>5577</v>
      </c>
      <c r="U1372" s="17"/>
      <c r="V1372" s="18"/>
      <c r="W1372" s="16"/>
      <c r="X1372" s="16"/>
      <c r="Y1372" s="16"/>
    </row>
    <row r="1373">
      <c r="A1373" s="9" t="s">
        <v>5578</v>
      </c>
      <c r="B1373" s="10" t="s">
        <v>5579</v>
      </c>
      <c r="C1373" s="10" t="s">
        <v>4123</v>
      </c>
      <c r="D1373" s="10" t="s">
        <v>2450</v>
      </c>
      <c r="E1373" s="10" t="s">
        <v>4038</v>
      </c>
      <c r="F1373" s="10" t="s">
        <v>4061</v>
      </c>
      <c r="G1373" s="10" t="s">
        <v>4062</v>
      </c>
      <c r="H1373" s="10" t="s">
        <v>4124</v>
      </c>
      <c r="I1373" s="11">
        <v>849.0</v>
      </c>
      <c r="J1373" s="11">
        <v>1189.0</v>
      </c>
      <c r="K1373" s="12">
        <f t="shared" si="1"/>
        <v>0.2859545837</v>
      </c>
      <c r="L1373" s="13">
        <f>IFERROR(__xludf.DUMMYFUNCTION("GOOGLEFINANCE(""CURRENCY:INRBRL"") * I1373
"),49.99054154862)</f>
        <v>49.99054155</v>
      </c>
      <c r="M1373" s="9">
        <v>4.5</v>
      </c>
      <c r="N1373" s="9">
        <v>4184.0</v>
      </c>
      <c r="O1373" s="9" t="s">
        <v>5580</v>
      </c>
      <c r="P1373" s="14" t="s">
        <v>5581</v>
      </c>
      <c r="U1373" s="17"/>
      <c r="V1373" s="18"/>
      <c r="W1373" s="16"/>
      <c r="X1373" s="16"/>
      <c r="Y1373" s="16"/>
    </row>
    <row r="1374">
      <c r="A1374" s="9" t="s">
        <v>5582</v>
      </c>
      <c r="B1374" s="10" t="s">
        <v>5583</v>
      </c>
      <c r="C1374" s="10" t="s">
        <v>4534</v>
      </c>
      <c r="D1374" s="10" t="s">
        <v>2450</v>
      </c>
      <c r="E1374" s="10" t="s">
        <v>4038</v>
      </c>
      <c r="F1374" s="10" t="s">
        <v>4493</v>
      </c>
      <c r="G1374" s="10" t="s">
        <v>4535</v>
      </c>
      <c r="H1374" s="10"/>
      <c r="I1374" s="11">
        <v>249.0</v>
      </c>
      <c r="J1374" s="11">
        <v>400.0</v>
      </c>
      <c r="K1374" s="12">
        <f t="shared" si="1"/>
        <v>0.3775</v>
      </c>
      <c r="L1374" s="13">
        <f>IFERROR(__xludf.DUMMYFUNCTION("GOOGLEFINANCE(""CURRENCY:INRBRL"") * I1374
"),14.66153692062)</f>
        <v>14.66153692</v>
      </c>
      <c r="M1374" s="9">
        <v>4.49</v>
      </c>
      <c r="N1374" s="9">
        <v>693.0</v>
      </c>
      <c r="O1374" s="9" t="s">
        <v>5584</v>
      </c>
      <c r="P1374" s="14" t="s">
        <v>5585</v>
      </c>
      <c r="U1374" s="17"/>
      <c r="V1374" s="18"/>
      <c r="W1374" s="16"/>
      <c r="X1374" s="16"/>
      <c r="Y1374" s="16"/>
    </row>
    <row r="1375">
      <c r="A1375" s="9" t="s">
        <v>5586</v>
      </c>
      <c r="B1375" s="10" t="s">
        <v>5587</v>
      </c>
      <c r="C1375" s="10" t="s">
        <v>4544</v>
      </c>
      <c r="D1375" s="10" t="s">
        <v>2450</v>
      </c>
      <c r="E1375" s="10" t="s">
        <v>4038</v>
      </c>
      <c r="F1375" s="10" t="s">
        <v>4545</v>
      </c>
      <c r="G1375" s="10" t="s">
        <v>4546</v>
      </c>
      <c r="H1375" s="10"/>
      <c r="I1375" s="11">
        <v>185.0</v>
      </c>
      <c r="J1375" s="11">
        <v>599.0</v>
      </c>
      <c r="K1375" s="12">
        <f t="shared" si="1"/>
        <v>0.6911519199</v>
      </c>
      <c r="L1375" s="13">
        <f>IFERROR(__xludf.DUMMYFUNCTION("GOOGLEFINANCE(""CURRENCY:INRBRL"") * I1375
"),10.8931097603)</f>
        <v>10.89310976</v>
      </c>
      <c r="M1375" s="9">
        <v>4.52</v>
      </c>
      <c r="N1375" s="9">
        <v>1306.0</v>
      </c>
      <c r="O1375" s="9" t="s">
        <v>5588</v>
      </c>
      <c r="P1375" s="14" t="s">
        <v>5589</v>
      </c>
      <c r="U1375" s="17"/>
      <c r="V1375" s="18"/>
      <c r="W1375" s="16"/>
      <c r="X1375" s="16"/>
      <c r="Y1375" s="16"/>
    </row>
    <row r="1376">
      <c r="A1376" s="9" t="s">
        <v>5590</v>
      </c>
      <c r="B1376" s="10" t="s">
        <v>5591</v>
      </c>
      <c r="C1376" s="10" t="s">
        <v>4054</v>
      </c>
      <c r="D1376" s="10" t="s">
        <v>2450</v>
      </c>
      <c r="E1376" s="10" t="s">
        <v>4047</v>
      </c>
      <c r="F1376" s="10" t="s">
        <v>4048</v>
      </c>
      <c r="G1376" s="10" t="s">
        <v>4055</v>
      </c>
      <c r="H1376" s="10"/>
      <c r="I1376" s="11">
        <v>778.0</v>
      </c>
      <c r="J1376" s="11">
        <v>999.0</v>
      </c>
      <c r="K1376" s="12">
        <f t="shared" si="1"/>
        <v>0.2212212212</v>
      </c>
      <c r="L1376" s="13">
        <f>IFERROR(__xludf.DUMMYFUNCTION("GOOGLEFINANCE(""CURRENCY:INRBRL"") * I1376
"),45.80994266764)</f>
        <v>45.80994267</v>
      </c>
      <c r="M1376" s="9">
        <v>4.5</v>
      </c>
      <c r="N1376" s="9">
        <v>8.0</v>
      </c>
      <c r="O1376" s="9" t="s">
        <v>5592</v>
      </c>
      <c r="P1376" s="14" t="s">
        <v>5593</v>
      </c>
      <c r="U1376" s="17"/>
      <c r="V1376" s="18"/>
      <c r="W1376" s="16"/>
      <c r="X1376" s="16"/>
      <c r="Y1376" s="16"/>
    </row>
    <row r="1377">
      <c r="A1377" s="9" t="s">
        <v>5594</v>
      </c>
      <c r="B1377" s="10" t="s">
        <v>5595</v>
      </c>
      <c r="C1377" s="10" t="s">
        <v>5596</v>
      </c>
      <c r="D1377" s="10" t="s">
        <v>2450</v>
      </c>
      <c r="E1377" s="10" t="s">
        <v>4038</v>
      </c>
      <c r="F1377" s="10" t="s">
        <v>4493</v>
      </c>
      <c r="G1377" s="10" t="s">
        <v>5597</v>
      </c>
      <c r="H1377" s="10" t="s">
        <v>5598</v>
      </c>
      <c r="I1377" s="11">
        <v>279.0</v>
      </c>
      <c r="J1377" s="11">
        <v>699.0</v>
      </c>
      <c r="K1377" s="12">
        <f t="shared" si="1"/>
        <v>0.6008583691</v>
      </c>
      <c r="L1377" s="13">
        <f>IFERROR(__xludf.DUMMYFUNCTION("GOOGLEFINANCE(""CURRENCY:INRBRL"") * I1377
"),16.42798715202)</f>
        <v>16.42798715</v>
      </c>
      <c r="M1377" s="9">
        <v>4.5</v>
      </c>
      <c r="N1377" s="9">
        <v>2326.0</v>
      </c>
      <c r="O1377" s="9" t="s">
        <v>5599</v>
      </c>
      <c r="P1377" s="14" t="s">
        <v>5600</v>
      </c>
      <c r="U1377" s="17"/>
      <c r="V1377" s="18"/>
      <c r="W1377" s="16"/>
      <c r="X1377" s="16"/>
      <c r="Y1377" s="16"/>
    </row>
    <row r="1378">
      <c r="A1378" s="9" t="s">
        <v>5601</v>
      </c>
      <c r="B1378" s="10" t="s">
        <v>5602</v>
      </c>
      <c r="C1378" s="10" t="s">
        <v>4544</v>
      </c>
      <c r="D1378" s="10" t="s">
        <v>2450</v>
      </c>
      <c r="E1378" s="10" t="s">
        <v>4038</v>
      </c>
      <c r="F1378" s="10" t="s">
        <v>4545</v>
      </c>
      <c r="G1378" s="10" t="s">
        <v>4546</v>
      </c>
      <c r="H1378" s="10"/>
      <c r="I1378" s="11">
        <v>215.0</v>
      </c>
      <c r="J1378" s="11">
        <v>1499.0</v>
      </c>
      <c r="K1378" s="12">
        <f t="shared" si="1"/>
        <v>0.8565710474</v>
      </c>
      <c r="L1378" s="13">
        <f>IFERROR(__xludf.DUMMYFUNCTION("GOOGLEFINANCE(""CURRENCY:INRBRL"") * I1378
"),12.6595599917)</f>
        <v>12.65955999</v>
      </c>
      <c r="M1378" s="9">
        <v>4.52</v>
      </c>
      <c r="N1378" s="9">
        <v>1004.0</v>
      </c>
      <c r="O1378" s="9" t="s">
        <v>5603</v>
      </c>
      <c r="P1378" s="14" t="s">
        <v>5604</v>
      </c>
      <c r="U1378" s="17"/>
      <c r="V1378" s="18"/>
      <c r="W1378" s="16"/>
      <c r="X1378" s="16"/>
      <c r="Y1378" s="16"/>
    </row>
    <row r="1379">
      <c r="A1379" s="9" t="s">
        <v>5605</v>
      </c>
      <c r="B1379" s="10" t="s">
        <v>5606</v>
      </c>
      <c r="C1379" s="10" t="s">
        <v>4123</v>
      </c>
      <c r="D1379" s="10" t="s">
        <v>2450</v>
      </c>
      <c r="E1379" s="10" t="s">
        <v>4038</v>
      </c>
      <c r="F1379" s="10" t="s">
        <v>4061</v>
      </c>
      <c r="G1379" s="10" t="s">
        <v>4062</v>
      </c>
      <c r="H1379" s="10" t="s">
        <v>4124</v>
      </c>
      <c r="I1379" s="11">
        <v>889.0</v>
      </c>
      <c r="J1379" s="11">
        <v>1295.0</v>
      </c>
      <c r="K1379" s="12">
        <f t="shared" si="1"/>
        <v>0.3135135135</v>
      </c>
      <c r="L1379" s="13">
        <f>IFERROR(__xludf.DUMMYFUNCTION("GOOGLEFINANCE(""CURRENCY:INRBRL"") * I1379
"),52.34580852382)</f>
        <v>52.34580852</v>
      </c>
      <c r="M1379" s="9">
        <v>4.5</v>
      </c>
      <c r="N1379" s="9">
        <v>64.0</v>
      </c>
      <c r="O1379" s="9" t="s">
        <v>5607</v>
      </c>
      <c r="P1379" s="14" t="s">
        <v>5608</v>
      </c>
      <c r="U1379" s="17"/>
      <c r="V1379" s="18"/>
      <c r="W1379" s="16"/>
      <c r="X1379" s="16"/>
      <c r="Y1379" s="16"/>
    </row>
    <row r="1380">
      <c r="A1380" s="9" t="s">
        <v>5609</v>
      </c>
      <c r="B1380" s="10" t="s">
        <v>5610</v>
      </c>
      <c r="C1380" s="10" t="s">
        <v>4135</v>
      </c>
      <c r="D1380" s="10" t="s">
        <v>2450</v>
      </c>
      <c r="E1380" s="10" t="s">
        <v>4047</v>
      </c>
      <c r="F1380" s="10" t="s">
        <v>4136</v>
      </c>
      <c r="G1380" s="10" t="s">
        <v>4137</v>
      </c>
      <c r="H1380" s="10"/>
      <c r="I1380" s="11">
        <v>1449.0</v>
      </c>
      <c r="J1380" s="11">
        <v>4999.0</v>
      </c>
      <c r="K1380" s="12">
        <f t="shared" si="1"/>
        <v>0.7101420284</v>
      </c>
      <c r="L1380" s="13">
        <f>IFERROR(__xludf.DUMMYFUNCTION("GOOGLEFINANCE(""CURRENCY:INRBRL"") * I1380
"),85.31954617662)</f>
        <v>85.31954618</v>
      </c>
      <c r="M1380" s="9">
        <v>4.51</v>
      </c>
      <c r="N1380" s="9">
        <v>63.0</v>
      </c>
      <c r="O1380" s="9" t="s">
        <v>5611</v>
      </c>
      <c r="P1380" s="14" t="s">
        <v>5612</v>
      </c>
      <c r="U1380" s="17"/>
      <c r="V1380" s="18"/>
      <c r="W1380" s="16"/>
      <c r="X1380" s="16"/>
      <c r="Y1380" s="16"/>
    </row>
    <row r="1381">
      <c r="A1381" s="9" t="s">
        <v>5613</v>
      </c>
      <c r="B1381" s="10" t="s">
        <v>5614</v>
      </c>
      <c r="C1381" s="10" t="s">
        <v>4135</v>
      </c>
      <c r="D1381" s="10" t="s">
        <v>2450</v>
      </c>
      <c r="E1381" s="10" t="s">
        <v>4047</v>
      </c>
      <c r="F1381" s="10" t="s">
        <v>4136</v>
      </c>
      <c r="G1381" s="10" t="s">
        <v>4137</v>
      </c>
      <c r="H1381" s="10"/>
      <c r="I1381" s="11">
        <v>1189.0</v>
      </c>
      <c r="J1381" s="11">
        <v>2549.0</v>
      </c>
      <c r="K1381" s="12">
        <f t="shared" si="1"/>
        <v>0.5335425657</v>
      </c>
      <c r="L1381" s="13">
        <f>IFERROR(__xludf.DUMMYFUNCTION("GOOGLEFINANCE(""CURRENCY:INRBRL"") * I1381
"),70.01031083782)</f>
        <v>70.01031084</v>
      </c>
      <c r="M1381" s="9">
        <v>4.51</v>
      </c>
      <c r="N1381" s="9">
        <v>1181.0</v>
      </c>
      <c r="O1381" s="9" t="s">
        <v>5615</v>
      </c>
      <c r="P1381" s="14" t="s">
        <v>5616</v>
      </c>
      <c r="U1381" s="17"/>
      <c r="V1381" s="18"/>
      <c r="W1381" s="16"/>
      <c r="X1381" s="16"/>
      <c r="Y1381" s="16"/>
    </row>
    <row r="1382">
      <c r="A1382" s="9" t="s">
        <v>5617</v>
      </c>
      <c r="B1382" s="10" t="s">
        <v>5618</v>
      </c>
      <c r="C1382" s="10" t="s">
        <v>4743</v>
      </c>
      <c r="D1382" s="10" t="s">
        <v>2450</v>
      </c>
      <c r="E1382" s="10" t="s">
        <v>4038</v>
      </c>
      <c r="F1382" s="10" t="s">
        <v>4545</v>
      </c>
      <c r="G1382" s="10" t="s">
        <v>4744</v>
      </c>
      <c r="H1382" s="10"/>
      <c r="I1382" s="11">
        <v>1799.0</v>
      </c>
      <c r="J1382" s="11">
        <v>1949.0</v>
      </c>
      <c r="K1382" s="12">
        <f t="shared" si="1"/>
        <v>0.07696254489</v>
      </c>
      <c r="L1382" s="13">
        <f>IFERROR(__xludf.DUMMYFUNCTION("GOOGLEFINANCE(""CURRENCY:INRBRL"") * I1382
"),105.92813220962)</f>
        <v>105.9281322</v>
      </c>
      <c r="M1382" s="9">
        <v>4.52</v>
      </c>
      <c r="N1382" s="9">
        <v>1888.0</v>
      </c>
      <c r="O1382" s="9" t="s">
        <v>5619</v>
      </c>
      <c r="P1382" s="14" t="s">
        <v>5620</v>
      </c>
      <c r="U1382" s="17"/>
      <c r="V1382" s="18"/>
      <c r="W1382" s="16"/>
      <c r="X1382" s="16"/>
      <c r="Y1382" s="16"/>
    </row>
    <row r="1383">
      <c r="A1383" s="9" t="s">
        <v>5621</v>
      </c>
      <c r="B1383" s="10" t="s">
        <v>5622</v>
      </c>
      <c r="C1383" s="10" t="s">
        <v>4129</v>
      </c>
      <c r="D1383" s="10" t="s">
        <v>2450</v>
      </c>
      <c r="E1383" s="10" t="s">
        <v>4038</v>
      </c>
      <c r="F1383" s="10" t="s">
        <v>4039</v>
      </c>
      <c r="G1383" s="10" t="s">
        <v>4130</v>
      </c>
      <c r="H1383" s="10"/>
      <c r="I1383" s="11">
        <v>6119.0</v>
      </c>
      <c r="J1383" s="11">
        <v>8478.0</v>
      </c>
      <c r="K1383" s="12">
        <f t="shared" si="1"/>
        <v>0.2782495872</v>
      </c>
      <c r="L1383" s="13">
        <f>IFERROR(__xludf.DUMMYFUNCTION("GOOGLEFINANCE(""CURRENCY:INRBRL"") * I1383
"),360.29696553122)</f>
        <v>360.2969655</v>
      </c>
      <c r="M1383" s="9">
        <v>4.51</v>
      </c>
      <c r="N1383" s="9">
        <v>655.0</v>
      </c>
      <c r="O1383" s="9" t="s">
        <v>5623</v>
      </c>
      <c r="P1383" s="14" t="s">
        <v>5624</v>
      </c>
      <c r="U1383" s="17"/>
      <c r="V1383" s="18"/>
      <c r="W1383" s="16"/>
      <c r="X1383" s="16"/>
      <c r="Y1383" s="16"/>
    </row>
    <row r="1384">
      <c r="A1384" s="9" t="s">
        <v>5625</v>
      </c>
      <c r="B1384" s="10" t="s">
        <v>5626</v>
      </c>
      <c r="C1384" s="10" t="s">
        <v>4129</v>
      </c>
      <c r="D1384" s="10" t="s">
        <v>2450</v>
      </c>
      <c r="E1384" s="10" t="s">
        <v>4038</v>
      </c>
      <c r="F1384" s="10" t="s">
        <v>4039</v>
      </c>
      <c r="G1384" s="10" t="s">
        <v>4130</v>
      </c>
      <c r="H1384" s="10"/>
      <c r="I1384" s="11">
        <v>1799.0</v>
      </c>
      <c r="J1384" s="11">
        <v>3299.0</v>
      </c>
      <c r="K1384" s="12">
        <f t="shared" si="1"/>
        <v>0.4546832373</v>
      </c>
      <c r="L1384" s="13">
        <f>IFERROR(__xludf.DUMMYFUNCTION("GOOGLEFINANCE(""CURRENCY:INRBRL"") * I1384
"),105.92813220962)</f>
        <v>105.9281322</v>
      </c>
      <c r="M1384" s="9">
        <v>4.51</v>
      </c>
      <c r="N1384" s="9">
        <v>1846.0</v>
      </c>
      <c r="O1384" s="9" t="s">
        <v>5627</v>
      </c>
      <c r="P1384" s="14" t="s">
        <v>5628</v>
      </c>
      <c r="U1384" s="17"/>
      <c r="V1384" s="18"/>
      <c r="W1384" s="16"/>
      <c r="X1384" s="16"/>
      <c r="Y1384" s="16"/>
    </row>
    <row r="1385">
      <c r="A1385" s="9" t="s">
        <v>5629</v>
      </c>
      <c r="B1385" s="10" t="s">
        <v>5630</v>
      </c>
      <c r="C1385" s="10" t="s">
        <v>4129</v>
      </c>
      <c r="D1385" s="10" t="s">
        <v>2450</v>
      </c>
      <c r="E1385" s="10" t="s">
        <v>4038</v>
      </c>
      <c r="F1385" s="10" t="s">
        <v>4039</v>
      </c>
      <c r="G1385" s="10" t="s">
        <v>4130</v>
      </c>
      <c r="H1385" s="10"/>
      <c r="I1385" s="11">
        <v>2199.0</v>
      </c>
      <c r="J1385" s="11">
        <v>3895.0</v>
      </c>
      <c r="K1385" s="12">
        <f t="shared" si="1"/>
        <v>0.4354300385</v>
      </c>
      <c r="L1385" s="13">
        <f>IFERROR(__xludf.DUMMYFUNCTION("GOOGLEFINANCE(""CURRENCY:INRBRL"") * I1385
"),129.48080196162)</f>
        <v>129.480802</v>
      </c>
      <c r="M1385" s="9">
        <v>4.52</v>
      </c>
      <c r="N1385" s="9">
        <v>1085.0</v>
      </c>
      <c r="O1385" s="9" t="s">
        <v>5631</v>
      </c>
      <c r="P1385" s="14" t="s">
        <v>5632</v>
      </c>
      <c r="U1385" s="17"/>
      <c r="V1385" s="18"/>
      <c r="W1385" s="16"/>
      <c r="X1385" s="16"/>
      <c r="Y1385" s="16"/>
    </row>
    <row r="1386">
      <c r="A1386" s="9" t="s">
        <v>5633</v>
      </c>
      <c r="B1386" s="10" t="s">
        <v>5634</v>
      </c>
      <c r="C1386" s="10" t="s">
        <v>4573</v>
      </c>
      <c r="D1386" s="10" t="s">
        <v>2450</v>
      </c>
      <c r="E1386" s="10" t="s">
        <v>4038</v>
      </c>
      <c r="F1386" s="10" t="s">
        <v>4039</v>
      </c>
      <c r="G1386" s="10" t="s">
        <v>4574</v>
      </c>
      <c r="H1386" s="10"/>
      <c r="I1386" s="11">
        <v>3685.0</v>
      </c>
      <c r="J1386" s="11">
        <v>5495.0</v>
      </c>
      <c r="K1386" s="12">
        <f t="shared" si="1"/>
        <v>0.3293903549</v>
      </c>
      <c r="L1386" s="13">
        <f>IFERROR(__xludf.DUMMYFUNCTION("GOOGLEFINANCE(""CURRENCY:INRBRL"") * I1386
"),216.97897009029998)</f>
        <v>216.9789701</v>
      </c>
      <c r="M1386" s="9">
        <v>4.49</v>
      </c>
      <c r="N1386" s="9">
        <v>290.0</v>
      </c>
      <c r="O1386" s="9" t="s">
        <v>5635</v>
      </c>
      <c r="P1386" s="14" t="s">
        <v>5636</v>
      </c>
      <c r="U1386" s="17"/>
      <c r="V1386" s="18"/>
      <c r="W1386" s="16"/>
      <c r="X1386" s="16"/>
      <c r="Y1386" s="16"/>
    </row>
    <row r="1387">
      <c r="A1387" s="9" t="s">
        <v>5637</v>
      </c>
      <c r="B1387" s="10" t="s">
        <v>5638</v>
      </c>
      <c r="C1387" s="10" t="s">
        <v>4237</v>
      </c>
      <c r="D1387" s="10" t="s">
        <v>2450</v>
      </c>
      <c r="E1387" s="10" t="s">
        <v>4038</v>
      </c>
      <c r="F1387" s="10" t="s">
        <v>4039</v>
      </c>
      <c r="G1387" s="10" t="s">
        <v>4238</v>
      </c>
      <c r="H1387" s="10"/>
      <c r="I1387" s="11">
        <v>649.0</v>
      </c>
      <c r="J1387" s="11">
        <v>999.0</v>
      </c>
      <c r="K1387" s="12">
        <f t="shared" si="1"/>
        <v>0.3503503504</v>
      </c>
      <c r="L1387" s="13">
        <f>IFERROR(__xludf.DUMMYFUNCTION("GOOGLEFINANCE(""CURRENCY:INRBRL"") * I1387
"),38.21420667262)</f>
        <v>38.21420667</v>
      </c>
      <c r="M1387" s="9">
        <v>4.51</v>
      </c>
      <c r="N1387" s="9">
        <v>4.0</v>
      </c>
      <c r="O1387" s="9" t="s">
        <v>5639</v>
      </c>
      <c r="P1387" s="14" t="s">
        <v>5640</v>
      </c>
      <c r="U1387" s="17"/>
      <c r="V1387" s="18"/>
      <c r="W1387" s="16"/>
      <c r="X1387" s="16"/>
      <c r="Y1387" s="16"/>
    </row>
    <row r="1388">
      <c r="A1388" s="9" t="s">
        <v>5641</v>
      </c>
      <c r="B1388" s="10" t="s">
        <v>5642</v>
      </c>
      <c r="C1388" s="10" t="s">
        <v>4886</v>
      </c>
      <c r="D1388" s="10" t="s">
        <v>2450</v>
      </c>
      <c r="E1388" s="10" t="s">
        <v>4038</v>
      </c>
      <c r="F1388" s="10" t="s">
        <v>4039</v>
      </c>
      <c r="G1388" s="10" t="s">
        <v>4887</v>
      </c>
      <c r="H1388" s="10"/>
      <c r="I1388" s="11">
        <v>8599.0</v>
      </c>
      <c r="J1388" s="11">
        <v>8995.0</v>
      </c>
      <c r="K1388" s="12">
        <f t="shared" si="1"/>
        <v>0.04402445803</v>
      </c>
      <c r="L1388" s="13">
        <f>IFERROR(__xludf.DUMMYFUNCTION("GOOGLEFINANCE(""CURRENCY:INRBRL"") * I1388
"),506.32351799362)</f>
        <v>506.323518</v>
      </c>
      <c r="M1388" s="9">
        <v>4.5</v>
      </c>
      <c r="N1388" s="9">
        <v>9734.0</v>
      </c>
      <c r="O1388" s="9" t="s">
        <v>5643</v>
      </c>
      <c r="P1388" s="14" t="s">
        <v>5644</v>
      </c>
      <c r="U1388" s="17"/>
      <c r="V1388" s="18"/>
      <c r="W1388" s="16"/>
      <c r="X1388" s="16"/>
      <c r="Y1388" s="16"/>
    </row>
    <row r="1389">
      <c r="A1389" s="9" t="s">
        <v>5645</v>
      </c>
      <c r="B1389" s="10" t="s">
        <v>5646</v>
      </c>
      <c r="C1389" s="10" t="s">
        <v>4123</v>
      </c>
      <c r="D1389" s="10" t="s">
        <v>2450</v>
      </c>
      <c r="E1389" s="10" t="s">
        <v>4038</v>
      </c>
      <c r="F1389" s="10" t="s">
        <v>4061</v>
      </c>
      <c r="G1389" s="10" t="s">
        <v>4062</v>
      </c>
      <c r="H1389" s="10" t="s">
        <v>4124</v>
      </c>
      <c r="I1389" s="11">
        <v>1109.0</v>
      </c>
      <c r="J1389" s="11">
        <v>1599.0</v>
      </c>
      <c r="K1389" s="12">
        <f t="shared" si="1"/>
        <v>0.306441526</v>
      </c>
      <c r="L1389" s="13">
        <f>IFERROR(__xludf.DUMMYFUNCTION("GOOGLEFINANCE(""CURRENCY:INRBRL"") * I1389
"),65.29977688742)</f>
        <v>65.29977689</v>
      </c>
      <c r="M1389" s="9">
        <v>4.5</v>
      </c>
      <c r="N1389" s="9">
        <v>4022.0</v>
      </c>
      <c r="O1389" s="9" t="s">
        <v>5647</v>
      </c>
      <c r="P1389" s="14" t="s">
        <v>5648</v>
      </c>
      <c r="U1389" s="17"/>
      <c r="V1389" s="18"/>
      <c r="W1389" s="16"/>
      <c r="X1389" s="16"/>
      <c r="Y1389" s="16"/>
    </row>
    <row r="1390">
      <c r="A1390" s="9" t="s">
        <v>5649</v>
      </c>
      <c r="B1390" s="10" t="s">
        <v>5650</v>
      </c>
      <c r="C1390" s="10" t="s">
        <v>4135</v>
      </c>
      <c r="D1390" s="10" t="s">
        <v>2450</v>
      </c>
      <c r="E1390" s="10" t="s">
        <v>4047</v>
      </c>
      <c r="F1390" s="10" t="s">
        <v>4136</v>
      </c>
      <c r="G1390" s="10" t="s">
        <v>4137</v>
      </c>
      <c r="H1390" s="10"/>
      <c r="I1390" s="11">
        <v>1499.0</v>
      </c>
      <c r="J1390" s="11">
        <v>3499.0</v>
      </c>
      <c r="K1390" s="12">
        <f t="shared" si="1"/>
        <v>0.5715918834</v>
      </c>
      <c r="L1390" s="13">
        <f>IFERROR(__xludf.DUMMYFUNCTION("GOOGLEFINANCE(""CURRENCY:INRBRL"") * I1390
"),88.26362989562)</f>
        <v>88.2636299</v>
      </c>
      <c r="M1390" s="9">
        <v>4.51</v>
      </c>
      <c r="N1390" s="9">
        <v>2591.0</v>
      </c>
      <c r="O1390" s="9" t="s">
        <v>5651</v>
      </c>
      <c r="P1390" s="14" t="s">
        <v>5652</v>
      </c>
      <c r="U1390" s="17"/>
      <c r="V1390" s="18"/>
      <c r="W1390" s="16"/>
      <c r="X1390" s="16"/>
      <c r="Y1390" s="16"/>
    </row>
    <row r="1391">
      <c r="A1391" s="9" t="s">
        <v>5653</v>
      </c>
      <c r="B1391" s="10" t="s">
        <v>5654</v>
      </c>
      <c r="C1391" s="10" t="s">
        <v>4068</v>
      </c>
      <c r="D1391" s="10" t="s">
        <v>2450</v>
      </c>
      <c r="E1391" s="10" t="s">
        <v>4038</v>
      </c>
      <c r="F1391" s="10" t="s">
        <v>4039</v>
      </c>
      <c r="G1391" s="10" t="s">
        <v>4069</v>
      </c>
      <c r="H1391" s="10"/>
      <c r="I1391" s="11">
        <v>759.0</v>
      </c>
      <c r="J1391" s="11">
        <v>1999.0</v>
      </c>
      <c r="K1391" s="12">
        <f t="shared" si="1"/>
        <v>0.6203101551</v>
      </c>
      <c r="L1391" s="13">
        <f>IFERROR(__xludf.DUMMYFUNCTION("GOOGLEFINANCE(""CURRENCY:INRBRL"") * I1391
"),44.69119085442)</f>
        <v>44.69119085</v>
      </c>
      <c r="M1391" s="9">
        <v>4.5</v>
      </c>
      <c r="N1391" s="9">
        <v>532.0</v>
      </c>
      <c r="O1391" s="9" t="s">
        <v>5655</v>
      </c>
      <c r="P1391" s="14" t="s">
        <v>5656</v>
      </c>
      <c r="U1391" s="17"/>
      <c r="V1391" s="18"/>
      <c r="W1391" s="16"/>
      <c r="X1391" s="16"/>
      <c r="Y1391" s="16"/>
    </row>
    <row r="1392">
      <c r="A1392" s="9" t="s">
        <v>5657</v>
      </c>
      <c r="B1392" s="10" t="s">
        <v>5658</v>
      </c>
      <c r="C1392" s="10" t="s">
        <v>4251</v>
      </c>
      <c r="D1392" s="10" t="s">
        <v>2450</v>
      </c>
      <c r="E1392" s="10" t="s">
        <v>4038</v>
      </c>
      <c r="F1392" s="10" t="s">
        <v>4061</v>
      </c>
      <c r="G1392" s="10" t="s">
        <v>4252</v>
      </c>
      <c r="H1392" s="10" t="s">
        <v>4253</v>
      </c>
      <c r="I1392" s="11">
        <v>2669.0</v>
      </c>
      <c r="J1392" s="11">
        <v>3199.0</v>
      </c>
      <c r="K1392" s="12">
        <f t="shared" si="1"/>
        <v>0.165676774</v>
      </c>
      <c r="L1392" s="13">
        <f>IFERROR(__xludf.DUMMYFUNCTION("GOOGLEFINANCE(""CURRENCY:INRBRL"") * I1392
"),157.15518892021998)</f>
        <v>157.1551889</v>
      </c>
      <c r="M1392" s="9">
        <v>4.52</v>
      </c>
      <c r="N1392" s="9">
        <v>260.0</v>
      </c>
      <c r="O1392" s="9" t="s">
        <v>5659</v>
      </c>
      <c r="P1392" s="14" t="s">
        <v>5660</v>
      </c>
      <c r="U1392" s="17"/>
      <c r="V1392" s="18"/>
      <c r="W1392" s="16"/>
      <c r="X1392" s="16"/>
      <c r="Y1392" s="16"/>
    </row>
    <row r="1393">
      <c r="A1393" s="9" t="s">
        <v>5661</v>
      </c>
      <c r="B1393" s="10" t="s">
        <v>5662</v>
      </c>
      <c r="C1393" s="10" t="s">
        <v>4292</v>
      </c>
      <c r="D1393" s="10" t="s">
        <v>2450</v>
      </c>
      <c r="E1393" s="10" t="s">
        <v>4038</v>
      </c>
      <c r="F1393" s="10" t="s">
        <v>4039</v>
      </c>
      <c r="G1393" s="10" t="s">
        <v>4293</v>
      </c>
      <c r="H1393" s="10"/>
      <c r="I1393" s="11">
        <v>929.0</v>
      </c>
      <c r="J1393" s="11">
        <v>1299.0</v>
      </c>
      <c r="K1393" s="12">
        <f t="shared" si="1"/>
        <v>0.2848344881</v>
      </c>
      <c r="L1393" s="13">
        <f>IFERROR(__xludf.DUMMYFUNCTION("GOOGLEFINANCE(""CURRENCY:INRBRL"") * I1393
"),54.70107549902)</f>
        <v>54.7010755</v>
      </c>
      <c r="M1393" s="9">
        <v>4.52</v>
      </c>
      <c r="N1393" s="9">
        <v>1672.0</v>
      </c>
      <c r="O1393" s="9" t="s">
        <v>5663</v>
      </c>
      <c r="P1393" s="14" t="s">
        <v>5664</v>
      </c>
      <c r="U1393" s="17"/>
      <c r="V1393" s="18"/>
      <c r="W1393" s="16"/>
      <c r="X1393" s="16"/>
      <c r="Y1393" s="16"/>
    </row>
    <row r="1394">
      <c r="A1394" s="9" t="s">
        <v>5665</v>
      </c>
      <c r="B1394" s="10" t="s">
        <v>5666</v>
      </c>
      <c r="C1394" s="10" t="s">
        <v>4212</v>
      </c>
      <c r="D1394" s="10" t="s">
        <v>2450</v>
      </c>
      <c r="E1394" s="10" t="s">
        <v>4213</v>
      </c>
      <c r="F1394" s="10" t="s">
        <v>4214</v>
      </c>
      <c r="G1394" s="10" t="s">
        <v>4215</v>
      </c>
      <c r="H1394" s="10"/>
      <c r="I1394" s="11">
        <v>199.0</v>
      </c>
      <c r="J1394" s="11">
        <v>399.0</v>
      </c>
      <c r="K1394" s="12">
        <f t="shared" si="1"/>
        <v>0.5012531328</v>
      </c>
      <c r="L1394" s="13">
        <f>IFERROR(__xludf.DUMMYFUNCTION("GOOGLEFINANCE(""CURRENCY:INRBRL"") * I1394
"),11.71745320162)</f>
        <v>11.7174532</v>
      </c>
      <c r="M1394" s="9">
        <v>4.51</v>
      </c>
      <c r="N1394" s="9">
        <v>7945.0</v>
      </c>
      <c r="O1394" s="9" t="s">
        <v>5667</v>
      </c>
      <c r="P1394" s="14" t="s">
        <v>5668</v>
      </c>
      <c r="U1394" s="17"/>
      <c r="V1394" s="18"/>
      <c r="W1394" s="16"/>
      <c r="X1394" s="16"/>
      <c r="Y1394" s="16"/>
    </row>
    <row r="1395">
      <c r="A1395" s="9" t="s">
        <v>5669</v>
      </c>
      <c r="B1395" s="10" t="s">
        <v>5670</v>
      </c>
      <c r="C1395" s="10" t="s">
        <v>4060</v>
      </c>
      <c r="D1395" s="10" t="s">
        <v>2450</v>
      </c>
      <c r="E1395" s="10" t="s">
        <v>4038</v>
      </c>
      <c r="F1395" s="10" t="s">
        <v>4061</v>
      </c>
      <c r="G1395" s="10" t="s">
        <v>4062</v>
      </c>
      <c r="H1395" s="10" t="s">
        <v>4063</v>
      </c>
      <c r="I1395" s="11">
        <v>279.0</v>
      </c>
      <c r="J1395" s="11">
        <v>599.0</v>
      </c>
      <c r="K1395" s="12">
        <f t="shared" si="1"/>
        <v>0.5342237062</v>
      </c>
      <c r="L1395" s="13">
        <f>IFERROR(__xludf.DUMMYFUNCTION("GOOGLEFINANCE(""CURRENCY:INRBRL"") * I1395
"),16.42798715202)</f>
        <v>16.42798715</v>
      </c>
      <c r="M1395" s="9">
        <v>4.5</v>
      </c>
      <c r="N1395" s="9">
        <v>1367.0</v>
      </c>
      <c r="O1395" s="9" t="s">
        <v>5671</v>
      </c>
      <c r="P1395" s="14" t="s">
        <v>5672</v>
      </c>
      <c r="U1395" s="17"/>
      <c r="V1395" s="18"/>
      <c r="W1395" s="16"/>
      <c r="X1395" s="16"/>
      <c r="Y1395" s="16"/>
    </row>
    <row r="1396">
      <c r="A1396" s="9" t="s">
        <v>5673</v>
      </c>
      <c r="B1396" s="10" t="s">
        <v>5674</v>
      </c>
      <c r="C1396" s="10" t="s">
        <v>4117</v>
      </c>
      <c r="D1396" s="10" t="s">
        <v>2450</v>
      </c>
      <c r="E1396" s="10" t="s">
        <v>4038</v>
      </c>
      <c r="F1396" s="10" t="s">
        <v>4039</v>
      </c>
      <c r="G1396" s="10" t="s">
        <v>4118</v>
      </c>
      <c r="H1396" s="10"/>
      <c r="I1396" s="11">
        <v>549.0</v>
      </c>
      <c r="J1396" s="11">
        <v>999.0</v>
      </c>
      <c r="K1396" s="12">
        <f t="shared" si="1"/>
        <v>0.4504504505</v>
      </c>
      <c r="L1396" s="13">
        <f>IFERROR(__xludf.DUMMYFUNCTION("GOOGLEFINANCE(""CURRENCY:INRBRL"") * I1396
"),32.32603923462)</f>
        <v>32.32603923</v>
      </c>
      <c r="M1396" s="9">
        <v>4.0</v>
      </c>
      <c r="N1396" s="9">
        <v>1313.0</v>
      </c>
      <c r="O1396" s="9" t="s">
        <v>5675</v>
      </c>
      <c r="P1396" s="14" t="s">
        <v>5676</v>
      </c>
      <c r="U1396" s="17"/>
      <c r="V1396" s="18"/>
      <c r="W1396" s="16"/>
      <c r="X1396" s="16"/>
      <c r="Y1396" s="16"/>
    </row>
    <row r="1397">
      <c r="A1397" s="9" t="s">
        <v>5677</v>
      </c>
      <c r="B1397" s="10" t="s">
        <v>5678</v>
      </c>
      <c r="C1397" s="10" t="s">
        <v>4842</v>
      </c>
      <c r="D1397" s="10" t="s">
        <v>2450</v>
      </c>
      <c r="E1397" s="10" t="s">
        <v>4213</v>
      </c>
      <c r="F1397" s="10" t="s">
        <v>4214</v>
      </c>
      <c r="G1397" s="10" t="s">
        <v>4843</v>
      </c>
      <c r="H1397" s="10" t="s">
        <v>4844</v>
      </c>
      <c r="I1397" s="11">
        <v>85.0</v>
      </c>
      <c r="J1397" s="11">
        <v>199.0</v>
      </c>
      <c r="K1397" s="12">
        <f t="shared" si="1"/>
        <v>0.5728643216</v>
      </c>
      <c r="L1397" s="13">
        <f>IFERROR(__xludf.DUMMYFUNCTION("GOOGLEFINANCE(""CURRENCY:INRBRL"") * I1397
"),5.0049423223)</f>
        <v>5.004942322</v>
      </c>
      <c r="M1397" s="9">
        <v>4.49</v>
      </c>
      <c r="N1397" s="9">
        <v>212.0</v>
      </c>
      <c r="O1397" s="9" t="s">
        <v>5679</v>
      </c>
      <c r="P1397" s="14" t="s">
        <v>5680</v>
      </c>
      <c r="U1397" s="17"/>
      <c r="V1397" s="18"/>
      <c r="W1397" s="16"/>
      <c r="X1397" s="16"/>
      <c r="Y1397" s="16"/>
    </row>
    <row r="1398">
      <c r="A1398" s="9" t="s">
        <v>5681</v>
      </c>
      <c r="B1398" s="10" t="s">
        <v>5682</v>
      </c>
      <c r="C1398" s="10" t="s">
        <v>4237</v>
      </c>
      <c r="D1398" s="10" t="s">
        <v>2450</v>
      </c>
      <c r="E1398" s="10" t="s">
        <v>4038</v>
      </c>
      <c r="F1398" s="10" t="s">
        <v>4039</v>
      </c>
      <c r="G1398" s="10" t="s">
        <v>4238</v>
      </c>
      <c r="H1398" s="10"/>
      <c r="I1398" s="11">
        <v>499.0</v>
      </c>
      <c r="J1398" s="11">
        <v>1299.0</v>
      </c>
      <c r="K1398" s="12">
        <f t="shared" si="1"/>
        <v>0.6158583526</v>
      </c>
      <c r="L1398" s="13">
        <f>IFERROR(__xludf.DUMMYFUNCTION("GOOGLEFINANCE(""CURRENCY:INRBRL"") * I1398
"),29.38195551562)</f>
        <v>29.38195552</v>
      </c>
      <c r="M1398" s="9">
        <v>4.52</v>
      </c>
      <c r="N1398" s="9">
        <v>65.0</v>
      </c>
      <c r="O1398" s="9" t="s">
        <v>5683</v>
      </c>
      <c r="P1398" s="14" t="s">
        <v>5684</v>
      </c>
      <c r="U1398" s="17"/>
      <c r="V1398" s="18"/>
      <c r="W1398" s="16"/>
      <c r="X1398" s="16"/>
      <c r="Y1398" s="16"/>
    </row>
    <row r="1399">
      <c r="A1399" s="9" t="s">
        <v>5685</v>
      </c>
      <c r="B1399" s="10" t="s">
        <v>5686</v>
      </c>
      <c r="C1399" s="10" t="s">
        <v>4237</v>
      </c>
      <c r="D1399" s="10" t="s">
        <v>2450</v>
      </c>
      <c r="E1399" s="10" t="s">
        <v>4038</v>
      </c>
      <c r="F1399" s="10" t="s">
        <v>4039</v>
      </c>
      <c r="G1399" s="10" t="s">
        <v>4238</v>
      </c>
      <c r="H1399" s="10"/>
      <c r="I1399" s="11">
        <v>5865.0</v>
      </c>
      <c r="J1399" s="11">
        <v>7776.0</v>
      </c>
      <c r="K1399" s="12">
        <f t="shared" si="1"/>
        <v>0.2457561728</v>
      </c>
      <c r="L1399" s="13">
        <f>IFERROR(__xludf.DUMMYFUNCTION("GOOGLEFINANCE(""CURRENCY:INRBRL"") * I1399
"),345.34102023869997)</f>
        <v>345.3410202</v>
      </c>
      <c r="M1399" s="9">
        <v>4.5</v>
      </c>
      <c r="N1399" s="9">
        <v>2737.0</v>
      </c>
      <c r="O1399" s="9" t="s">
        <v>5687</v>
      </c>
      <c r="P1399" s="14" t="s">
        <v>5688</v>
      </c>
      <c r="U1399" s="17"/>
      <c r="V1399" s="18"/>
      <c r="W1399" s="16"/>
      <c r="X1399" s="16"/>
      <c r="Y1399" s="16"/>
    </row>
    <row r="1400">
      <c r="A1400" s="9" t="s">
        <v>5689</v>
      </c>
      <c r="B1400" s="10" t="s">
        <v>5690</v>
      </c>
      <c r="C1400" s="10" t="s">
        <v>4037</v>
      </c>
      <c r="D1400" s="10" t="s">
        <v>2450</v>
      </c>
      <c r="E1400" s="10" t="s">
        <v>4038</v>
      </c>
      <c r="F1400" s="10" t="s">
        <v>4039</v>
      </c>
      <c r="G1400" s="10" t="s">
        <v>4040</v>
      </c>
      <c r="H1400" s="10" t="s">
        <v>4041</v>
      </c>
      <c r="I1400" s="11">
        <v>1259.0</v>
      </c>
      <c r="J1400" s="11">
        <v>2299.0</v>
      </c>
      <c r="K1400" s="12">
        <f t="shared" si="1"/>
        <v>0.4523705959</v>
      </c>
      <c r="L1400" s="13">
        <f>IFERROR(__xludf.DUMMYFUNCTION("GOOGLEFINANCE(""CURRENCY:INRBRL"") * I1400
"),74.13202804442)</f>
        <v>74.13202804</v>
      </c>
      <c r="M1400" s="9">
        <v>4.5</v>
      </c>
      <c r="N1400" s="9">
        <v>55.0</v>
      </c>
      <c r="O1400" s="9" t="s">
        <v>5691</v>
      </c>
      <c r="P1400" s="14" t="s">
        <v>5692</v>
      </c>
      <c r="U1400" s="17"/>
      <c r="V1400" s="18"/>
      <c r="W1400" s="16"/>
      <c r="X1400" s="16"/>
      <c r="Y1400" s="16"/>
    </row>
    <row r="1401">
      <c r="A1401" s="9" t="s">
        <v>5693</v>
      </c>
      <c r="B1401" s="10" t="s">
        <v>5694</v>
      </c>
      <c r="C1401" s="10" t="s">
        <v>5695</v>
      </c>
      <c r="D1401" s="10" t="s">
        <v>2450</v>
      </c>
      <c r="E1401" s="10" t="s">
        <v>4038</v>
      </c>
      <c r="F1401" s="10" t="s">
        <v>4493</v>
      </c>
      <c r="G1401" s="10" t="s">
        <v>5696</v>
      </c>
      <c r="H1401" s="10"/>
      <c r="I1401" s="11">
        <v>1099.0</v>
      </c>
      <c r="J1401" s="11">
        <v>1499.0</v>
      </c>
      <c r="K1401" s="12">
        <f t="shared" si="1"/>
        <v>0.266844563</v>
      </c>
      <c r="L1401" s="13">
        <f>IFERROR(__xludf.DUMMYFUNCTION("GOOGLEFINANCE(""CURRENCY:INRBRL"") * I1401
"),64.71096014362)</f>
        <v>64.71096014</v>
      </c>
      <c r="M1401" s="9">
        <v>4.51</v>
      </c>
      <c r="N1401" s="9">
        <v>1065.0</v>
      </c>
      <c r="O1401" s="9" t="s">
        <v>5697</v>
      </c>
      <c r="P1401" s="14" t="s">
        <v>5698</v>
      </c>
      <c r="U1401" s="17"/>
      <c r="V1401" s="18"/>
      <c r="W1401" s="16"/>
      <c r="X1401" s="16"/>
      <c r="Y1401" s="16"/>
    </row>
    <row r="1402">
      <c r="A1402" s="9" t="s">
        <v>5699</v>
      </c>
      <c r="B1402" s="10" t="s">
        <v>5700</v>
      </c>
      <c r="C1402" s="10" t="s">
        <v>4292</v>
      </c>
      <c r="D1402" s="10" t="s">
        <v>2450</v>
      </c>
      <c r="E1402" s="10" t="s">
        <v>4038</v>
      </c>
      <c r="F1402" s="10" t="s">
        <v>4039</v>
      </c>
      <c r="G1402" s="10" t="s">
        <v>4293</v>
      </c>
      <c r="H1402" s="10"/>
      <c r="I1402" s="11">
        <v>1928.0</v>
      </c>
      <c r="J1402" s="11">
        <v>2589.0</v>
      </c>
      <c r="K1402" s="12">
        <f t="shared" si="1"/>
        <v>0.2553109309</v>
      </c>
      <c r="L1402" s="13">
        <f>IFERROR(__xludf.DUMMYFUNCTION("GOOGLEFINANCE(""CURRENCY:INRBRL"") * I1402
"),113.52386820464)</f>
        <v>113.5238682</v>
      </c>
      <c r="M1402" s="9">
        <v>4.0</v>
      </c>
      <c r="N1402" s="9">
        <v>2377.0</v>
      </c>
      <c r="O1402" s="9" t="s">
        <v>5701</v>
      </c>
      <c r="P1402" s="14" t="s">
        <v>5702</v>
      </c>
      <c r="U1402" s="17"/>
      <c r="V1402" s="18"/>
      <c r="W1402" s="16"/>
      <c r="X1402" s="16"/>
      <c r="Y1402" s="16"/>
    </row>
    <row r="1403">
      <c r="A1403" s="9" t="s">
        <v>5703</v>
      </c>
      <c r="B1403" s="10" t="s">
        <v>5704</v>
      </c>
      <c r="C1403" s="10" t="s">
        <v>4161</v>
      </c>
      <c r="D1403" s="10" t="s">
        <v>2450</v>
      </c>
      <c r="E1403" s="10" t="s">
        <v>4047</v>
      </c>
      <c r="F1403" s="10" t="s">
        <v>4136</v>
      </c>
      <c r="G1403" s="10" t="s">
        <v>4162</v>
      </c>
      <c r="H1403" s="10"/>
      <c r="I1403" s="11">
        <v>3249.0</v>
      </c>
      <c r="J1403" s="11">
        <v>6299.0</v>
      </c>
      <c r="K1403" s="12">
        <f t="shared" si="1"/>
        <v>0.4842038419</v>
      </c>
      <c r="L1403" s="13">
        <f>IFERROR(__xludf.DUMMYFUNCTION("GOOGLEFINANCE(""CURRENCY:INRBRL"") * I1403
"),191.30656006062)</f>
        <v>191.3065601</v>
      </c>
      <c r="M1403" s="9">
        <v>4.52</v>
      </c>
      <c r="N1403" s="9">
        <v>2569.0</v>
      </c>
      <c r="O1403" s="9" t="s">
        <v>5705</v>
      </c>
      <c r="P1403" s="14" t="s">
        <v>5706</v>
      </c>
      <c r="U1403" s="17"/>
      <c r="V1403" s="18"/>
      <c r="W1403" s="16"/>
      <c r="X1403" s="16"/>
      <c r="Y1403" s="16"/>
    </row>
    <row r="1404">
      <c r="A1404" s="9" t="s">
        <v>5707</v>
      </c>
      <c r="B1404" s="10" t="s">
        <v>5708</v>
      </c>
      <c r="C1404" s="10" t="s">
        <v>4292</v>
      </c>
      <c r="D1404" s="10" t="s">
        <v>2450</v>
      </c>
      <c r="E1404" s="10" t="s">
        <v>4038</v>
      </c>
      <c r="F1404" s="10" t="s">
        <v>4039</v>
      </c>
      <c r="G1404" s="10" t="s">
        <v>4293</v>
      </c>
      <c r="H1404" s="10"/>
      <c r="I1404" s="11">
        <v>1199.0</v>
      </c>
      <c r="J1404" s="11">
        <v>1795.0</v>
      </c>
      <c r="K1404" s="12">
        <f t="shared" si="1"/>
        <v>0.3320334262</v>
      </c>
      <c r="L1404" s="13">
        <f>IFERROR(__xludf.DUMMYFUNCTION("GOOGLEFINANCE(""CURRENCY:INRBRL"") * I1404
"),70.59912758162)</f>
        <v>70.59912758</v>
      </c>
      <c r="M1404" s="9">
        <v>4.5</v>
      </c>
      <c r="N1404" s="9">
        <v>5967.0</v>
      </c>
      <c r="O1404" s="9" t="s">
        <v>5709</v>
      </c>
      <c r="P1404" s="14" t="s">
        <v>5710</v>
      </c>
      <c r="U1404" s="17"/>
      <c r="V1404" s="18"/>
      <c r="W1404" s="16"/>
      <c r="X1404" s="16"/>
      <c r="Y1404" s="16"/>
    </row>
    <row r="1405">
      <c r="A1405" s="9" t="s">
        <v>5711</v>
      </c>
      <c r="B1405" s="10" t="s">
        <v>5712</v>
      </c>
      <c r="C1405" s="10" t="s">
        <v>4037</v>
      </c>
      <c r="D1405" s="10" t="s">
        <v>2450</v>
      </c>
      <c r="E1405" s="10" t="s">
        <v>4038</v>
      </c>
      <c r="F1405" s="10" t="s">
        <v>4039</v>
      </c>
      <c r="G1405" s="10" t="s">
        <v>4040</v>
      </c>
      <c r="H1405" s="10" t="s">
        <v>4041</v>
      </c>
      <c r="I1405" s="11">
        <v>1456.0</v>
      </c>
      <c r="J1405" s="11">
        <v>3189.0</v>
      </c>
      <c r="K1405" s="12">
        <f t="shared" si="1"/>
        <v>0.5434305425</v>
      </c>
      <c r="L1405" s="13">
        <f>IFERROR(__xludf.DUMMYFUNCTION("GOOGLEFINANCE(""CURRENCY:INRBRL"") * I1405
"),85.73171789727999)</f>
        <v>85.7317179</v>
      </c>
      <c r="M1405" s="9">
        <v>4.49</v>
      </c>
      <c r="N1405" s="9">
        <v>1776.0</v>
      </c>
      <c r="O1405" s="9" t="s">
        <v>5713</v>
      </c>
      <c r="P1405" s="14" t="s">
        <v>5714</v>
      </c>
      <c r="U1405" s="17"/>
      <c r="V1405" s="18"/>
      <c r="W1405" s="16"/>
      <c r="X1405" s="16"/>
      <c r="Y1405" s="16"/>
    </row>
    <row r="1406">
      <c r="A1406" s="9" t="s">
        <v>5715</v>
      </c>
      <c r="B1406" s="10" t="s">
        <v>5716</v>
      </c>
      <c r="C1406" s="10" t="s">
        <v>4237</v>
      </c>
      <c r="D1406" s="10" t="s">
        <v>2450</v>
      </c>
      <c r="E1406" s="10" t="s">
        <v>4038</v>
      </c>
      <c r="F1406" s="10" t="s">
        <v>4039</v>
      </c>
      <c r="G1406" s="10" t="s">
        <v>4238</v>
      </c>
      <c r="H1406" s="10"/>
      <c r="I1406" s="11">
        <v>3349.0</v>
      </c>
      <c r="J1406" s="11">
        <v>4799.0</v>
      </c>
      <c r="K1406" s="12">
        <f t="shared" si="1"/>
        <v>0.3021462805</v>
      </c>
      <c r="L1406" s="13">
        <f>IFERROR(__xludf.DUMMYFUNCTION("GOOGLEFINANCE(""CURRENCY:INRBRL"") * I1406
"),197.19472749861998)</f>
        <v>197.1947275</v>
      </c>
      <c r="M1406" s="9">
        <v>4.51</v>
      </c>
      <c r="N1406" s="9">
        <v>42.0</v>
      </c>
      <c r="O1406" s="9" t="s">
        <v>5717</v>
      </c>
      <c r="P1406" s="14" t="s">
        <v>5718</v>
      </c>
      <c r="U1406" s="17"/>
      <c r="V1406" s="18"/>
      <c r="W1406" s="16"/>
      <c r="X1406" s="16"/>
      <c r="Y1406" s="16"/>
    </row>
    <row r="1407">
      <c r="A1407" s="9" t="s">
        <v>5719</v>
      </c>
      <c r="B1407" s="10" t="s">
        <v>5720</v>
      </c>
      <c r="C1407" s="10" t="s">
        <v>4432</v>
      </c>
      <c r="D1407" s="10" t="s">
        <v>2450</v>
      </c>
      <c r="E1407" s="10" t="s">
        <v>4038</v>
      </c>
      <c r="F1407" s="10" t="s">
        <v>4061</v>
      </c>
      <c r="G1407" s="10" t="s">
        <v>4433</v>
      </c>
      <c r="H1407" s="10"/>
      <c r="I1407" s="11">
        <v>4899.0</v>
      </c>
      <c r="J1407" s="11">
        <v>8999.0</v>
      </c>
      <c r="K1407" s="12">
        <f t="shared" si="1"/>
        <v>0.4556061785</v>
      </c>
      <c r="L1407" s="13">
        <f>IFERROR(__xludf.DUMMYFUNCTION("GOOGLEFINANCE(""CURRENCY:INRBRL"") * I1407
"),288.46132278762)</f>
        <v>288.4613228</v>
      </c>
      <c r="M1407" s="9">
        <v>4.49</v>
      </c>
      <c r="N1407" s="9">
        <v>297.0</v>
      </c>
      <c r="O1407" s="9" t="s">
        <v>5721</v>
      </c>
      <c r="P1407" s="14" t="s">
        <v>5722</v>
      </c>
      <c r="U1407" s="17"/>
      <c r="V1407" s="18"/>
      <c r="W1407" s="16"/>
      <c r="X1407" s="16"/>
      <c r="Y1407" s="16"/>
    </row>
    <row r="1408">
      <c r="A1408" s="9" t="s">
        <v>5723</v>
      </c>
      <c r="B1408" s="10" t="s">
        <v>5724</v>
      </c>
      <c r="C1408" s="10" t="s">
        <v>4155</v>
      </c>
      <c r="D1408" s="10" t="s">
        <v>2450</v>
      </c>
      <c r="E1408" s="10" t="s">
        <v>4038</v>
      </c>
      <c r="F1408" s="10" t="s">
        <v>4039</v>
      </c>
      <c r="G1408" s="10" t="s">
        <v>4040</v>
      </c>
      <c r="H1408" s="10" t="s">
        <v>4156</v>
      </c>
      <c r="I1408" s="11">
        <v>1199.0</v>
      </c>
      <c r="J1408" s="11">
        <v>1899.0</v>
      </c>
      <c r="K1408" s="12">
        <f t="shared" si="1"/>
        <v>0.3686150606</v>
      </c>
      <c r="L1408" s="13">
        <f>IFERROR(__xludf.DUMMYFUNCTION("GOOGLEFINANCE(""CURRENCY:INRBRL"") * I1408
"),70.59912758162)</f>
        <v>70.59912758</v>
      </c>
      <c r="M1408" s="9">
        <v>4.5</v>
      </c>
      <c r="N1408" s="9">
        <v>3858.0</v>
      </c>
      <c r="O1408" s="9" t="s">
        <v>5725</v>
      </c>
      <c r="P1408" s="14" t="s">
        <v>5726</v>
      </c>
      <c r="U1408" s="17"/>
      <c r="V1408" s="18"/>
      <c r="W1408" s="16"/>
      <c r="X1408" s="16"/>
      <c r="Y1408" s="16"/>
    </row>
    <row r="1409">
      <c r="A1409" s="9" t="s">
        <v>5727</v>
      </c>
      <c r="B1409" s="10" t="s">
        <v>5728</v>
      </c>
      <c r="C1409" s="10" t="s">
        <v>5175</v>
      </c>
      <c r="D1409" s="10" t="s">
        <v>2450</v>
      </c>
      <c r="E1409" s="10" t="s">
        <v>4047</v>
      </c>
      <c r="F1409" s="10" t="s">
        <v>5176</v>
      </c>
      <c r="G1409" s="10"/>
      <c r="H1409" s="10"/>
      <c r="I1409" s="11">
        <v>3289.0</v>
      </c>
      <c r="J1409" s="11">
        <v>5799.0</v>
      </c>
      <c r="K1409" s="12">
        <f t="shared" si="1"/>
        <v>0.4328332471</v>
      </c>
      <c r="L1409" s="13">
        <f>IFERROR(__xludf.DUMMYFUNCTION("GOOGLEFINANCE(""CURRENCY:INRBRL"") * I1409
"),193.66182703581998)</f>
        <v>193.661827</v>
      </c>
      <c r="M1409" s="9">
        <v>4.5</v>
      </c>
      <c r="N1409" s="9">
        <v>168.0</v>
      </c>
      <c r="O1409" s="9" t="s">
        <v>5729</v>
      </c>
      <c r="P1409" s="14" t="s">
        <v>5730</v>
      </c>
      <c r="U1409" s="17"/>
      <c r="V1409" s="18"/>
      <c r="W1409" s="16"/>
      <c r="X1409" s="16"/>
      <c r="Y1409" s="16"/>
    </row>
    <row r="1410">
      <c r="A1410" s="9" t="s">
        <v>5731</v>
      </c>
      <c r="B1410" s="10" t="s">
        <v>5732</v>
      </c>
      <c r="C1410" s="10" t="s">
        <v>4060</v>
      </c>
      <c r="D1410" s="10" t="s">
        <v>2450</v>
      </c>
      <c r="E1410" s="10" t="s">
        <v>4038</v>
      </c>
      <c r="F1410" s="10" t="s">
        <v>4061</v>
      </c>
      <c r="G1410" s="10" t="s">
        <v>4062</v>
      </c>
      <c r="H1410" s="10" t="s">
        <v>4063</v>
      </c>
      <c r="I1410" s="11">
        <v>179.0</v>
      </c>
      <c r="J1410" s="11">
        <v>799.0</v>
      </c>
      <c r="K1410" s="12">
        <f t="shared" si="1"/>
        <v>0.7759699625</v>
      </c>
      <c r="L1410" s="13">
        <f>IFERROR(__xludf.DUMMYFUNCTION("GOOGLEFINANCE(""CURRENCY:INRBRL"") * I1410
"),10.53981971402)</f>
        <v>10.53981971</v>
      </c>
      <c r="M1410" s="9">
        <v>4.51</v>
      </c>
      <c r="N1410" s="9">
        <v>101.0</v>
      </c>
      <c r="O1410" s="9" t="s">
        <v>5733</v>
      </c>
      <c r="P1410" s="14" t="s">
        <v>5734</v>
      </c>
      <c r="U1410" s="17"/>
      <c r="V1410" s="18"/>
      <c r="W1410" s="16"/>
      <c r="X1410" s="16"/>
      <c r="Y1410" s="16"/>
    </row>
    <row r="1411">
      <c r="A1411" s="9" t="s">
        <v>5735</v>
      </c>
      <c r="B1411" s="10" t="s">
        <v>5736</v>
      </c>
      <c r="C1411" s="10" t="s">
        <v>5596</v>
      </c>
      <c r="D1411" s="10" t="s">
        <v>2450</v>
      </c>
      <c r="E1411" s="10" t="s">
        <v>4038</v>
      </c>
      <c r="F1411" s="10" t="s">
        <v>4493</v>
      </c>
      <c r="G1411" s="10" t="s">
        <v>5597</v>
      </c>
      <c r="H1411" s="10" t="s">
        <v>5598</v>
      </c>
      <c r="I1411" s="11">
        <v>149.0</v>
      </c>
      <c r="J1411" s="11">
        <v>300.0</v>
      </c>
      <c r="K1411" s="12">
        <f t="shared" si="1"/>
        <v>0.5033333333</v>
      </c>
      <c r="L1411" s="13">
        <f>IFERROR(__xludf.DUMMYFUNCTION("GOOGLEFINANCE(""CURRENCY:INRBRL"") * I1411
"),8.77336948262)</f>
        <v>8.773369483</v>
      </c>
      <c r="M1411" s="9">
        <v>4.49</v>
      </c>
      <c r="N1411" s="9">
        <v>4074.0</v>
      </c>
      <c r="O1411" s="9" t="s">
        <v>5737</v>
      </c>
      <c r="P1411" s="14" t="s">
        <v>5738</v>
      </c>
      <c r="U1411" s="17"/>
      <c r="V1411" s="18"/>
      <c r="W1411" s="16"/>
      <c r="X1411" s="16"/>
      <c r="Y1411" s="16"/>
    </row>
    <row r="1412">
      <c r="A1412" s="9" t="s">
        <v>5739</v>
      </c>
      <c r="B1412" s="10" t="s">
        <v>5740</v>
      </c>
      <c r="C1412" s="10" t="s">
        <v>4129</v>
      </c>
      <c r="D1412" s="10" t="s">
        <v>2450</v>
      </c>
      <c r="E1412" s="10" t="s">
        <v>4038</v>
      </c>
      <c r="F1412" s="10" t="s">
        <v>4039</v>
      </c>
      <c r="G1412" s="10" t="s">
        <v>4130</v>
      </c>
      <c r="H1412" s="10"/>
      <c r="I1412" s="11">
        <v>5489.0</v>
      </c>
      <c r="J1412" s="11">
        <v>7199.0</v>
      </c>
      <c r="K1412" s="12">
        <f t="shared" si="1"/>
        <v>0.2375329907</v>
      </c>
      <c r="L1412" s="13">
        <f>IFERROR(__xludf.DUMMYFUNCTION("GOOGLEFINANCE(""CURRENCY:INRBRL"") * I1412
"),323.20151067182)</f>
        <v>323.2015107</v>
      </c>
      <c r="M1412" s="9">
        <v>4.51</v>
      </c>
      <c r="N1412" s="9">
        <v>1408.0</v>
      </c>
      <c r="O1412" s="9" t="s">
        <v>5741</v>
      </c>
      <c r="P1412" s="14" t="s">
        <v>5742</v>
      </c>
      <c r="U1412" s="17"/>
      <c r="V1412" s="18"/>
      <c r="W1412" s="16"/>
      <c r="X1412" s="16"/>
      <c r="Y1412" s="16"/>
    </row>
    <row r="1413">
      <c r="A1413" s="9" t="s">
        <v>5743</v>
      </c>
      <c r="B1413" s="10" t="s">
        <v>5744</v>
      </c>
      <c r="C1413" s="10" t="s">
        <v>4068</v>
      </c>
      <c r="D1413" s="10" t="s">
        <v>2450</v>
      </c>
      <c r="E1413" s="10" t="s">
        <v>4038</v>
      </c>
      <c r="F1413" s="10" t="s">
        <v>4039</v>
      </c>
      <c r="G1413" s="10" t="s">
        <v>4069</v>
      </c>
      <c r="H1413" s="10"/>
      <c r="I1413" s="11">
        <v>379.0</v>
      </c>
      <c r="J1413" s="11">
        <v>389.0</v>
      </c>
      <c r="K1413" s="12">
        <f t="shared" si="1"/>
        <v>0.02570694087</v>
      </c>
      <c r="L1413" s="13">
        <f>IFERROR(__xludf.DUMMYFUNCTION("GOOGLEFINANCE(""CURRENCY:INRBRL"") * I1413
"),22.31615459002)</f>
        <v>22.31615459</v>
      </c>
      <c r="M1413" s="9">
        <v>4.5</v>
      </c>
      <c r="N1413" s="9">
        <v>3739.0</v>
      </c>
      <c r="O1413" s="9" t="s">
        <v>5745</v>
      </c>
      <c r="P1413" s="14" t="s">
        <v>5746</v>
      </c>
      <c r="U1413" s="17"/>
      <c r="V1413" s="18"/>
      <c r="W1413" s="16"/>
      <c r="X1413" s="16"/>
      <c r="Y1413" s="16"/>
    </row>
    <row r="1414">
      <c r="A1414" s="9" t="s">
        <v>5747</v>
      </c>
      <c r="B1414" s="10" t="s">
        <v>5748</v>
      </c>
      <c r="C1414" s="10" t="s">
        <v>4743</v>
      </c>
      <c r="D1414" s="10" t="s">
        <v>2450</v>
      </c>
      <c r="E1414" s="10" t="s">
        <v>4038</v>
      </c>
      <c r="F1414" s="10" t="s">
        <v>4545</v>
      </c>
      <c r="G1414" s="10" t="s">
        <v>4744</v>
      </c>
      <c r="H1414" s="10"/>
      <c r="I1414" s="11">
        <v>8699.0</v>
      </c>
      <c r="J1414" s="11">
        <v>13049.0</v>
      </c>
      <c r="K1414" s="12">
        <f t="shared" si="1"/>
        <v>0.3333588781</v>
      </c>
      <c r="L1414" s="13">
        <f>IFERROR(__xludf.DUMMYFUNCTION("GOOGLEFINANCE(""CURRENCY:INRBRL"") * I1414
"),512.21168543162)</f>
        <v>512.2116854</v>
      </c>
      <c r="M1414" s="9">
        <v>4.5</v>
      </c>
      <c r="N1414" s="9">
        <v>5891.0</v>
      </c>
      <c r="O1414" s="9" t="s">
        <v>5749</v>
      </c>
      <c r="P1414" s="14" t="s">
        <v>5750</v>
      </c>
      <c r="U1414" s="17"/>
      <c r="V1414" s="18"/>
      <c r="W1414" s="16"/>
      <c r="X1414" s="16"/>
      <c r="Y1414" s="16"/>
    </row>
    <row r="1415">
      <c r="A1415" s="9" t="s">
        <v>5751</v>
      </c>
      <c r="B1415" s="10" t="s">
        <v>5752</v>
      </c>
      <c r="C1415" s="10" t="s">
        <v>4129</v>
      </c>
      <c r="D1415" s="10" t="s">
        <v>2450</v>
      </c>
      <c r="E1415" s="10" t="s">
        <v>4038</v>
      </c>
      <c r="F1415" s="10" t="s">
        <v>4039</v>
      </c>
      <c r="G1415" s="10" t="s">
        <v>4130</v>
      </c>
      <c r="H1415" s="10"/>
      <c r="I1415" s="11">
        <v>3041.67</v>
      </c>
      <c r="J1415" s="11">
        <v>5999.0</v>
      </c>
      <c r="K1415" s="12">
        <f t="shared" si="1"/>
        <v>0.4929704951</v>
      </c>
      <c r="L1415" s="13">
        <f>IFERROR(__xludf.DUMMYFUNCTION("GOOGLEFINANCE(""CURRENCY:INRBRL"") * I1415
"),179.0986225114146)</f>
        <v>179.0986225</v>
      </c>
      <c r="M1415" s="9">
        <v>4.0</v>
      </c>
      <c r="N1415" s="9">
        <v>777.0</v>
      </c>
      <c r="O1415" s="9" t="s">
        <v>5753</v>
      </c>
      <c r="P1415" s="14" t="s">
        <v>5754</v>
      </c>
      <c r="U1415" s="17"/>
      <c r="V1415" s="18"/>
      <c r="W1415" s="16"/>
      <c r="X1415" s="16"/>
      <c r="Y1415" s="16"/>
    </row>
    <row r="1416">
      <c r="A1416" s="9" t="s">
        <v>5755</v>
      </c>
      <c r="B1416" s="10" t="s">
        <v>5756</v>
      </c>
      <c r="C1416" s="10" t="s">
        <v>4117</v>
      </c>
      <c r="D1416" s="10" t="s">
        <v>2450</v>
      </c>
      <c r="E1416" s="10" t="s">
        <v>4038</v>
      </c>
      <c r="F1416" s="10" t="s">
        <v>4039</v>
      </c>
      <c r="G1416" s="10" t="s">
        <v>4118</v>
      </c>
      <c r="H1416" s="10"/>
      <c r="I1416" s="11">
        <v>1745.0</v>
      </c>
      <c r="J1416" s="11">
        <v>2399.0</v>
      </c>
      <c r="K1416" s="12">
        <f t="shared" si="1"/>
        <v>0.272613589</v>
      </c>
      <c r="L1416" s="13">
        <f>IFERROR(__xludf.DUMMYFUNCTION("GOOGLEFINANCE(""CURRENCY:INRBRL"") * I1416
"),102.7485217931)</f>
        <v>102.7485218</v>
      </c>
      <c r="M1416" s="9">
        <v>4.5</v>
      </c>
      <c r="N1416" s="9">
        <v>1416.0</v>
      </c>
      <c r="O1416" s="9" t="s">
        <v>5757</v>
      </c>
      <c r="P1416" s="14" t="s">
        <v>5758</v>
      </c>
      <c r="U1416" s="17"/>
      <c r="V1416" s="18"/>
      <c r="W1416" s="16"/>
      <c r="X1416" s="16"/>
      <c r="Y1416" s="16"/>
    </row>
    <row r="1417">
      <c r="A1417" s="9" t="s">
        <v>5759</v>
      </c>
      <c r="B1417" s="10" t="s">
        <v>5760</v>
      </c>
      <c r="C1417" s="10" t="s">
        <v>4099</v>
      </c>
      <c r="D1417" s="10" t="s">
        <v>2450</v>
      </c>
      <c r="E1417" s="10" t="s">
        <v>4038</v>
      </c>
      <c r="F1417" s="10" t="s">
        <v>4039</v>
      </c>
      <c r="G1417" s="10" t="s">
        <v>4100</v>
      </c>
      <c r="H1417" s="10"/>
      <c r="I1417" s="11">
        <v>3179.0</v>
      </c>
      <c r="J1417" s="11">
        <v>5295.0</v>
      </c>
      <c r="K1417" s="12">
        <f t="shared" si="1"/>
        <v>0.3996222852</v>
      </c>
      <c r="L1417" s="13">
        <f>IFERROR(__xludf.DUMMYFUNCTION("GOOGLEFINANCE(""CURRENCY:INRBRL"") * I1417
"),187.18484285402)</f>
        <v>187.1848429</v>
      </c>
      <c r="M1417" s="9">
        <v>4.5</v>
      </c>
      <c r="N1417" s="9">
        <v>6919.0</v>
      </c>
      <c r="O1417" s="9" t="s">
        <v>5761</v>
      </c>
      <c r="P1417" s="14" t="s">
        <v>5762</v>
      </c>
      <c r="U1417" s="17"/>
      <c r="V1417" s="18"/>
      <c r="W1417" s="16"/>
      <c r="X1417" s="16"/>
      <c r="Y1417" s="16"/>
    </row>
    <row r="1418">
      <c r="A1418" s="9" t="s">
        <v>5763</v>
      </c>
      <c r="B1418" s="10" t="s">
        <v>5764</v>
      </c>
      <c r="C1418" s="10" t="s">
        <v>4743</v>
      </c>
      <c r="D1418" s="10" t="s">
        <v>2450</v>
      </c>
      <c r="E1418" s="10" t="s">
        <v>4038</v>
      </c>
      <c r="F1418" s="10" t="s">
        <v>4545</v>
      </c>
      <c r="G1418" s="10" t="s">
        <v>4744</v>
      </c>
      <c r="H1418" s="10"/>
      <c r="I1418" s="11">
        <v>4999.0</v>
      </c>
      <c r="J1418" s="11">
        <v>24999.0</v>
      </c>
      <c r="K1418" s="12">
        <f t="shared" si="1"/>
        <v>0.8000320013</v>
      </c>
      <c r="L1418" s="13">
        <f>IFERROR(__xludf.DUMMYFUNCTION("GOOGLEFINANCE(""CURRENCY:INRBRL"") * I1418
"),294.34949022562)</f>
        <v>294.3494902</v>
      </c>
      <c r="M1418" s="9">
        <v>4.51</v>
      </c>
      <c r="N1418" s="9">
        <v>287.0</v>
      </c>
      <c r="O1418" s="9" t="s">
        <v>5765</v>
      </c>
      <c r="P1418" s="14" t="s">
        <v>5766</v>
      </c>
      <c r="U1418" s="17"/>
      <c r="V1418" s="18"/>
      <c r="W1418" s="16"/>
      <c r="X1418" s="16"/>
      <c r="Y1418" s="16"/>
    </row>
    <row r="1419">
      <c r="A1419" s="9" t="s">
        <v>5767</v>
      </c>
      <c r="B1419" s="10" t="s">
        <v>5768</v>
      </c>
      <c r="C1419" s="10" t="s">
        <v>4212</v>
      </c>
      <c r="D1419" s="10" t="s">
        <v>2450</v>
      </c>
      <c r="E1419" s="10" t="s">
        <v>4213</v>
      </c>
      <c r="F1419" s="10" t="s">
        <v>4214</v>
      </c>
      <c r="G1419" s="10" t="s">
        <v>4215</v>
      </c>
      <c r="H1419" s="10"/>
      <c r="I1419" s="11">
        <v>390.0</v>
      </c>
      <c r="J1419" s="11">
        <v>799.0</v>
      </c>
      <c r="K1419" s="12">
        <f t="shared" si="1"/>
        <v>0.5118898623</v>
      </c>
      <c r="L1419" s="13">
        <f>IFERROR(__xludf.DUMMYFUNCTION("GOOGLEFINANCE(""CURRENCY:INRBRL"") * I1419
"),22.9638530082)</f>
        <v>22.96385301</v>
      </c>
      <c r="M1419" s="9">
        <v>4.51</v>
      </c>
      <c r="N1419" s="9">
        <v>287.0</v>
      </c>
      <c r="O1419" s="9" t="s">
        <v>5769</v>
      </c>
      <c r="P1419" s="14" t="s">
        <v>5770</v>
      </c>
      <c r="U1419" s="17"/>
      <c r="V1419" s="18"/>
      <c r="W1419" s="16"/>
      <c r="X1419" s="16"/>
      <c r="Y1419" s="16"/>
    </row>
    <row r="1420">
      <c r="A1420" s="9" t="s">
        <v>5771</v>
      </c>
      <c r="B1420" s="10" t="s">
        <v>5772</v>
      </c>
      <c r="C1420" s="10" t="s">
        <v>5773</v>
      </c>
      <c r="D1420" s="10" t="s">
        <v>2450</v>
      </c>
      <c r="E1420" s="10" t="s">
        <v>4038</v>
      </c>
      <c r="F1420" s="10" t="s">
        <v>4039</v>
      </c>
      <c r="G1420" s="10" t="s">
        <v>5774</v>
      </c>
      <c r="H1420" s="10"/>
      <c r="I1420" s="11">
        <v>1999.0</v>
      </c>
      <c r="J1420" s="11">
        <v>2999.0</v>
      </c>
      <c r="K1420" s="12">
        <f t="shared" si="1"/>
        <v>0.3334444815</v>
      </c>
      <c r="L1420" s="13">
        <f>IFERROR(__xludf.DUMMYFUNCTION("GOOGLEFINANCE(""CURRENCY:INRBRL"") * I1420
"),117.70446708562)</f>
        <v>117.7044671</v>
      </c>
      <c r="M1420" s="9">
        <v>4.5</v>
      </c>
      <c r="N1420" s="9">
        <v>388.0</v>
      </c>
      <c r="O1420" s="9" t="s">
        <v>5775</v>
      </c>
      <c r="P1420" s="14" t="s">
        <v>5776</v>
      </c>
      <c r="U1420" s="17"/>
      <c r="V1420" s="18"/>
      <c r="W1420" s="16"/>
      <c r="X1420" s="16"/>
      <c r="Y1420" s="16"/>
    </row>
    <row r="1421">
      <c r="A1421" s="9" t="s">
        <v>5777</v>
      </c>
      <c r="B1421" s="10" t="s">
        <v>5778</v>
      </c>
      <c r="C1421" s="10" t="s">
        <v>4278</v>
      </c>
      <c r="D1421" s="10" t="s">
        <v>2450</v>
      </c>
      <c r="E1421" s="10" t="s">
        <v>4038</v>
      </c>
      <c r="F1421" s="10" t="s">
        <v>4039</v>
      </c>
      <c r="G1421" s="10" t="s">
        <v>4279</v>
      </c>
      <c r="H1421" s="10"/>
      <c r="I1421" s="11">
        <v>1624.0</v>
      </c>
      <c r="J1421" s="11">
        <v>2495.0</v>
      </c>
      <c r="K1421" s="12">
        <f t="shared" si="1"/>
        <v>0.3490981964</v>
      </c>
      <c r="L1421" s="13">
        <f>IFERROR(__xludf.DUMMYFUNCTION("GOOGLEFINANCE(""CURRENCY:INRBRL"") * I1421
"),95.62383919311999)</f>
        <v>95.62383919</v>
      </c>
      <c r="M1421" s="9">
        <v>4.49</v>
      </c>
      <c r="N1421" s="9">
        <v>827.0</v>
      </c>
      <c r="O1421" s="9" t="s">
        <v>5779</v>
      </c>
      <c r="P1421" s="14" t="s">
        <v>5780</v>
      </c>
      <c r="U1421" s="17"/>
      <c r="V1421" s="18"/>
      <c r="W1421" s="16"/>
      <c r="X1421" s="16"/>
      <c r="Y1421" s="16"/>
    </row>
    <row r="1422">
      <c r="A1422" s="9" t="s">
        <v>5781</v>
      </c>
      <c r="B1422" s="10" t="s">
        <v>5782</v>
      </c>
      <c r="C1422" s="10" t="s">
        <v>5596</v>
      </c>
      <c r="D1422" s="10" t="s">
        <v>2450</v>
      </c>
      <c r="E1422" s="10" t="s">
        <v>4038</v>
      </c>
      <c r="F1422" s="10" t="s">
        <v>4493</v>
      </c>
      <c r="G1422" s="10" t="s">
        <v>5597</v>
      </c>
      <c r="H1422" s="10" t="s">
        <v>5598</v>
      </c>
      <c r="I1422" s="11">
        <v>184.0</v>
      </c>
      <c r="J1422" s="11">
        <v>450.0</v>
      </c>
      <c r="K1422" s="12">
        <f t="shared" si="1"/>
        <v>0.5911111111</v>
      </c>
      <c r="L1422" s="13">
        <f>IFERROR(__xludf.DUMMYFUNCTION("GOOGLEFINANCE(""CURRENCY:INRBRL"") * I1422
"),10.83422808592)</f>
        <v>10.83422809</v>
      </c>
      <c r="M1422" s="9">
        <v>4.5</v>
      </c>
      <c r="N1422" s="9">
        <v>4971.0</v>
      </c>
      <c r="O1422" s="9" t="s">
        <v>5783</v>
      </c>
      <c r="P1422" s="14" t="s">
        <v>5784</v>
      </c>
      <c r="U1422" s="17"/>
      <c r="V1422" s="18"/>
      <c r="W1422" s="16"/>
      <c r="X1422" s="16"/>
      <c r="Y1422" s="16"/>
    </row>
    <row r="1423">
      <c r="A1423" s="9" t="s">
        <v>5785</v>
      </c>
      <c r="B1423" s="10" t="s">
        <v>5786</v>
      </c>
      <c r="C1423" s="10" t="s">
        <v>4060</v>
      </c>
      <c r="D1423" s="10" t="s">
        <v>2450</v>
      </c>
      <c r="E1423" s="10" t="s">
        <v>4038</v>
      </c>
      <c r="F1423" s="10" t="s">
        <v>4061</v>
      </c>
      <c r="G1423" s="10" t="s">
        <v>4062</v>
      </c>
      <c r="H1423" s="10" t="s">
        <v>4063</v>
      </c>
      <c r="I1423" s="11">
        <v>445.0</v>
      </c>
      <c r="J1423" s="11">
        <v>999.0</v>
      </c>
      <c r="K1423" s="12">
        <f t="shared" si="1"/>
        <v>0.5545545546</v>
      </c>
      <c r="L1423" s="13">
        <f>IFERROR(__xludf.DUMMYFUNCTION("GOOGLEFINANCE(""CURRENCY:INRBRL"") * I1423
"),26.2023450991)</f>
        <v>26.2023451</v>
      </c>
      <c r="M1423" s="9">
        <v>4.5</v>
      </c>
      <c r="N1423" s="9">
        <v>229.0</v>
      </c>
      <c r="O1423" s="9" t="s">
        <v>5787</v>
      </c>
      <c r="P1423" s="14" t="s">
        <v>5788</v>
      </c>
      <c r="U1423" s="17"/>
      <c r="V1423" s="18"/>
      <c r="W1423" s="16"/>
      <c r="X1423" s="16"/>
      <c r="Y1423" s="16"/>
    </row>
    <row r="1424">
      <c r="A1424" s="9" t="s">
        <v>5789</v>
      </c>
      <c r="B1424" s="10" t="s">
        <v>5790</v>
      </c>
      <c r="C1424" s="10" t="s">
        <v>5791</v>
      </c>
      <c r="D1424" s="10" t="s">
        <v>2450</v>
      </c>
      <c r="E1424" s="10" t="s">
        <v>4047</v>
      </c>
      <c r="F1424" s="10" t="s">
        <v>5792</v>
      </c>
      <c r="G1424" s="10" t="s">
        <v>5793</v>
      </c>
      <c r="H1424" s="10"/>
      <c r="I1424" s="11">
        <v>699.0</v>
      </c>
      <c r="J1424" s="11">
        <v>1689.0</v>
      </c>
      <c r="K1424" s="12">
        <f t="shared" si="1"/>
        <v>0.5861456483</v>
      </c>
      <c r="L1424" s="13">
        <f>IFERROR(__xludf.DUMMYFUNCTION("GOOGLEFINANCE(""CURRENCY:INRBRL"") * I1424
"),41.15829039162)</f>
        <v>41.15829039</v>
      </c>
      <c r="M1424" s="9">
        <v>4.49</v>
      </c>
      <c r="N1424" s="9">
        <v>3524.0</v>
      </c>
      <c r="O1424" s="9" t="s">
        <v>5794</v>
      </c>
      <c r="P1424" s="14" t="s">
        <v>5795</v>
      </c>
      <c r="U1424" s="17"/>
      <c r="V1424" s="18"/>
      <c r="W1424" s="16"/>
      <c r="X1424" s="16"/>
      <c r="Y1424" s="16"/>
    </row>
    <row r="1425">
      <c r="A1425" s="9" t="s">
        <v>5796</v>
      </c>
      <c r="B1425" s="10" t="s">
        <v>5797</v>
      </c>
      <c r="C1425" s="10" t="s">
        <v>4099</v>
      </c>
      <c r="D1425" s="10" t="s">
        <v>2450</v>
      </c>
      <c r="E1425" s="10" t="s">
        <v>4038</v>
      </c>
      <c r="F1425" s="10" t="s">
        <v>4039</v>
      </c>
      <c r="G1425" s="10" t="s">
        <v>4100</v>
      </c>
      <c r="H1425" s="10"/>
      <c r="I1425" s="11">
        <v>1601.0</v>
      </c>
      <c r="J1425" s="11">
        <v>3889.0</v>
      </c>
      <c r="K1425" s="12">
        <f t="shared" si="1"/>
        <v>0.5883260478</v>
      </c>
      <c r="L1425" s="13">
        <f>IFERROR(__xludf.DUMMYFUNCTION("GOOGLEFINANCE(""CURRENCY:INRBRL"") * I1425
"),94.26956068238)</f>
        <v>94.26956068</v>
      </c>
      <c r="M1425" s="9">
        <v>4.5</v>
      </c>
      <c r="N1425" s="9">
        <v>156.0</v>
      </c>
      <c r="O1425" s="9" t="s">
        <v>5798</v>
      </c>
      <c r="P1425" s="14" t="s">
        <v>5799</v>
      </c>
      <c r="U1425" s="17"/>
      <c r="V1425" s="18"/>
      <c r="W1425" s="16"/>
      <c r="X1425" s="16"/>
      <c r="Y1425" s="16"/>
    </row>
    <row r="1426">
      <c r="A1426" s="9" t="s">
        <v>5800</v>
      </c>
      <c r="B1426" s="10" t="s">
        <v>5801</v>
      </c>
      <c r="C1426" s="10" t="s">
        <v>4544</v>
      </c>
      <c r="D1426" s="10" t="s">
        <v>2450</v>
      </c>
      <c r="E1426" s="10" t="s">
        <v>4038</v>
      </c>
      <c r="F1426" s="10" t="s">
        <v>4545</v>
      </c>
      <c r="G1426" s="10" t="s">
        <v>4546</v>
      </c>
      <c r="H1426" s="10"/>
      <c r="I1426" s="11">
        <v>231.0</v>
      </c>
      <c r="J1426" s="11">
        <v>260.0</v>
      </c>
      <c r="K1426" s="12">
        <f t="shared" si="1"/>
        <v>0.1115384615</v>
      </c>
      <c r="L1426" s="13">
        <f>IFERROR(__xludf.DUMMYFUNCTION("GOOGLEFINANCE(""CURRENCY:INRBRL"") * I1426
"),13.60166678178)</f>
        <v>13.60166678</v>
      </c>
      <c r="M1426" s="9">
        <v>4.49</v>
      </c>
      <c r="N1426" s="9">
        <v>490.0</v>
      </c>
      <c r="O1426" s="9" t="s">
        <v>5802</v>
      </c>
      <c r="P1426" s="14" t="s">
        <v>5803</v>
      </c>
      <c r="U1426" s="17"/>
      <c r="V1426" s="18"/>
      <c r="W1426" s="16"/>
      <c r="X1426" s="16"/>
      <c r="Y1426" s="16"/>
    </row>
    <row r="1427">
      <c r="A1427" s="9" t="s">
        <v>5804</v>
      </c>
      <c r="B1427" s="10" t="s">
        <v>5805</v>
      </c>
      <c r="C1427" s="10" t="s">
        <v>4060</v>
      </c>
      <c r="D1427" s="10" t="s">
        <v>2450</v>
      </c>
      <c r="E1427" s="10" t="s">
        <v>4038</v>
      </c>
      <c r="F1427" s="10" t="s">
        <v>4061</v>
      </c>
      <c r="G1427" s="10" t="s">
        <v>4062</v>
      </c>
      <c r="H1427" s="10" t="s">
        <v>4063</v>
      </c>
      <c r="I1427" s="11">
        <v>369.0</v>
      </c>
      <c r="J1427" s="11">
        <v>599.0</v>
      </c>
      <c r="K1427" s="12">
        <f t="shared" si="1"/>
        <v>0.3839732888</v>
      </c>
      <c r="L1427" s="13">
        <f>IFERROR(__xludf.DUMMYFUNCTION("GOOGLEFINANCE(""CURRENCY:INRBRL"") * I1427
"),21.72733784622)</f>
        <v>21.72733785</v>
      </c>
      <c r="M1427" s="9">
        <v>4.52</v>
      </c>
      <c r="N1427" s="9">
        <v>82.0</v>
      </c>
      <c r="O1427" s="9" t="s">
        <v>5806</v>
      </c>
      <c r="P1427" s="14" t="s">
        <v>5807</v>
      </c>
      <c r="U1427" s="17"/>
      <c r="V1427" s="18"/>
      <c r="W1427" s="16"/>
      <c r="X1427" s="16"/>
      <c r="Y1427" s="16"/>
    </row>
    <row r="1428">
      <c r="A1428" s="9" t="s">
        <v>5808</v>
      </c>
      <c r="B1428" s="10" t="s">
        <v>5809</v>
      </c>
      <c r="C1428" s="10" t="s">
        <v>4037</v>
      </c>
      <c r="D1428" s="10" t="s">
        <v>2450</v>
      </c>
      <c r="E1428" s="10" t="s">
        <v>4038</v>
      </c>
      <c r="F1428" s="10" t="s">
        <v>4039</v>
      </c>
      <c r="G1428" s="10" t="s">
        <v>4040</v>
      </c>
      <c r="H1428" s="10" t="s">
        <v>4041</v>
      </c>
      <c r="I1428" s="11">
        <v>809.0</v>
      </c>
      <c r="J1428" s="11">
        <v>1949.0</v>
      </c>
      <c r="K1428" s="12">
        <f t="shared" si="1"/>
        <v>0.5849153412</v>
      </c>
      <c r="L1428" s="13">
        <f>IFERROR(__xludf.DUMMYFUNCTION("GOOGLEFINANCE(""CURRENCY:INRBRL"") * I1428
"),47.63527457342)</f>
        <v>47.63527457</v>
      </c>
      <c r="M1428" s="9">
        <v>4.52</v>
      </c>
      <c r="N1428" s="9">
        <v>710.0</v>
      </c>
      <c r="O1428" s="9" t="s">
        <v>5810</v>
      </c>
      <c r="P1428" s="14" t="s">
        <v>5811</v>
      </c>
      <c r="U1428" s="17"/>
      <c r="V1428" s="18"/>
      <c r="W1428" s="16"/>
      <c r="X1428" s="16"/>
      <c r="Y1428" s="16"/>
    </row>
    <row r="1429">
      <c r="A1429" s="9" t="s">
        <v>5812</v>
      </c>
      <c r="B1429" s="10" t="s">
        <v>5813</v>
      </c>
      <c r="C1429" s="10" t="s">
        <v>4129</v>
      </c>
      <c r="D1429" s="10" t="s">
        <v>2450</v>
      </c>
      <c r="E1429" s="10" t="s">
        <v>4038</v>
      </c>
      <c r="F1429" s="10" t="s">
        <v>4039</v>
      </c>
      <c r="G1429" s="10" t="s">
        <v>4130</v>
      </c>
      <c r="H1429" s="10"/>
      <c r="I1429" s="11">
        <v>1199.0</v>
      </c>
      <c r="J1429" s="11">
        <v>2989.0</v>
      </c>
      <c r="K1429" s="12">
        <f t="shared" si="1"/>
        <v>0.5988624958</v>
      </c>
      <c r="L1429" s="13">
        <f>IFERROR(__xludf.DUMMYFUNCTION("GOOGLEFINANCE(""CURRENCY:INRBRL"") * I1429
"),70.59912758162)</f>
        <v>70.59912758</v>
      </c>
      <c r="M1429" s="9">
        <v>4.51</v>
      </c>
      <c r="N1429" s="9">
        <v>133.0</v>
      </c>
      <c r="O1429" s="9" t="s">
        <v>5814</v>
      </c>
      <c r="P1429" s="14" t="s">
        <v>5815</v>
      </c>
      <c r="U1429" s="17"/>
      <c r="V1429" s="18"/>
      <c r="W1429" s="16"/>
      <c r="X1429" s="16"/>
      <c r="Y1429" s="16"/>
    </row>
    <row r="1430">
      <c r="A1430" s="9" t="s">
        <v>5816</v>
      </c>
      <c r="B1430" s="10" t="s">
        <v>5817</v>
      </c>
      <c r="C1430" s="10" t="s">
        <v>4129</v>
      </c>
      <c r="D1430" s="10" t="s">
        <v>2450</v>
      </c>
      <c r="E1430" s="10" t="s">
        <v>4038</v>
      </c>
      <c r="F1430" s="10" t="s">
        <v>4039</v>
      </c>
      <c r="G1430" s="10" t="s">
        <v>4130</v>
      </c>
      <c r="H1430" s="10"/>
      <c r="I1430" s="11">
        <v>6119.0</v>
      </c>
      <c r="J1430" s="11">
        <v>8073.0</v>
      </c>
      <c r="K1430" s="12">
        <f t="shared" si="1"/>
        <v>0.2420413725</v>
      </c>
      <c r="L1430" s="13">
        <f>IFERROR(__xludf.DUMMYFUNCTION("GOOGLEFINANCE(""CURRENCY:INRBRL"") * I1430
"),360.29696553122)</f>
        <v>360.2969655</v>
      </c>
      <c r="M1430" s="9">
        <v>4.51</v>
      </c>
      <c r="N1430" s="9">
        <v>2751.0</v>
      </c>
      <c r="O1430" s="9" t="s">
        <v>5818</v>
      </c>
      <c r="P1430" s="14" t="s">
        <v>5819</v>
      </c>
      <c r="U1430" s="17"/>
      <c r="V1430" s="18"/>
      <c r="W1430" s="16"/>
      <c r="X1430" s="16"/>
      <c r="Y1430" s="16"/>
    </row>
    <row r="1431">
      <c r="A1431" s="9" t="s">
        <v>5820</v>
      </c>
      <c r="B1431" s="10" t="s">
        <v>5821</v>
      </c>
      <c r="C1431" s="10" t="s">
        <v>4220</v>
      </c>
      <c r="D1431" s="10" t="s">
        <v>2450</v>
      </c>
      <c r="E1431" s="10" t="s">
        <v>4038</v>
      </c>
      <c r="F1431" s="10" t="s">
        <v>4061</v>
      </c>
      <c r="G1431" s="10" t="s">
        <v>4062</v>
      </c>
      <c r="H1431" s="10" t="s">
        <v>4124</v>
      </c>
      <c r="I1431" s="11">
        <v>1799.0</v>
      </c>
      <c r="J1431" s="11">
        <v>2599.0</v>
      </c>
      <c r="K1431" s="12">
        <f t="shared" si="1"/>
        <v>0.3078106964</v>
      </c>
      <c r="L1431" s="13">
        <f>IFERROR(__xludf.DUMMYFUNCTION("GOOGLEFINANCE(""CURRENCY:INRBRL"") * I1431
"),105.92813220962)</f>
        <v>105.9281322</v>
      </c>
      <c r="M1431" s="9">
        <v>4.51</v>
      </c>
      <c r="N1431" s="9">
        <v>771.0</v>
      </c>
      <c r="O1431" s="9" t="s">
        <v>5822</v>
      </c>
      <c r="P1431" s="14" t="s">
        <v>5823</v>
      </c>
      <c r="U1431" s="17"/>
      <c r="V1431" s="18"/>
      <c r="W1431" s="16"/>
      <c r="X1431" s="16"/>
      <c r="Y1431" s="16"/>
    </row>
    <row r="1432">
      <c r="A1432" s="9" t="s">
        <v>5824</v>
      </c>
      <c r="B1432" s="10" t="s">
        <v>5825</v>
      </c>
      <c r="C1432" s="10" t="s">
        <v>5308</v>
      </c>
      <c r="D1432" s="10" t="s">
        <v>2450</v>
      </c>
      <c r="E1432" s="10" t="s">
        <v>4038</v>
      </c>
      <c r="F1432" s="10" t="s">
        <v>4061</v>
      </c>
      <c r="G1432" s="10" t="s">
        <v>4252</v>
      </c>
      <c r="H1432" s="10" t="s">
        <v>4253</v>
      </c>
      <c r="I1432" s="11">
        <v>18999.0</v>
      </c>
      <c r="J1432" s="11">
        <v>29999.0</v>
      </c>
      <c r="K1432" s="12">
        <f t="shared" si="1"/>
        <v>0.3666788893</v>
      </c>
      <c r="L1432" s="13">
        <f>IFERROR(__xludf.DUMMYFUNCTION("GOOGLEFINANCE(""CURRENCY:INRBRL"") * I1432
"),1118.69293154562)</f>
        <v>1118.692932</v>
      </c>
      <c r="M1432" s="9">
        <v>4.49</v>
      </c>
      <c r="N1432" s="9">
        <v>2536.0</v>
      </c>
      <c r="O1432" s="9" t="s">
        <v>5826</v>
      </c>
      <c r="P1432" s="14" t="s">
        <v>5827</v>
      </c>
      <c r="U1432" s="17"/>
      <c r="V1432" s="18"/>
      <c r="W1432" s="16"/>
      <c r="X1432" s="16"/>
      <c r="Y1432" s="16"/>
    </row>
    <row r="1433">
      <c r="A1433" s="9" t="s">
        <v>5828</v>
      </c>
      <c r="B1433" s="10" t="s">
        <v>5829</v>
      </c>
      <c r="C1433" s="10" t="s">
        <v>4524</v>
      </c>
      <c r="D1433" s="10" t="s">
        <v>2450</v>
      </c>
      <c r="E1433" s="10" t="s">
        <v>4047</v>
      </c>
      <c r="F1433" s="10" t="s">
        <v>4393</v>
      </c>
      <c r="G1433" s="10" t="s">
        <v>4525</v>
      </c>
      <c r="H1433" s="10"/>
      <c r="I1433" s="11">
        <v>1999.0</v>
      </c>
      <c r="J1433" s="11">
        <v>2359.0</v>
      </c>
      <c r="K1433" s="12">
        <f t="shared" si="1"/>
        <v>0.1526070369</v>
      </c>
      <c r="L1433" s="13">
        <f>IFERROR(__xludf.DUMMYFUNCTION("GOOGLEFINANCE(""CURRENCY:INRBRL"") * I1433
"),117.70446708562)</f>
        <v>117.7044671</v>
      </c>
      <c r="M1433" s="9">
        <v>4.5</v>
      </c>
      <c r="N1433" s="9">
        <v>7801.0</v>
      </c>
      <c r="O1433" s="9" t="s">
        <v>5830</v>
      </c>
      <c r="P1433" s="14" t="s">
        <v>5831</v>
      </c>
      <c r="U1433" s="17"/>
      <c r="V1433" s="18"/>
      <c r="W1433" s="16"/>
      <c r="X1433" s="16"/>
      <c r="Y1433" s="16"/>
    </row>
    <row r="1434">
      <c r="A1434" s="9" t="s">
        <v>5832</v>
      </c>
      <c r="B1434" s="10" t="s">
        <v>5833</v>
      </c>
      <c r="C1434" s="10" t="s">
        <v>5834</v>
      </c>
      <c r="D1434" s="10" t="s">
        <v>2450</v>
      </c>
      <c r="E1434" s="10" t="s">
        <v>4038</v>
      </c>
      <c r="F1434" s="10" t="s">
        <v>4039</v>
      </c>
      <c r="G1434" s="10" t="s">
        <v>5835</v>
      </c>
      <c r="H1434" s="10"/>
      <c r="I1434" s="11">
        <v>5999.0</v>
      </c>
      <c r="J1434" s="11">
        <v>11495.0</v>
      </c>
      <c r="K1434" s="12">
        <f t="shared" si="1"/>
        <v>0.4781209221</v>
      </c>
      <c r="L1434" s="13">
        <f>IFERROR(__xludf.DUMMYFUNCTION("GOOGLEFINANCE(""CURRENCY:INRBRL"") * I1434
"),353.23116460562)</f>
        <v>353.2311646</v>
      </c>
      <c r="M1434" s="9">
        <v>4.5</v>
      </c>
      <c r="N1434" s="9">
        <v>534.0</v>
      </c>
      <c r="O1434" s="9" t="s">
        <v>5836</v>
      </c>
      <c r="P1434" s="14" t="s">
        <v>5837</v>
      </c>
      <c r="U1434" s="17"/>
      <c r="V1434" s="18"/>
      <c r="W1434" s="16"/>
      <c r="X1434" s="16"/>
      <c r="Y1434" s="16"/>
    </row>
    <row r="1435">
      <c r="A1435" s="9" t="s">
        <v>5838</v>
      </c>
      <c r="B1435" s="10" t="s">
        <v>5839</v>
      </c>
      <c r="C1435" s="10" t="s">
        <v>4392</v>
      </c>
      <c r="D1435" s="10" t="s">
        <v>2450</v>
      </c>
      <c r="E1435" s="10" t="s">
        <v>4047</v>
      </c>
      <c r="F1435" s="10" t="s">
        <v>4393</v>
      </c>
      <c r="G1435" s="10" t="s">
        <v>4394</v>
      </c>
      <c r="H1435" s="10"/>
      <c r="I1435" s="11">
        <v>2599.0</v>
      </c>
      <c r="J1435" s="11">
        <v>4779.0</v>
      </c>
      <c r="K1435" s="12">
        <f t="shared" si="1"/>
        <v>0.4561623771</v>
      </c>
      <c r="L1435" s="13">
        <f>IFERROR(__xludf.DUMMYFUNCTION("GOOGLEFINANCE(""CURRENCY:INRBRL"") * I1435
"),153.03347171362)</f>
        <v>153.0334717</v>
      </c>
      <c r="M1435" s="9">
        <v>4.52</v>
      </c>
      <c r="N1435" s="9">
        <v>898.0</v>
      </c>
      <c r="O1435" s="9" t="s">
        <v>5840</v>
      </c>
      <c r="P1435" s="14" t="s">
        <v>5841</v>
      </c>
      <c r="U1435" s="17"/>
      <c r="V1435" s="18"/>
      <c r="W1435" s="16"/>
      <c r="X1435" s="16"/>
      <c r="Y1435" s="16"/>
    </row>
    <row r="1436">
      <c r="A1436" s="9" t="s">
        <v>5842</v>
      </c>
      <c r="B1436" s="10" t="s">
        <v>5843</v>
      </c>
      <c r="C1436" s="10" t="s">
        <v>5540</v>
      </c>
      <c r="D1436" s="10" t="s">
        <v>2450</v>
      </c>
      <c r="E1436" s="10" t="s">
        <v>4038</v>
      </c>
      <c r="F1436" s="10" t="s">
        <v>4039</v>
      </c>
      <c r="G1436" s="10" t="s">
        <v>5541</v>
      </c>
      <c r="H1436" s="10"/>
      <c r="I1436" s="11">
        <v>1199.0</v>
      </c>
      <c r="J1436" s="11">
        <v>2399.0</v>
      </c>
      <c r="K1436" s="12">
        <f t="shared" si="1"/>
        <v>0.5002084202</v>
      </c>
      <c r="L1436" s="13">
        <f>IFERROR(__xludf.DUMMYFUNCTION("GOOGLEFINANCE(""CURRENCY:INRBRL"") * I1436
"),70.59912758162)</f>
        <v>70.59912758</v>
      </c>
      <c r="M1436" s="9">
        <v>4.52</v>
      </c>
      <c r="N1436" s="9">
        <v>1202.0</v>
      </c>
      <c r="O1436" s="9" t="s">
        <v>5844</v>
      </c>
      <c r="P1436" s="14" t="s">
        <v>5845</v>
      </c>
      <c r="U1436" s="17"/>
      <c r="V1436" s="18"/>
      <c r="W1436" s="16"/>
      <c r="X1436" s="16"/>
      <c r="Y1436" s="16"/>
    </row>
    <row r="1437">
      <c r="A1437" s="9" t="s">
        <v>5846</v>
      </c>
      <c r="B1437" s="10" t="s">
        <v>5847</v>
      </c>
      <c r="C1437" s="10" t="s">
        <v>4212</v>
      </c>
      <c r="D1437" s="10" t="s">
        <v>2450</v>
      </c>
      <c r="E1437" s="10" t="s">
        <v>4213</v>
      </c>
      <c r="F1437" s="10" t="s">
        <v>4214</v>
      </c>
      <c r="G1437" s="10" t="s">
        <v>4215</v>
      </c>
      <c r="H1437" s="10"/>
      <c r="I1437" s="11">
        <v>219.0</v>
      </c>
      <c r="J1437" s="11">
        <v>249.0</v>
      </c>
      <c r="K1437" s="12">
        <f t="shared" si="1"/>
        <v>0.1204819277</v>
      </c>
      <c r="L1437" s="13">
        <f>IFERROR(__xludf.DUMMYFUNCTION("GOOGLEFINANCE(""CURRENCY:INRBRL"") * I1437
"),12.89508668922)</f>
        <v>12.89508669</v>
      </c>
      <c r="M1437" s="9">
        <v>4.0</v>
      </c>
      <c r="N1437" s="9">
        <v>1108.0</v>
      </c>
      <c r="O1437" s="9" t="s">
        <v>5848</v>
      </c>
      <c r="P1437" s="14" t="s">
        <v>5849</v>
      </c>
      <c r="U1437" s="17"/>
      <c r="V1437" s="18"/>
      <c r="W1437" s="16"/>
      <c r="X1437" s="16"/>
      <c r="Y1437" s="16"/>
    </row>
    <row r="1438">
      <c r="A1438" s="9" t="s">
        <v>5850</v>
      </c>
      <c r="B1438" s="10" t="s">
        <v>5851</v>
      </c>
      <c r="C1438" s="10" t="s">
        <v>4054</v>
      </c>
      <c r="D1438" s="10" t="s">
        <v>2450</v>
      </c>
      <c r="E1438" s="10" t="s">
        <v>4047</v>
      </c>
      <c r="F1438" s="10" t="s">
        <v>4048</v>
      </c>
      <c r="G1438" s="10" t="s">
        <v>4055</v>
      </c>
      <c r="H1438" s="10"/>
      <c r="I1438" s="11">
        <v>799.0</v>
      </c>
      <c r="J1438" s="11">
        <v>1199.0</v>
      </c>
      <c r="K1438" s="12">
        <f t="shared" si="1"/>
        <v>0.3336113428</v>
      </c>
      <c r="L1438" s="13">
        <f>IFERROR(__xludf.DUMMYFUNCTION("GOOGLEFINANCE(""CURRENCY:INRBRL"") * I1438
"),47.046457829619996)</f>
        <v>47.04645783</v>
      </c>
      <c r="M1438" s="9">
        <v>4.5</v>
      </c>
      <c r="N1438" s="9">
        <v>17.0</v>
      </c>
      <c r="O1438" s="9" t="s">
        <v>4326</v>
      </c>
      <c r="P1438" s="14" t="s">
        <v>5852</v>
      </c>
      <c r="U1438" s="17"/>
      <c r="V1438" s="18"/>
      <c r="W1438" s="16"/>
      <c r="X1438" s="16"/>
      <c r="Y1438" s="16"/>
    </row>
    <row r="1439">
      <c r="A1439" s="9" t="s">
        <v>5853</v>
      </c>
      <c r="B1439" s="10" t="s">
        <v>5854</v>
      </c>
      <c r="C1439" s="10" t="s">
        <v>4680</v>
      </c>
      <c r="D1439" s="10" t="s">
        <v>2450</v>
      </c>
      <c r="E1439" s="10" t="s">
        <v>4038</v>
      </c>
      <c r="F1439" s="10" t="s">
        <v>4061</v>
      </c>
      <c r="G1439" s="10" t="s">
        <v>4252</v>
      </c>
      <c r="H1439" s="10" t="s">
        <v>4253</v>
      </c>
      <c r="I1439" s="11">
        <v>6199.0</v>
      </c>
      <c r="J1439" s="11">
        <v>10999.0</v>
      </c>
      <c r="K1439" s="12">
        <f t="shared" si="1"/>
        <v>0.4364033094</v>
      </c>
      <c r="L1439" s="13">
        <f>IFERROR(__xludf.DUMMYFUNCTION("GOOGLEFINANCE(""CURRENCY:INRBRL"") * I1439
"),365.00749948162)</f>
        <v>365.0074995</v>
      </c>
      <c r="M1439" s="9">
        <v>4.5</v>
      </c>
      <c r="N1439" s="9">
        <v>10429.0</v>
      </c>
      <c r="O1439" s="9" t="s">
        <v>5855</v>
      </c>
      <c r="P1439" s="14" t="s">
        <v>5856</v>
      </c>
      <c r="U1439" s="17"/>
      <c r="V1439" s="18"/>
      <c r="W1439" s="16"/>
      <c r="X1439" s="16"/>
      <c r="Y1439" s="16"/>
    </row>
    <row r="1440">
      <c r="A1440" s="9" t="s">
        <v>5857</v>
      </c>
      <c r="B1440" s="10" t="s">
        <v>5858</v>
      </c>
      <c r="C1440" s="10" t="s">
        <v>4205</v>
      </c>
      <c r="D1440" s="10" t="s">
        <v>2450</v>
      </c>
      <c r="E1440" s="10" t="s">
        <v>4038</v>
      </c>
      <c r="F1440" s="10" t="s">
        <v>4039</v>
      </c>
      <c r="G1440" s="10" t="s">
        <v>4206</v>
      </c>
      <c r="H1440" s="10" t="s">
        <v>4207</v>
      </c>
      <c r="I1440" s="11">
        <v>6789.0</v>
      </c>
      <c r="J1440" s="11">
        <v>10995.0</v>
      </c>
      <c r="K1440" s="12">
        <f t="shared" si="1"/>
        <v>0.3825375171</v>
      </c>
      <c r="L1440" s="13">
        <f>IFERROR(__xludf.DUMMYFUNCTION("GOOGLEFINANCE(""CURRENCY:INRBRL"") * I1440
"),399.74768736582)</f>
        <v>399.7476874</v>
      </c>
      <c r="M1440" s="9">
        <v>4.51</v>
      </c>
      <c r="N1440" s="9">
        <v>3192.0</v>
      </c>
      <c r="O1440" s="9" t="s">
        <v>5859</v>
      </c>
      <c r="P1440" s="14" t="s">
        <v>5860</v>
      </c>
      <c r="U1440" s="17"/>
      <c r="V1440" s="18"/>
      <c r="W1440" s="16"/>
      <c r="X1440" s="16"/>
      <c r="Y1440" s="16"/>
    </row>
    <row r="1441">
      <c r="A1441" s="9" t="s">
        <v>5861</v>
      </c>
      <c r="B1441" s="10" t="s">
        <v>5862</v>
      </c>
      <c r="C1441" s="10" t="s">
        <v>5863</v>
      </c>
      <c r="D1441" s="10" t="s">
        <v>2450</v>
      </c>
      <c r="E1441" s="10" t="s">
        <v>4047</v>
      </c>
      <c r="F1441" s="10" t="s">
        <v>4393</v>
      </c>
      <c r="G1441" s="10" t="s">
        <v>5864</v>
      </c>
      <c r="H1441" s="10"/>
      <c r="I1441" s="11">
        <v>1982.84</v>
      </c>
      <c r="J1441" s="11">
        <v>3299.0</v>
      </c>
      <c r="K1441" s="12">
        <f t="shared" si="1"/>
        <v>0.3989572598</v>
      </c>
      <c r="L1441" s="13">
        <f>IFERROR(__xludf.DUMMYFUNCTION("GOOGLEFINANCE(""CURRENCY:INRBRL"") * I1441
"),116.75293922763919)</f>
        <v>116.7529392</v>
      </c>
      <c r="M1441" s="9">
        <v>4.49</v>
      </c>
      <c r="N1441" s="9">
        <v>5873.0</v>
      </c>
      <c r="O1441" s="9" t="s">
        <v>5865</v>
      </c>
      <c r="P1441" s="14" t="s">
        <v>5866</v>
      </c>
      <c r="U1441" s="17"/>
      <c r="V1441" s="18"/>
      <c r="W1441" s="16"/>
      <c r="X1441" s="16"/>
      <c r="Y1441" s="16"/>
    </row>
    <row r="1442">
      <c r="A1442" s="9" t="s">
        <v>5867</v>
      </c>
      <c r="B1442" s="10" t="s">
        <v>5868</v>
      </c>
      <c r="C1442" s="10" t="s">
        <v>4544</v>
      </c>
      <c r="D1442" s="10" t="s">
        <v>2450</v>
      </c>
      <c r="E1442" s="10" t="s">
        <v>4038</v>
      </c>
      <c r="F1442" s="10" t="s">
        <v>4545</v>
      </c>
      <c r="G1442" s="10" t="s">
        <v>4546</v>
      </c>
      <c r="H1442" s="10"/>
      <c r="I1442" s="11">
        <v>199.0</v>
      </c>
      <c r="J1442" s="11">
        <v>400.0</v>
      </c>
      <c r="K1442" s="12">
        <f t="shared" si="1"/>
        <v>0.5025</v>
      </c>
      <c r="L1442" s="13">
        <f>IFERROR(__xludf.DUMMYFUNCTION("GOOGLEFINANCE(""CURRENCY:INRBRL"") * I1442
"),11.71745320162)</f>
        <v>11.7174532</v>
      </c>
      <c r="M1442" s="9">
        <v>4.49</v>
      </c>
      <c r="N1442" s="9">
        <v>1379.0</v>
      </c>
      <c r="O1442" s="9" t="s">
        <v>5869</v>
      </c>
      <c r="P1442" s="14" t="s">
        <v>5870</v>
      </c>
      <c r="U1442" s="17"/>
      <c r="V1442" s="18"/>
      <c r="W1442" s="16"/>
      <c r="X1442" s="16"/>
      <c r="Y1442" s="16"/>
    </row>
    <row r="1443">
      <c r="A1443" s="9" t="s">
        <v>5871</v>
      </c>
      <c r="B1443" s="10" t="s">
        <v>5872</v>
      </c>
      <c r="C1443" s="10" t="s">
        <v>4037</v>
      </c>
      <c r="D1443" s="10" t="s">
        <v>2450</v>
      </c>
      <c r="E1443" s="10" t="s">
        <v>4038</v>
      </c>
      <c r="F1443" s="10" t="s">
        <v>4039</v>
      </c>
      <c r="G1443" s="10" t="s">
        <v>4040</v>
      </c>
      <c r="H1443" s="10" t="s">
        <v>4041</v>
      </c>
      <c r="I1443" s="11">
        <v>1179.0</v>
      </c>
      <c r="J1443" s="11">
        <v>1439.0</v>
      </c>
      <c r="K1443" s="12">
        <f t="shared" si="1"/>
        <v>0.1806810285</v>
      </c>
      <c r="L1443" s="13">
        <f>IFERROR(__xludf.DUMMYFUNCTION("GOOGLEFINANCE(""CURRENCY:INRBRL"") * I1443
"),69.42149409402)</f>
        <v>69.42149409</v>
      </c>
      <c r="M1443" s="9">
        <v>4.5</v>
      </c>
      <c r="N1443" s="9">
        <v>1527.0</v>
      </c>
      <c r="O1443" s="9" t="s">
        <v>5873</v>
      </c>
      <c r="P1443" s="14" t="s">
        <v>5874</v>
      </c>
      <c r="U1443" s="17"/>
      <c r="V1443" s="18"/>
      <c r="W1443" s="16"/>
      <c r="X1443" s="16"/>
      <c r="Y1443" s="16"/>
    </row>
    <row r="1444">
      <c r="A1444" s="9" t="s">
        <v>5875</v>
      </c>
      <c r="B1444" s="10" t="s">
        <v>5876</v>
      </c>
      <c r="C1444" s="10" t="s">
        <v>4392</v>
      </c>
      <c r="D1444" s="10" t="s">
        <v>2450</v>
      </c>
      <c r="E1444" s="10" t="s">
        <v>4047</v>
      </c>
      <c r="F1444" s="10" t="s">
        <v>4393</v>
      </c>
      <c r="G1444" s="10" t="s">
        <v>4394</v>
      </c>
      <c r="H1444" s="10"/>
      <c r="I1444" s="11">
        <v>2199.0</v>
      </c>
      <c r="J1444" s="11">
        <v>3045.0</v>
      </c>
      <c r="K1444" s="12">
        <f t="shared" si="1"/>
        <v>0.2778325123</v>
      </c>
      <c r="L1444" s="13">
        <f>IFERROR(__xludf.DUMMYFUNCTION("GOOGLEFINANCE(""CURRENCY:INRBRL"") * I1444
"),129.48080196162)</f>
        <v>129.480802</v>
      </c>
      <c r="M1444" s="9">
        <v>4.5</v>
      </c>
      <c r="N1444" s="9">
        <v>2686.0</v>
      </c>
      <c r="O1444" s="9" t="s">
        <v>5877</v>
      </c>
      <c r="P1444" s="14" t="s">
        <v>5878</v>
      </c>
      <c r="U1444" s="17"/>
      <c r="V1444" s="18"/>
      <c r="W1444" s="16"/>
      <c r="X1444" s="16"/>
      <c r="Y1444" s="16"/>
    </row>
    <row r="1445">
      <c r="A1445" s="9" t="s">
        <v>5879</v>
      </c>
      <c r="B1445" s="10" t="s">
        <v>5880</v>
      </c>
      <c r="C1445" s="10" t="s">
        <v>4534</v>
      </c>
      <c r="D1445" s="10" t="s">
        <v>2450</v>
      </c>
      <c r="E1445" s="10" t="s">
        <v>4038</v>
      </c>
      <c r="F1445" s="10" t="s">
        <v>4493</v>
      </c>
      <c r="G1445" s="10" t="s">
        <v>4535</v>
      </c>
      <c r="H1445" s="10"/>
      <c r="I1445" s="11">
        <v>2999.0</v>
      </c>
      <c r="J1445" s="11">
        <v>3595.0</v>
      </c>
      <c r="K1445" s="12">
        <f t="shared" si="1"/>
        <v>0.1657858136</v>
      </c>
      <c r="L1445" s="13">
        <f>IFERROR(__xludf.DUMMYFUNCTION("GOOGLEFINANCE(""CURRENCY:INRBRL"") * I1445
"),176.58614146562)</f>
        <v>176.5861415</v>
      </c>
      <c r="M1445" s="9">
        <v>4.0</v>
      </c>
      <c r="N1445" s="9">
        <v>178.0</v>
      </c>
      <c r="O1445" s="9" t="s">
        <v>5881</v>
      </c>
      <c r="P1445" s="14" t="s">
        <v>5882</v>
      </c>
      <c r="U1445" s="17"/>
      <c r="V1445" s="18"/>
      <c r="W1445" s="16"/>
      <c r="X1445" s="16"/>
      <c r="Y1445" s="16"/>
    </row>
    <row r="1446">
      <c r="A1446" s="9" t="s">
        <v>5883</v>
      </c>
      <c r="B1446" s="10" t="s">
        <v>5884</v>
      </c>
      <c r="C1446" s="10" t="s">
        <v>5885</v>
      </c>
      <c r="D1446" s="10" t="s">
        <v>2450</v>
      </c>
      <c r="E1446" s="10" t="s">
        <v>4038</v>
      </c>
      <c r="F1446" s="10" t="s">
        <v>4061</v>
      </c>
      <c r="G1446" s="10" t="s">
        <v>4252</v>
      </c>
      <c r="H1446" s="10" t="s">
        <v>5886</v>
      </c>
      <c r="I1446" s="11">
        <v>253.0</v>
      </c>
      <c r="J1446" s="11">
        <v>500.0</v>
      </c>
      <c r="K1446" s="12">
        <f t="shared" si="1"/>
        <v>0.494</v>
      </c>
      <c r="L1446" s="13">
        <f>IFERROR(__xludf.DUMMYFUNCTION("GOOGLEFINANCE(""CURRENCY:INRBRL"") * I1446
"),14.897063618139999)</f>
        <v>14.89706362</v>
      </c>
      <c r="M1446" s="9">
        <v>4.5</v>
      </c>
      <c r="N1446" s="9">
        <v>2664.0</v>
      </c>
      <c r="O1446" s="9" t="s">
        <v>5887</v>
      </c>
      <c r="P1446" s="14" t="s">
        <v>5888</v>
      </c>
      <c r="U1446" s="17"/>
      <c r="V1446" s="18"/>
      <c r="W1446" s="16"/>
      <c r="X1446" s="16"/>
      <c r="Y1446" s="16"/>
    </row>
    <row r="1447">
      <c r="A1447" s="9" t="s">
        <v>5889</v>
      </c>
      <c r="B1447" s="10" t="s">
        <v>5890</v>
      </c>
      <c r="C1447" s="10" t="s">
        <v>5175</v>
      </c>
      <c r="D1447" s="10" t="s">
        <v>2450</v>
      </c>
      <c r="E1447" s="10" t="s">
        <v>4047</v>
      </c>
      <c r="F1447" s="10" t="s">
        <v>5176</v>
      </c>
      <c r="G1447" s="10"/>
      <c r="H1447" s="10"/>
      <c r="I1447" s="11">
        <v>499.0</v>
      </c>
      <c r="J1447" s="11">
        <v>799.0</v>
      </c>
      <c r="K1447" s="12">
        <f t="shared" si="1"/>
        <v>0.3754693367</v>
      </c>
      <c r="L1447" s="13">
        <f>IFERROR(__xludf.DUMMYFUNCTION("GOOGLEFINANCE(""CURRENCY:INRBRL"") * I1447
"),29.38195551562)</f>
        <v>29.38195552</v>
      </c>
      <c r="M1447" s="9">
        <v>4.51</v>
      </c>
      <c r="N1447" s="9">
        <v>212.0</v>
      </c>
      <c r="O1447" s="9" t="s">
        <v>5891</v>
      </c>
      <c r="P1447" s="14" t="s">
        <v>5892</v>
      </c>
      <c r="U1447" s="17"/>
      <c r="V1447" s="18"/>
      <c r="W1447" s="16"/>
      <c r="X1447" s="16"/>
      <c r="Y1447" s="16"/>
    </row>
    <row r="1448">
      <c r="A1448" s="9" t="s">
        <v>5893</v>
      </c>
      <c r="B1448" s="10" t="s">
        <v>5894</v>
      </c>
      <c r="C1448" s="10" t="s">
        <v>4046</v>
      </c>
      <c r="D1448" s="10" t="s">
        <v>2450</v>
      </c>
      <c r="E1448" s="10" t="s">
        <v>4047</v>
      </c>
      <c r="F1448" s="10" t="s">
        <v>4048</v>
      </c>
      <c r="G1448" s="10" t="s">
        <v>4049</v>
      </c>
      <c r="H1448" s="10"/>
      <c r="I1448" s="11">
        <v>1149.0</v>
      </c>
      <c r="J1448" s="11">
        <v>1899.0</v>
      </c>
      <c r="K1448" s="12">
        <f t="shared" si="1"/>
        <v>0.3949447077</v>
      </c>
      <c r="L1448" s="13">
        <f>IFERROR(__xludf.DUMMYFUNCTION("GOOGLEFINANCE(""CURRENCY:INRBRL"") * I1448
"),67.65504386262)</f>
        <v>67.65504386</v>
      </c>
      <c r="M1448" s="9">
        <v>4.5</v>
      </c>
      <c r="N1448" s="9">
        <v>24.0</v>
      </c>
      <c r="O1448" s="9" t="s">
        <v>5895</v>
      </c>
      <c r="P1448" s="14" t="s">
        <v>5896</v>
      </c>
      <c r="U1448" s="17"/>
      <c r="V1448" s="18"/>
      <c r="W1448" s="16"/>
      <c r="X1448" s="16"/>
      <c r="Y1448" s="16"/>
    </row>
    <row r="1449">
      <c r="A1449" s="9" t="s">
        <v>5897</v>
      </c>
      <c r="B1449" s="10" t="s">
        <v>5898</v>
      </c>
      <c r="C1449" s="10" t="s">
        <v>4123</v>
      </c>
      <c r="D1449" s="10" t="s">
        <v>2450</v>
      </c>
      <c r="E1449" s="10" t="s">
        <v>4038</v>
      </c>
      <c r="F1449" s="10" t="s">
        <v>4061</v>
      </c>
      <c r="G1449" s="10" t="s">
        <v>4062</v>
      </c>
      <c r="H1449" s="10" t="s">
        <v>4124</v>
      </c>
      <c r="I1449" s="11">
        <v>457.0</v>
      </c>
      <c r="J1449" s="11">
        <v>799.0</v>
      </c>
      <c r="K1449" s="12">
        <f t="shared" si="1"/>
        <v>0.4280350438</v>
      </c>
      <c r="L1449" s="13">
        <f>IFERROR(__xludf.DUMMYFUNCTION("GOOGLEFINANCE(""CURRENCY:INRBRL"") * I1449
"),26.90892519166)</f>
        <v>26.90892519</v>
      </c>
      <c r="M1449" s="9">
        <v>4.5</v>
      </c>
      <c r="N1449" s="9">
        <v>1868.0</v>
      </c>
      <c r="O1449" s="9" t="s">
        <v>5899</v>
      </c>
      <c r="P1449" s="14" t="s">
        <v>5900</v>
      </c>
      <c r="U1449" s="17"/>
      <c r="V1449" s="18"/>
      <c r="W1449" s="16"/>
      <c r="X1449" s="16"/>
      <c r="Y1449" s="16"/>
    </row>
    <row r="1450">
      <c r="A1450" s="9" t="s">
        <v>5901</v>
      </c>
      <c r="B1450" s="10" t="s">
        <v>5902</v>
      </c>
      <c r="C1450" s="10" t="s">
        <v>5157</v>
      </c>
      <c r="D1450" s="10" t="s">
        <v>2450</v>
      </c>
      <c r="E1450" s="10" t="s">
        <v>4038</v>
      </c>
      <c r="F1450" s="10" t="s">
        <v>4493</v>
      </c>
      <c r="G1450" s="10" t="s">
        <v>5158</v>
      </c>
      <c r="H1450" s="10"/>
      <c r="I1450" s="11">
        <v>229.0</v>
      </c>
      <c r="J1450" s="11">
        <v>399.0</v>
      </c>
      <c r="K1450" s="12">
        <f t="shared" si="1"/>
        <v>0.4260651629</v>
      </c>
      <c r="L1450" s="13">
        <f>IFERROR(__xludf.DUMMYFUNCTION("GOOGLEFINANCE(""CURRENCY:INRBRL"") * I1450
"),13.48390343302)</f>
        <v>13.48390343</v>
      </c>
      <c r="M1450" s="9">
        <v>4.51</v>
      </c>
      <c r="N1450" s="9">
        <v>451.0</v>
      </c>
      <c r="O1450" s="9" t="s">
        <v>5903</v>
      </c>
      <c r="P1450" s="14" t="s">
        <v>5904</v>
      </c>
      <c r="U1450" s="17"/>
      <c r="V1450" s="18"/>
      <c r="W1450" s="16"/>
      <c r="X1450" s="16"/>
      <c r="Y1450" s="16"/>
    </row>
    <row r="1451">
      <c r="A1451" s="9" t="s">
        <v>5905</v>
      </c>
      <c r="B1451" s="10" t="s">
        <v>5906</v>
      </c>
      <c r="C1451" s="10" t="s">
        <v>4544</v>
      </c>
      <c r="D1451" s="10" t="s">
        <v>2450</v>
      </c>
      <c r="E1451" s="10" t="s">
        <v>4038</v>
      </c>
      <c r="F1451" s="10" t="s">
        <v>4545</v>
      </c>
      <c r="G1451" s="10" t="s">
        <v>4546</v>
      </c>
      <c r="H1451" s="10"/>
      <c r="I1451" s="11">
        <v>199.0</v>
      </c>
      <c r="J1451" s="11">
        <v>699.0</v>
      </c>
      <c r="K1451" s="12">
        <f t="shared" si="1"/>
        <v>0.7153075823</v>
      </c>
      <c r="L1451" s="13">
        <f>IFERROR(__xludf.DUMMYFUNCTION("GOOGLEFINANCE(""CURRENCY:INRBRL"") * I1451
"),11.71745320162)</f>
        <v>11.7174532</v>
      </c>
      <c r="M1451" s="9">
        <v>4.52</v>
      </c>
      <c r="N1451" s="9">
        <v>159.0</v>
      </c>
      <c r="O1451" s="9" t="s">
        <v>5907</v>
      </c>
      <c r="P1451" s="14" t="s">
        <v>5908</v>
      </c>
      <c r="U1451" s="17"/>
      <c r="V1451" s="18"/>
      <c r="W1451" s="16"/>
      <c r="X1451" s="16"/>
      <c r="Y1451" s="16"/>
    </row>
    <row r="1452">
      <c r="A1452" s="9" t="s">
        <v>5909</v>
      </c>
      <c r="B1452" s="10" t="s">
        <v>5910</v>
      </c>
      <c r="C1452" s="10" t="s">
        <v>5540</v>
      </c>
      <c r="D1452" s="10" t="s">
        <v>2450</v>
      </c>
      <c r="E1452" s="10" t="s">
        <v>4038</v>
      </c>
      <c r="F1452" s="10" t="s">
        <v>4039</v>
      </c>
      <c r="G1452" s="10" t="s">
        <v>5541</v>
      </c>
      <c r="H1452" s="10"/>
      <c r="I1452" s="11">
        <v>899.0</v>
      </c>
      <c r="J1452" s="11">
        <v>1999.0</v>
      </c>
      <c r="K1452" s="12">
        <f t="shared" si="1"/>
        <v>0.5502751376</v>
      </c>
      <c r="L1452" s="13">
        <f>IFERROR(__xludf.DUMMYFUNCTION("GOOGLEFINANCE(""CURRENCY:INRBRL"") * I1452
"),52.93462526762)</f>
        <v>52.93462527</v>
      </c>
      <c r="M1452" s="9">
        <v>4.5</v>
      </c>
      <c r="N1452" s="9">
        <v>39.0</v>
      </c>
      <c r="O1452" s="9" t="s">
        <v>5911</v>
      </c>
      <c r="P1452" s="14" t="s">
        <v>5912</v>
      </c>
      <c r="U1452" s="17"/>
      <c r="V1452" s="18"/>
      <c r="W1452" s="16"/>
      <c r="X1452" s="16"/>
      <c r="Y1452" s="16"/>
    </row>
    <row r="1453">
      <c r="A1453" s="9" t="s">
        <v>5913</v>
      </c>
      <c r="B1453" s="10" t="s">
        <v>5914</v>
      </c>
      <c r="C1453" s="10" t="s">
        <v>4857</v>
      </c>
      <c r="D1453" s="10" t="s">
        <v>2450</v>
      </c>
      <c r="E1453" s="10" t="s">
        <v>4038</v>
      </c>
      <c r="F1453" s="10" t="s">
        <v>4039</v>
      </c>
      <c r="G1453" s="10" t="s">
        <v>4858</v>
      </c>
      <c r="H1453" s="10"/>
      <c r="I1453" s="11">
        <v>1499.0</v>
      </c>
      <c r="J1453" s="11">
        <v>2199.0</v>
      </c>
      <c r="K1453" s="12">
        <f t="shared" si="1"/>
        <v>0.3183265121</v>
      </c>
      <c r="L1453" s="13">
        <f>IFERROR(__xludf.DUMMYFUNCTION("GOOGLEFINANCE(""CURRENCY:INRBRL"") * I1453
"),88.26362989562)</f>
        <v>88.2636299</v>
      </c>
      <c r="M1453" s="9">
        <v>4.5</v>
      </c>
      <c r="N1453" s="9">
        <v>6531.0</v>
      </c>
      <c r="O1453" s="9" t="s">
        <v>5915</v>
      </c>
      <c r="P1453" s="14" t="s">
        <v>5916</v>
      </c>
      <c r="U1453" s="17"/>
      <c r="V1453" s="18"/>
      <c r="W1453" s="16"/>
      <c r="X1453" s="16"/>
      <c r="Y1453" s="16"/>
    </row>
    <row r="1454">
      <c r="A1454" s="9" t="s">
        <v>5917</v>
      </c>
      <c r="B1454" s="10" t="s">
        <v>5918</v>
      </c>
      <c r="C1454" s="10" t="s">
        <v>4117</v>
      </c>
      <c r="D1454" s="10" t="s">
        <v>2450</v>
      </c>
      <c r="E1454" s="10" t="s">
        <v>4038</v>
      </c>
      <c r="F1454" s="10" t="s">
        <v>4039</v>
      </c>
      <c r="G1454" s="10" t="s">
        <v>4118</v>
      </c>
      <c r="H1454" s="10"/>
      <c r="I1454" s="11">
        <v>426.0</v>
      </c>
      <c r="J1454" s="11">
        <v>999.0</v>
      </c>
      <c r="K1454" s="12">
        <f t="shared" si="1"/>
        <v>0.5735735736</v>
      </c>
      <c r="L1454" s="13">
        <f>IFERROR(__xludf.DUMMYFUNCTION("GOOGLEFINANCE(""CURRENCY:INRBRL"") * I1454
"),25.08359328588)</f>
        <v>25.08359329</v>
      </c>
      <c r="M1454" s="9">
        <v>4.49</v>
      </c>
      <c r="N1454" s="9">
        <v>222.0</v>
      </c>
      <c r="O1454" s="9" t="s">
        <v>5919</v>
      </c>
      <c r="P1454" s="14" t="s">
        <v>5920</v>
      </c>
      <c r="U1454" s="17"/>
      <c r="V1454" s="18"/>
      <c r="W1454" s="16"/>
      <c r="X1454" s="16"/>
      <c r="Y1454" s="16"/>
    </row>
    <row r="1455">
      <c r="A1455" s="9" t="s">
        <v>5921</v>
      </c>
      <c r="B1455" s="10" t="s">
        <v>5922</v>
      </c>
      <c r="C1455" s="10" t="s">
        <v>4054</v>
      </c>
      <c r="D1455" s="10" t="s">
        <v>2450</v>
      </c>
      <c r="E1455" s="10" t="s">
        <v>4047</v>
      </c>
      <c r="F1455" s="10" t="s">
        <v>4048</v>
      </c>
      <c r="G1455" s="10" t="s">
        <v>4055</v>
      </c>
      <c r="H1455" s="10"/>
      <c r="I1455" s="11">
        <v>2319.0</v>
      </c>
      <c r="J1455" s="11">
        <v>3289.0</v>
      </c>
      <c r="K1455" s="12">
        <f t="shared" si="1"/>
        <v>0.2949224688</v>
      </c>
      <c r="L1455" s="13">
        <f>IFERROR(__xludf.DUMMYFUNCTION("GOOGLEFINANCE(""CURRENCY:INRBRL"") * I1455
"),136.54660288722)</f>
        <v>136.5466029</v>
      </c>
      <c r="M1455" s="9">
        <v>4.51</v>
      </c>
      <c r="N1455" s="9">
        <v>195.0</v>
      </c>
      <c r="O1455" s="9" t="s">
        <v>5923</v>
      </c>
      <c r="P1455" s="14" t="s">
        <v>5924</v>
      </c>
      <c r="U1455" s="17"/>
      <c r="V1455" s="18"/>
      <c r="W1455" s="16"/>
      <c r="X1455" s="16"/>
      <c r="Y1455" s="16"/>
    </row>
    <row r="1456">
      <c r="A1456" s="9" t="s">
        <v>5925</v>
      </c>
      <c r="B1456" s="10" t="s">
        <v>5926</v>
      </c>
      <c r="C1456" s="10" t="s">
        <v>4815</v>
      </c>
      <c r="D1456" s="10" t="s">
        <v>2450</v>
      </c>
      <c r="E1456" s="10" t="s">
        <v>4038</v>
      </c>
      <c r="F1456" s="10" t="s">
        <v>4816</v>
      </c>
      <c r="G1456" s="10" t="s">
        <v>4817</v>
      </c>
      <c r="H1456" s="10"/>
      <c r="I1456" s="11">
        <v>1563.0</v>
      </c>
      <c r="J1456" s="11">
        <v>3098.0</v>
      </c>
      <c r="K1456" s="12">
        <f t="shared" si="1"/>
        <v>0.4954809555</v>
      </c>
      <c r="L1456" s="13">
        <f>IFERROR(__xludf.DUMMYFUNCTION("GOOGLEFINANCE(""CURRENCY:INRBRL"") * I1456
"),92.03205705594)</f>
        <v>92.03205706</v>
      </c>
      <c r="M1456" s="9">
        <v>4.5</v>
      </c>
      <c r="N1456" s="9">
        <v>2283.0</v>
      </c>
      <c r="O1456" s="9" t="s">
        <v>5927</v>
      </c>
      <c r="P1456" s="14" t="s">
        <v>5928</v>
      </c>
      <c r="U1456" s="17"/>
      <c r="V1456" s="18"/>
      <c r="W1456" s="16"/>
      <c r="X1456" s="16"/>
      <c r="Y1456" s="16"/>
    </row>
    <row r="1457">
      <c r="A1457" s="9" t="s">
        <v>5929</v>
      </c>
      <c r="B1457" s="10" t="s">
        <v>5930</v>
      </c>
      <c r="C1457" s="10" t="s">
        <v>4046</v>
      </c>
      <c r="D1457" s="10" t="s">
        <v>2450</v>
      </c>
      <c r="E1457" s="10" t="s">
        <v>4047</v>
      </c>
      <c r="F1457" s="10" t="s">
        <v>4048</v>
      </c>
      <c r="G1457" s="10" t="s">
        <v>4049</v>
      </c>
      <c r="H1457" s="10"/>
      <c r="I1457" s="11">
        <v>3487.77</v>
      </c>
      <c r="J1457" s="11">
        <v>4989.0</v>
      </c>
      <c r="K1457" s="12">
        <f t="shared" si="1"/>
        <v>0.3009079976</v>
      </c>
      <c r="L1457" s="13">
        <f>IFERROR(__xludf.DUMMYFUNCTION("GOOGLEFINANCE(""CURRENCY:INRBRL"") * I1457
"),205.36573745233258)</f>
        <v>205.3657375</v>
      </c>
      <c r="M1457" s="9">
        <v>4.49</v>
      </c>
      <c r="N1457" s="9">
        <v>1127.0</v>
      </c>
      <c r="O1457" s="9" t="s">
        <v>5931</v>
      </c>
      <c r="P1457" s="14" t="s">
        <v>5932</v>
      </c>
      <c r="U1457" s="17"/>
      <c r="V1457" s="18"/>
      <c r="W1457" s="16"/>
      <c r="X1457" s="16"/>
      <c r="Y1457" s="16"/>
    </row>
    <row r="1458">
      <c r="A1458" s="9" t="s">
        <v>5933</v>
      </c>
      <c r="B1458" s="10" t="s">
        <v>5934</v>
      </c>
      <c r="C1458" s="10" t="s">
        <v>4346</v>
      </c>
      <c r="D1458" s="10" t="s">
        <v>2450</v>
      </c>
      <c r="E1458" s="10" t="s">
        <v>4038</v>
      </c>
      <c r="F1458" s="10" t="s">
        <v>4039</v>
      </c>
      <c r="G1458" s="10" t="s">
        <v>4347</v>
      </c>
      <c r="H1458" s="10"/>
      <c r="I1458" s="11">
        <v>498.0</v>
      </c>
      <c r="J1458" s="11">
        <v>1199.0</v>
      </c>
      <c r="K1458" s="12">
        <f t="shared" si="1"/>
        <v>0.5846538782</v>
      </c>
      <c r="L1458" s="13">
        <f>IFERROR(__xludf.DUMMYFUNCTION("GOOGLEFINANCE(""CURRENCY:INRBRL"") * I1458
"),29.32307384124)</f>
        <v>29.32307384</v>
      </c>
      <c r="M1458" s="9">
        <v>4.5</v>
      </c>
      <c r="N1458" s="9">
        <v>113.0</v>
      </c>
      <c r="O1458" s="9" t="s">
        <v>5935</v>
      </c>
      <c r="P1458" s="14" t="s">
        <v>5936</v>
      </c>
      <c r="U1458" s="17"/>
      <c r="V1458" s="18"/>
      <c r="W1458" s="16"/>
      <c r="X1458" s="16"/>
      <c r="Y1458" s="16"/>
    </row>
    <row r="1459">
      <c r="A1459" s="9" t="s">
        <v>5937</v>
      </c>
      <c r="B1459" s="10" t="s">
        <v>5938</v>
      </c>
      <c r="C1459" s="10" t="s">
        <v>4037</v>
      </c>
      <c r="D1459" s="10" t="s">
        <v>2450</v>
      </c>
      <c r="E1459" s="10" t="s">
        <v>4038</v>
      </c>
      <c r="F1459" s="10" t="s">
        <v>4039</v>
      </c>
      <c r="G1459" s="10" t="s">
        <v>4040</v>
      </c>
      <c r="H1459" s="10" t="s">
        <v>4041</v>
      </c>
      <c r="I1459" s="11">
        <v>2695.0</v>
      </c>
      <c r="J1459" s="11">
        <v>2695.0</v>
      </c>
      <c r="K1459" s="12">
        <f t="shared" si="1"/>
        <v>0</v>
      </c>
      <c r="L1459" s="13">
        <f>IFERROR(__xludf.DUMMYFUNCTION("GOOGLEFINANCE(""CURRENCY:INRBRL"") * I1459
"),158.6861124541)</f>
        <v>158.6861125</v>
      </c>
      <c r="M1459" s="9">
        <v>4.5</v>
      </c>
      <c r="N1459" s="9">
        <v>2518.0</v>
      </c>
      <c r="O1459" s="9" t="s">
        <v>5939</v>
      </c>
      <c r="P1459" s="14" t="s">
        <v>5940</v>
      </c>
      <c r="U1459" s="17"/>
      <c r="V1459" s="18"/>
      <c r="W1459" s="16"/>
      <c r="X1459" s="16"/>
      <c r="Y1459" s="16"/>
    </row>
    <row r="1460">
      <c r="A1460" s="9" t="s">
        <v>5941</v>
      </c>
      <c r="B1460" s="10" t="s">
        <v>5942</v>
      </c>
      <c r="C1460" s="10" t="s">
        <v>4046</v>
      </c>
      <c r="D1460" s="10" t="s">
        <v>2450</v>
      </c>
      <c r="E1460" s="10" t="s">
        <v>4047</v>
      </c>
      <c r="F1460" s="10" t="s">
        <v>4048</v>
      </c>
      <c r="G1460" s="10" t="s">
        <v>4049</v>
      </c>
      <c r="H1460" s="10"/>
      <c r="I1460" s="11">
        <v>949.0</v>
      </c>
      <c r="J1460" s="11">
        <v>2299.0</v>
      </c>
      <c r="K1460" s="12">
        <f t="shared" si="1"/>
        <v>0.5872118312</v>
      </c>
      <c r="L1460" s="13">
        <f>IFERROR(__xludf.DUMMYFUNCTION("GOOGLEFINANCE(""CURRENCY:INRBRL"") * I1460
"),55.87870898662)</f>
        <v>55.87870899</v>
      </c>
      <c r="M1460" s="9">
        <v>4.51</v>
      </c>
      <c r="N1460" s="9">
        <v>550.0</v>
      </c>
      <c r="O1460" s="9" t="s">
        <v>5943</v>
      </c>
      <c r="P1460" s="14" t="s">
        <v>5944</v>
      </c>
      <c r="U1460" s="17"/>
      <c r="V1460" s="18"/>
      <c r="W1460" s="16"/>
      <c r="X1460" s="16"/>
      <c r="Y1460" s="16"/>
    </row>
    <row r="1461">
      <c r="A1461" s="9" t="s">
        <v>5945</v>
      </c>
      <c r="B1461" s="10" t="s">
        <v>5946</v>
      </c>
      <c r="C1461" s="10" t="s">
        <v>4060</v>
      </c>
      <c r="D1461" s="10" t="s">
        <v>2450</v>
      </c>
      <c r="E1461" s="10" t="s">
        <v>4038</v>
      </c>
      <c r="F1461" s="10" t="s">
        <v>4061</v>
      </c>
      <c r="G1461" s="10" t="s">
        <v>4062</v>
      </c>
      <c r="H1461" s="10" t="s">
        <v>4063</v>
      </c>
      <c r="I1461" s="11">
        <v>199.0</v>
      </c>
      <c r="J1461" s="11">
        <v>999.0</v>
      </c>
      <c r="K1461" s="12">
        <f t="shared" si="1"/>
        <v>0.8008008008</v>
      </c>
      <c r="L1461" s="13">
        <f>IFERROR(__xludf.DUMMYFUNCTION("GOOGLEFINANCE(""CURRENCY:INRBRL"") * I1461
"),11.71745320162)</f>
        <v>11.7174532</v>
      </c>
      <c r="M1461" s="9">
        <v>4.49</v>
      </c>
      <c r="N1461" s="9">
        <v>2.0</v>
      </c>
      <c r="O1461" s="9" t="s">
        <v>5947</v>
      </c>
      <c r="P1461" s="14" t="s">
        <v>5948</v>
      </c>
      <c r="U1461" s="17"/>
      <c r="V1461" s="18"/>
      <c r="W1461" s="16"/>
      <c r="X1461" s="16"/>
      <c r="Y1461" s="16"/>
    </row>
    <row r="1462">
      <c r="A1462" s="9" t="s">
        <v>5949</v>
      </c>
      <c r="B1462" s="10" t="s">
        <v>5950</v>
      </c>
      <c r="C1462" s="10" t="s">
        <v>4544</v>
      </c>
      <c r="D1462" s="10" t="s">
        <v>2450</v>
      </c>
      <c r="E1462" s="10" t="s">
        <v>4038</v>
      </c>
      <c r="F1462" s="10" t="s">
        <v>4545</v>
      </c>
      <c r="G1462" s="10" t="s">
        <v>4546</v>
      </c>
      <c r="H1462" s="10"/>
      <c r="I1462" s="11">
        <v>379.0</v>
      </c>
      <c r="J1462" s="11">
        <v>919.0</v>
      </c>
      <c r="K1462" s="12">
        <f t="shared" si="1"/>
        <v>0.5875952122</v>
      </c>
      <c r="L1462" s="13">
        <f>IFERROR(__xludf.DUMMYFUNCTION("GOOGLEFINANCE(""CURRENCY:INRBRL"") * I1462
"),22.31615459002)</f>
        <v>22.31615459</v>
      </c>
      <c r="M1462" s="9">
        <v>4.0</v>
      </c>
      <c r="N1462" s="9">
        <v>109.0</v>
      </c>
      <c r="O1462" s="9" t="s">
        <v>5951</v>
      </c>
      <c r="P1462" s="14" t="s">
        <v>5952</v>
      </c>
      <c r="U1462" s="17"/>
      <c r="V1462" s="18"/>
      <c r="W1462" s="16"/>
      <c r="X1462" s="16"/>
      <c r="Y1462" s="16"/>
    </row>
    <row r="1463">
      <c r="A1463" s="9" t="s">
        <v>5953</v>
      </c>
      <c r="B1463" s="10" t="s">
        <v>5954</v>
      </c>
      <c r="C1463" s="10" t="s">
        <v>4573</v>
      </c>
      <c r="D1463" s="10" t="s">
        <v>2450</v>
      </c>
      <c r="E1463" s="10" t="s">
        <v>4038</v>
      </c>
      <c r="F1463" s="10" t="s">
        <v>4039</v>
      </c>
      <c r="G1463" s="10" t="s">
        <v>4574</v>
      </c>
      <c r="H1463" s="10"/>
      <c r="I1463" s="11">
        <v>2279.0</v>
      </c>
      <c r="J1463" s="11">
        <v>3045.0</v>
      </c>
      <c r="K1463" s="12">
        <f t="shared" si="1"/>
        <v>0.2515599343</v>
      </c>
      <c r="L1463" s="13">
        <f>IFERROR(__xludf.DUMMYFUNCTION("GOOGLEFINANCE(""CURRENCY:INRBRL"") * I1463
"),134.19133591202)</f>
        <v>134.1913359</v>
      </c>
      <c r="M1463" s="9">
        <v>4.49</v>
      </c>
      <c r="N1463" s="9">
        <v>4118.0</v>
      </c>
      <c r="O1463" s="9" t="s">
        <v>5955</v>
      </c>
      <c r="P1463" s="14" t="s">
        <v>5956</v>
      </c>
      <c r="U1463" s="17"/>
      <c r="V1463" s="18"/>
      <c r="W1463" s="16"/>
      <c r="X1463" s="16"/>
      <c r="Y1463" s="16"/>
    </row>
    <row r="1464">
      <c r="A1464" s="9" t="s">
        <v>5957</v>
      </c>
      <c r="B1464" s="10" t="s">
        <v>5958</v>
      </c>
      <c r="C1464" s="10" t="s">
        <v>4474</v>
      </c>
      <c r="D1464" s="10" t="s">
        <v>2450</v>
      </c>
      <c r="E1464" s="10" t="s">
        <v>4047</v>
      </c>
      <c r="F1464" s="10" t="s">
        <v>4048</v>
      </c>
      <c r="G1464" s="10" t="s">
        <v>4475</v>
      </c>
      <c r="H1464" s="10"/>
      <c r="I1464" s="11">
        <v>2219.0</v>
      </c>
      <c r="J1464" s="11">
        <v>3079.0</v>
      </c>
      <c r="K1464" s="12">
        <f t="shared" si="1"/>
        <v>0.2793114648</v>
      </c>
      <c r="L1464" s="13">
        <f>IFERROR(__xludf.DUMMYFUNCTION("GOOGLEFINANCE(""CURRENCY:INRBRL"") * I1464
"),130.65843544922)</f>
        <v>130.6584354</v>
      </c>
      <c r="M1464" s="9">
        <v>4.51</v>
      </c>
      <c r="N1464" s="9">
        <v>468.0</v>
      </c>
      <c r="O1464" s="9" t="s">
        <v>5959</v>
      </c>
      <c r="P1464" s="14" t="s">
        <v>5960</v>
      </c>
      <c r="U1464" s="17"/>
      <c r="V1464" s="18"/>
      <c r="W1464" s="16"/>
      <c r="X1464" s="16"/>
      <c r="Y1464" s="16"/>
    </row>
    <row r="1465">
      <c r="A1465" s="9" t="s">
        <v>5961</v>
      </c>
      <c r="B1465" s="10" t="s">
        <v>5962</v>
      </c>
      <c r="C1465" s="10" t="s">
        <v>4524</v>
      </c>
      <c r="D1465" s="10" t="s">
        <v>2450</v>
      </c>
      <c r="E1465" s="10" t="s">
        <v>4047</v>
      </c>
      <c r="F1465" s="10" t="s">
        <v>4393</v>
      </c>
      <c r="G1465" s="10" t="s">
        <v>4525</v>
      </c>
      <c r="H1465" s="10"/>
      <c r="I1465" s="11">
        <v>1399.0</v>
      </c>
      <c r="J1465" s="11">
        <v>1889.0</v>
      </c>
      <c r="K1465" s="12">
        <f t="shared" si="1"/>
        <v>0.2593965061</v>
      </c>
      <c r="L1465" s="13">
        <f>IFERROR(__xludf.DUMMYFUNCTION("GOOGLEFINANCE(""CURRENCY:INRBRL"") * I1465
"),82.37546245762)</f>
        <v>82.37546246</v>
      </c>
      <c r="M1465" s="9">
        <v>4.0</v>
      </c>
      <c r="N1465" s="9">
        <v>8031.0</v>
      </c>
      <c r="O1465" s="9" t="s">
        <v>5963</v>
      </c>
      <c r="P1465" s="14" t="s">
        <v>5964</v>
      </c>
      <c r="U1465" s="17"/>
      <c r="V1465" s="18"/>
      <c r="W1465" s="16"/>
      <c r="X1465" s="16"/>
      <c r="Y1465" s="16"/>
    </row>
    <row r="1466">
      <c r="A1466" s="9" t="s">
        <v>5965</v>
      </c>
      <c r="B1466" s="10" t="s">
        <v>5966</v>
      </c>
      <c r="C1466" s="10" t="s">
        <v>4292</v>
      </c>
      <c r="D1466" s="10" t="s">
        <v>2450</v>
      </c>
      <c r="E1466" s="10" t="s">
        <v>4038</v>
      </c>
      <c r="F1466" s="10" t="s">
        <v>4039</v>
      </c>
      <c r="G1466" s="10" t="s">
        <v>4293</v>
      </c>
      <c r="H1466" s="10"/>
      <c r="I1466" s="11">
        <v>2863.0</v>
      </c>
      <c r="J1466" s="11">
        <v>3689.0</v>
      </c>
      <c r="K1466" s="12">
        <f t="shared" si="1"/>
        <v>0.2239089184</v>
      </c>
      <c r="L1466" s="13">
        <f>IFERROR(__xludf.DUMMYFUNCTION("GOOGLEFINANCE(""CURRENCY:INRBRL"") * I1466
"),168.57823374993998)</f>
        <v>168.5782337</v>
      </c>
      <c r="M1466" s="9">
        <v>4.5</v>
      </c>
      <c r="N1466" s="9">
        <v>6987.0</v>
      </c>
      <c r="O1466" s="9" t="s">
        <v>5967</v>
      </c>
      <c r="P1466" s="14" t="s">
        <v>5968</v>
      </c>
      <c r="U1466" s="17"/>
      <c r="V1466" s="18"/>
      <c r="W1466" s="16"/>
      <c r="X1466" s="16"/>
      <c r="Y1466" s="16"/>
    </row>
    <row r="1467">
      <c r="A1467" s="16"/>
      <c r="B1467" s="19"/>
      <c r="C1467" s="19"/>
      <c r="D1467" s="20"/>
      <c r="E1467" s="20"/>
      <c r="F1467" s="20"/>
      <c r="G1467" s="20"/>
      <c r="H1467" s="20"/>
      <c r="I1467" s="21"/>
      <c r="J1467" s="21"/>
      <c r="K1467" s="22"/>
      <c r="L1467" s="23"/>
      <c r="M1467" s="24"/>
      <c r="N1467" s="20"/>
      <c r="O1467" s="16"/>
      <c r="P1467" s="16"/>
      <c r="U1467" s="25"/>
      <c r="V1467" s="18"/>
      <c r="W1467" s="16"/>
      <c r="X1467" s="16"/>
      <c r="Y1467" s="16"/>
    </row>
    <row r="1468">
      <c r="A1468" s="16"/>
      <c r="B1468" s="19"/>
      <c r="C1468" s="19"/>
      <c r="D1468" s="20"/>
      <c r="E1468" s="20"/>
      <c r="F1468" s="20"/>
      <c r="G1468" s="20"/>
      <c r="H1468" s="20"/>
      <c r="I1468" s="21"/>
      <c r="J1468" s="21"/>
      <c r="K1468" s="22"/>
      <c r="L1468" s="23"/>
      <c r="M1468" s="24"/>
      <c r="N1468" s="20"/>
      <c r="O1468" s="16"/>
      <c r="P1468" s="16"/>
      <c r="U1468" s="25"/>
      <c r="V1468" s="18"/>
      <c r="W1468" s="16"/>
      <c r="X1468" s="16"/>
      <c r="Y1468" s="16"/>
    </row>
  </sheetData>
  <hyperlinks>
    <hyperlink r:id="rId1" ref="P2"/>
    <hyperlink r:id="rId2" ref="P3"/>
    <hyperlink r:id="rId3" ref="P4"/>
    <hyperlink r:id="rId4" ref="P5"/>
    <hyperlink r:id="rId5" ref="P6"/>
    <hyperlink r:id="rId6" ref="P7"/>
    <hyperlink r:id="rId7" ref="P8"/>
    <hyperlink r:id="rId8" ref="P9"/>
    <hyperlink r:id="rId9" ref="P10"/>
    <hyperlink r:id="rId10" ref="P11"/>
    <hyperlink r:id="rId11" ref="P12"/>
    <hyperlink r:id="rId12" ref="P13"/>
    <hyperlink r:id="rId13" ref="P14"/>
    <hyperlink r:id="rId14" ref="P15"/>
    <hyperlink r:id="rId15" ref="P16"/>
    <hyperlink r:id="rId16" ref="P17"/>
    <hyperlink r:id="rId17" ref="P18"/>
    <hyperlink r:id="rId18" ref="P19"/>
    <hyperlink r:id="rId19" ref="P20"/>
    <hyperlink r:id="rId20" ref="P21"/>
    <hyperlink r:id="rId21" ref="P22"/>
    <hyperlink r:id="rId22" ref="P23"/>
    <hyperlink r:id="rId23" ref="P24"/>
    <hyperlink r:id="rId24" ref="P25"/>
    <hyperlink r:id="rId25" ref="P26"/>
    <hyperlink r:id="rId26" ref="P27"/>
    <hyperlink r:id="rId27" ref="P28"/>
    <hyperlink r:id="rId28" ref="P29"/>
    <hyperlink r:id="rId29" ref="P30"/>
    <hyperlink r:id="rId30" ref="P31"/>
    <hyperlink r:id="rId31" ref="P32"/>
    <hyperlink r:id="rId32" ref="P33"/>
    <hyperlink r:id="rId33" ref="P34"/>
    <hyperlink r:id="rId34" ref="P35"/>
    <hyperlink r:id="rId35" ref="P36"/>
    <hyperlink r:id="rId36" ref="P37"/>
    <hyperlink r:id="rId37" ref="P38"/>
    <hyperlink r:id="rId38" ref="P39"/>
    <hyperlink r:id="rId39" ref="P40"/>
    <hyperlink r:id="rId40" ref="P41"/>
    <hyperlink r:id="rId41" ref="P42"/>
    <hyperlink r:id="rId42" ref="P43"/>
    <hyperlink r:id="rId43" ref="P44"/>
    <hyperlink r:id="rId44" ref="P45"/>
    <hyperlink r:id="rId45" ref="P46"/>
    <hyperlink r:id="rId46" ref="P47"/>
    <hyperlink r:id="rId47" ref="P48"/>
    <hyperlink r:id="rId48" ref="P49"/>
    <hyperlink r:id="rId49" ref="P50"/>
    <hyperlink r:id="rId50" ref="P51"/>
    <hyperlink r:id="rId51" ref="P52"/>
    <hyperlink r:id="rId52" ref="P53"/>
    <hyperlink r:id="rId53" ref="P54"/>
    <hyperlink r:id="rId54" ref="P55"/>
    <hyperlink r:id="rId55" ref="P56"/>
    <hyperlink r:id="rId56" ref="P57"/>
    <hyperlink r:id="rId57" ref="P58"/>
    <hyperlink r:id="rId58" ref="P59"/>
    <hyperlink r:id="rId59" ref="P60"/>
    <hyperlink r:id="rId60" ref="P61"/>
    <hyperlink r:id="rId61" ref="P62"/>
    <hyperlink r:id="rId62" ref="P63"/>
    <hyperlink r:id="rId63" ref="P64"/>
    <hyperlink r:id="rId64" ref="P65"/>
    <hyperlink r:id="rId65" ref="P66"/>
    <hyperlink r:id="rId66" ref="P67"/>
    <hyperlink r:id="rId67" ref="P68"/>
    <hyperlink r:id="rId68" ref="P69"/>
    <hyperlink r:id="rId69" ref="P70"/>
    <hyperlink r:id="rId70" ref="P71"/>
    <hyperlink r:id="rId71" ref="P72"/>
    <hyperlink r:id="rId72" ref="P73"/>
    <hyperlink r:id="rId73" ref="P74"/>
    <hyperlink r:id="rId74" ref="P75"/>
    <hyperlink r:id="rId75" ref="P76"/>
    <hyperlink r:id="rId76" ref="P77"/>
    <hyperlink r:id="rId77" ref="P78"/>
    <hyperlink r:id="rId78" ref="P79"/>
    <hyperlink r:id="rId79" ref="P80"/>
    <hyperlink r:id="rId80" ref="P81"/>
    <hyperlink r:id="rId81" ref="P82"/>
    <hyperlink r:id="rId82" ref="P83"/>
    <hyperlink r:id="rId83" ref="P84"/>
    <hyperlink r:id="rId84" ref="P85"/>
    <hyperlink r:id="rId85" ref="P86"/>
    <hyperlink r:id="rId86" ref="P87"/>
    <hyperlink r:id="rId87" ref="P88"/>
    <hyperlink r:id="rId88" ref="P89"/>
    <hyperlink r:id="rId89" ref="P90"/>
    <hyperlink r:id="rId90" ref="P91"/>
    <hyperlink r:id="rId91" ref="P92"/>
    <hyperlink r:id="rId92" ref="P93"/>
    <hyperlink r:id="rId93" ref="P94"/>
    <hyperlink r:id="rId94" ref="P95"/>
    <hyperlink r:id="rId95" ref="P96"/>
    <hyperlink r:id="rId96" ref="P97"/>
    <hyperlink r:id="rId97" ref="P98"/>
    <hyperlink r:id="rId98" ref="P99"/>
    <hyperlink r:id="rId99" ref="P100"/>
    <hyperlink r:id="rId100" ref="P101"/>
    <hyperlink r:id="rId101" ref="P102"/>
    <hyperlink r:id="rId102" ref="P103"/>
    <hyperlink r:id="rId103" ref="P104"/>
    <hyperlink r:id="rId104" ref="P105"/>
    <hyperlink r:id="rId105" ref="P106"/>
    <hyperlink r:id="rId106" ref="P107"/>
    <hyperlink r:id="rId107" ref="P108"/>
    <hyperlink r:id="rId108" ref="P109"/>
    <hyperlink r:id="rId109" ref="P110"/>
    <hyperlink r:id="rId110" ref="P111"/>
    <hyperlink r:id="rId111" ref="P112"/>
    <hyperlink r:id="rId112" ref="P113"/>
    <hyperlink r:id="rId113" ref="P114"/>
    <hyperlink r:id="rId114" ref="P115"/>
    <hyperlink r:id="rId115" ref="P116"/>
    <hyperlink r:id="rId116" ref="P117"/>
    <hyperlink r:id="rId117" ref="P118"/>
    <hyperlink r:id="rId118" ref="P119"/>
    <hyperlink r:id="rId119" ref="P120"/>
    <hyperlink r:id="rId120" ref="P121"/>
    <hyperlink r:id="rId121" ref="P122"/>
    <hyperlink r:id="rId122" ref="P123"/>
    <hyperlink r:id="rId123" ref="P124"/>
    <hyperlink r:id="rId124" ref="P125"/>
    <hyperlink r:id="rId125" ref="P126"/>
    <hyperlink r:id="rId126" ref="P127"/>
    <hyperlink r:id="rId127" ref="P128"/>
    <hyperlink r:id="rId128" ref="P129"/>
    <hyperlink r:id="rId129" ref="P130"/>
    <hyperlink r:id="rId130" ref="P131"/>
    <hyperlink r:id="rId131" ref="P132"/>
    <hyperlink r:id="rId132" ref="P133"/>
    <hyperlink r:id="rId133" ref="P134"/>
    <hyperlink r:id="rId134" ref="P135"/>
    <hyperlink r:id="rId135" ref="P136"/>
    <hyperlink r:id="rId136" ref="P137"/>
    <hyperlink r:id="rId137" ref="P138"/>
    <hyperlink r:id="rId138" ref="P139"/>
    <hyperlink r:id="rId139" ref="P140"/>
    <hyperlink r:id="rId140" ref="P141"/>
    <hyperlink r:id="rId141" ref="P142"/>
    <hyperlink r:id="rId142" ref="P143"/>
    <hyperlink r:id="rId143" ref="P144"/>
    <hyperlink r:id="rId144" ref="P145"/>
    <hyperlink r:id="rId145" ref="P146"/>
    <hyperlink r:id="rId146" ref="P147"/>
    <hyperlink r:id="rId147" ref="P148"/>
    <hyperlink r:id="rId148" ref="P149"/>
    <hyperlink r:id="rId149" ref="P150"/>
    <hyperlink r:id="rId150" ref="P151"/>
    <hyperlink r:id="rId151" ref="P152"/>
    <hyperlink r:id="rId152" ref="P153"/>
    <hyperlink r:id="rId153" ref="P154"/>
    <hyperlink r:id="rId154" ref="P155"/>
    <hyperlink r:id="rId155" ref="P156"/>
    <hyperlink r:id="rId156" ref="P157"/>
    <hyperlink r:id="rId157" ref="P158"/>
    <hyperlink r:id="rId158" ref="P159"/>
    <hyperlink r:id="rId159" ref="P160"/>
    <hyperlink r:id="rId160" ref="P161"/>
    <hyperlink r:id="rId161" ref="P162"/>
    <hyperlink r:id="rId162" ref="P163"/>
    <hyperlink r:id="rId163" ref="P164"/>
    <hyperlink r:id="rId164" ref="P165"/>
    <hyperlink r:id="rId165" ref="P166"/>
    <hyperlink r:id="rId166" ref="P167"/>
    <hyperlink r:id="rId167" ref="P168"/>
    <hyperlink r:id="rId168" ref="P169"/>
    <hyperlink r:id="rId169" ref="P170"/>
    <hyperlink r:id="rId170" ref="P171"/>
    <hyperlink r:id="rId171" ref="P172"/>
    <hyperlink r:id="rId172" ref="P173"/>
    <hyperlink r:id="rId173" ref="P174"/>
    <hyperlink r:id="rId174" ref="P175"/>
    <hyperlink r:id="rId175" ref="P176"/>
    <hyperlink r:id="rId176" ref="P177"/>
    <hyperlink r:id="rId177" ref="P178"/>
    <hyperlink r:id="rId178" ref="P179"/>
    <hyperlink r:id="rId179" ref="P180"/>
    <hyperlink r:id="rId180" ref="P181"/>
    <hyperlink r:id="rId181" ref="P182"/>
    <hyperlink r:id="rId182" ref="P183"/>
    <hyperlink r:id="rId183" ref="P184"/>
    <hyperlink r:id="rId184" ref="P185"/>
    <hyperlink r:id="rId185" ref="P186"/>
    <hyperlink r:id="rId186" ref="P187"/>
    <hyperlink r:id="rId187" ref="P188"/>
    <hyperlink r:id="rId188" ref="P189"/>
    <hyperlink r:id="rId189" ref="P190"/>
    <hyperlink r:id="rId190" ref="P191"/>
    <hyperlink r:id="rId191" ref="P192"/>
    <hyperlink r:id="rId192" ref="P193"/>
    <hyperlink r:id="rId193" ref="P194"/>
    <hyperlink r:id="rId194" ref="P195"/>
    <hyperlink r:id="rId195" ref="P196"/>
    <hyperlink r:id="rId196" ref="P197"/>
    <hyperlink r:id="rId197" ref="P198"/>
    <hyperlink r:id="rId198" ref="P199"/>
    <hyperlink r:id="rId199" ref="P200"/>
    <hyperlink r:id="rId200" ref="P201"/>
    <hyperlink r:id="rId201" ref="P202"/>
    <hyperlink r:id="rId202" ref="P203"/>
    <hyperlink r:id="rId203" ref="P204"/>
    <hyperlink r:id="rId204" ref="P205"/>
    <hyperlink r:id="rId205" ref="P206"/>
    <hyperlink r:id="rId206" ref="P207"/>
    <hyperlink r:id="rId207" ref="P208"/>
    <hyperlink r:id="rId208" ref="P209"/>
    <hyperlink r:id="rId209" ref="P210"/>
    <hyperlink r:id="rId210" ref="P211"/>
    <hyperlink r:id="rId211" ref="P212"/>
    <hyperlink r:id="rId212" ref="P213"/>
    <hyperlink r:id="rId213" ref="P214"/>
    <hyperlink r:id="rId214" ref="P215"/>
    <hyperlink r:id="rId215" ref="P216"/>
    <hyperlink r:id="rId216" ref="P217"/>
    <hyperlink r:id="rId217" ref="P218"/>
    <hyperlink r:id="rId218" ref="P219"/>
    <hyperlink r:id="rId219" ref="P220"/>
    <hyperlink r:id="rId220" ref="P221"/>
    <hyperlink r:id="rId221" ref="P222"/>
    <hyperlink r:id="rId222" ref="P223"/>
    <hyperlink r:id="rId223" ref="P224"/>
    <hyperlink r:id="rId224" ref="P225"/>
    <hyperlink r:id="rId225" ref="P226"/>
    <hyperlink r:id="rId226" ref="P227"/>
    <hyperlink r:id="rId227" ref="P228"/>
    <hyperlink r:id="rId228" ref="P229"/>
    <hyperlink r:id="rId229" ref="P230"/>
    <hyperlink r:id="rId230" ref="P231"/>
    <hyperlink r:id="rId231" ref="P232"/>
    <hyperlink r:id="rId232" ref="P233"/>
    <hyperlink r:id="rId233" ref="P234"/>
    <hyperlink r:id="rId234" ref="P235"/>
    <hyperlink r:id="rId235" ref="P236"/>
    <hyperlink r:id="rId236" ref="P237"/>
    <hyperlink r:id="rId237" ref="P238"/>
    <hyperlink r:id="rId238" ref="P239"/>
    <hyperlink r:id="rId239" ref="P240"/>
    <hyperlink r:id="rId240" ref="P241"/>
    <hyperlink r:id="rId241" ref="P242"/>
    <hyperlink r:id="rId242" ref="P243"/>
    <hyperlink r:id="rId243" ref="P244"/>
    <hyperlink r:id="rId244" ref="P245"/>
    <hyperlink r:id="rId245" ref="P246"/>
    <hyperlink r:id="rId246" ref="P247"/>
    <hyperlink r:id="rId247" ref="P248"/>
    <hyperlink r:id="rId248" ref="P249"/>
    <hyperlink r:id="rId249" ref="P250"/>
    <hyperlink r:id="rId250" ref="P251"/>
    <hyperlink r:id="rId251" ref="P252"/>
    <hyperlink r:id="rId252" ref="P253"/>
    <hyperlink r:id="rId253" ref="P254"/>
    <hyperlink r:id="rId254" ref="P255"/>
    <hyperlink r:id="rId255" ref="P256"/>
    <hyperlink r:id="rId256" ref="P257"/>
    <hyperlink r:id="rId257" ref="P258"/>
    <hyperlink r:id="rId258" ref="P259"/>
    <hyperlink r:id="rId259" ref="P260"/>
    <hyperlink r:id="rId260" ref="P261"/>
    <hyperlink r:id="rId261" ref="P262"/>
    <hyperlink r:id="rId262" ref="P263"/>
    <hyperlink r:id="rId263" ref="P264"/>
    <hyperlink r:id="rId264" ref="P265"/>
    <hyperlink r:id="rId265" ref="P266"/>
    <hyperlink r:id="rId266" ref="P267"/>
    <hyperlink r:id="rId267" ref="P268"/>
    <hyperlink r:id="rId268" ref="P269"/>
    <hyperlink r:id="rId269" ref="P270"/>
    <hyperlink r:id="rId270" ref="P271"/>
    <hyperlink r:id="rId271" ref="P272"/>
    <hyperlink r:id="rId272" ref="P273"/>
    <hyperlink r:id="rId273" ref="P274"/>
    <hyperlink r:id="rId274" ref="P275"/>
    <hyperlink r:id="rId275" ref="P276"/>
    <hyperlink r:id="rId276" ref="P277"/>
    <hyperlink r:id="rId277" ref="P278"/>
    <hyperlink r:id="rId278" ref="P279"/>
    <hyperlink r:id="rId279" ref="P280"/>
    <hyperlink r:id="rId280" ref="P281"/>
    <hyperlink r:id="rId281" ref="P282"/>
    <hyperlink r:id="rId282" ref="P283"/>
    <hyperlink r:id="rId283" ref="P284"/>
    <hyperlink r:id="rId284" ref="P285"/>
    <hyperlink r:id="rId285" ref="P286"/>
    <hyperlink r:id="rId286" ref="P287"/>
    <hyperlink r:id="rId287" ref="P288"/>
    <hyperlink r:id="rId288" ref="P289"/>
    <hyperlink r:id="rId289" ref="P290"/>
    <hyperlink r:id="rId290" ref="P291"/>
    <hyperlink r:id="rId291" ref="P292"/>
    <hyperlink r:id="rId292" ref="P293"/>
    <hyperlink r:id="rId293" ref="P294"/>
    <hyperlink r:id="rId294" ref="P295"/>
    <hyperlink r:id="rId295" ref="P296"/>
    <hyperlink r:id="rId296" ref="P297"/>
    <hyperlink r:id="rId297" ref="P298"/>
    <hyperlink r:id="rId298" ref="P299"/>
    <hyperlink r:id="rId299" ref="P300"/>
    <hyperlink r:id="rId300" ref="P301"/>
    <hyperlink r:id="rId301" ref="P302"/>
    <hyperlink r:id="rId302" ref="P303"/>
    <hyperlink r:id="rId303" ref="P304"/>
    <hyperlink r:id="rId304" ref="P305"/>
    <hyperlink r:id="rId305" ref="P306"/>
    <hyperlink r:id="rId306" ref="P307"/>
    <hyperlink r:id="rId307" ref="P308"/>
    <hyperlink r:id="rId308" ref="P309"/>
    <hyperlink r:id="rId309" ref="P310"/>
    <hyperlink r:id="rId310" ref="P311"/>
    <hyperlink r:id="rId311" ref="P312"/>
    <hyperlink r:id="rId312" ref="P313"/>
    <hyperlink r:id="rId313" ref="P314"/>
    <hyperlink r:id="rId314" ref="P315"/>
    <hyperlink r:id="rId315" ref="P316"/>
    <hyperlink r:id="rId316" ref="P317"/>
    <hyperlink r:id="rId317" ref="P318"/>
    <hyperlink r:id="rId318" ref="P319"/>
    <hyperlink r:id="rId319" ref="P320"/>
    <hyperlink r:id="rId320" ref="P321"/>
    <hyperlink r:id="rId321" ref="P322"/>
    <hyperlink r:id="rId322" ref="P323"/>
    <hyperlink r:id="rId323" ref="P324"/>
    <hyperlink r:id="rId324" ref="P325"/>
    <hyperlink r:id="rId325" ref="P326"/>
    <hyperlink r:id="rId326" ref="P327"/>
    <hyperlink r:id="rId327" ref="P328"/>
    <hyperlink r:id="rId328" ref="P329"/>
    <hyperlink r:id="rId329" ref="P330"/>
    <hyperlink r:id="rId330" ref="P331"/>
    <hyperlink r:id="rId331" ref="P332"/>
    <hyperlink r:id="rId332" ref="P333"/>
    <hyperlink r:id="rId333" ref="P334"/>
    <hyperlink r:id="rId334" ref="P335"/>
    <hyperlink r:id="rId335" ref="P336"/>
    <hyperlink r:id="rId336" ref="P337"/>
    <hyperlink r:id="rId337" ref="P338"/>
    <hyperlink r:id="rId338" ref="P339"/>
    <hyperlink r:id="rId339" ref="P340"/>
    <hyperlink r:id="rId340" ref="P341"/>
    <hyperlink r:id="rId341" ref="P342"/>
    <hyperlink r:id="rId342" ref="P343"/>
    <hyperlink r:id="rId343" ref="P344"/>
    <hyperlink r:id="rId344" ref="P345"/>
    <hyperlink r:id="rId345" ref="P346"/>
    <hyperlink r:id="rId346" ref="P347"/>
    <hyperlink r:id="rId347" ref="P348"/>
    <hyperlink r:id="rId348" ref="P349"/>
    <hyperlink r:id="rId349" ref="P350"/>
    <hyperlink r:id="rId350" ref="P351"/>
    <hyperlink r:id="rId351" ref="P352"/>
    <hyperlink r:id="rId352" ref="P353"/>
    <hyperlink r:id="rId353" ref="P354"/>
    <hyperlink r:id="rId354" ref="P355"/>
    <hyperlink r:id="rId355" ref="P356"/>
    <hyperlink r:id="rId356" ref="P357"/>
    <hyperlink r:id="rId357" ref="P358"/>
    <hyperlink r:id="rId358" ref="P359"/>
    <hyperlink r:id="rId359" ref="P360"/>
    <hyperlink r:id="rId360" ref="P361"/>
    <hyperlink r:id="rId361" ref="P362"/>
    <hyperlink r:id="rId362" ref="P363"/>
    <hyperlink r:id="rId363" ref="P364"/>
    <hyperlink r:id="rId364" ref="P365"/>
    <hyperlink r:id="rId365" ref="P366"/>
    <hyperlink r:id="rId366" ref="P367"/>
    <hyperlink r:id="rId367" ref="P368"/>
    <hyperlink r:id="rId368" ref="P369"/>
    <hyperlink r:id="rId369" ref="P370"/>
    <hyperlink r:id="rId370" ref="P371"/>
    <hyperlink r:id="rId371" ref="P372"/>
    <hyperlink r:id="rId372" ref="P373"/>
    <hyperlink r:id="rId373" ref="P374"/>
    <hyperlink r:id="rId374" ref="P375"/>
    <hyperlink r:id="rId375" ref="P376"/>
    <hyperlink r:id="rId376" ref="P377"/>
    <hyperlink r:id="rId377" ref="P378"/>
    <hyperlink r:id="rId378" ref="P379"/>
    <hyperlink r:id="rId379" ref="P380"/>
    <hyperlink r:id="rId380" ref="P381"/>
    <hyperlink r:id="rId381" ref="P382"/>
    <hyperlink r:id="rId382" ref="P383"/>
    <hyperlink r:id="rId383" ref="P384"/>
    <hyperlink r:id="rId384" ref="P385"/>
    <hyperlink r:id="rId385" ref="P386"/>
    <hyperlink r:id="rId386" ref="P387"/>
    <hyperlink r:id="rId387" ref="P388"/>
    <hyperlink r:id="rId388" ref="P389"/>
    <hyperlink r:id="rId389" ref="P390"/>
    <hyperlink r:id="rId390" ref="P391"/>
    <hyperlink r:id="rId391" ref="P392"/>
    <hyperlink r:id="rId392" ref="P393"/>
    <hyperlink r:id="rId393" ref="P394"/>
    <hyperlink r:id="rId394" ref="P395"/>
    <hyperlink r:id="rId395" ref="P396"/>
    <hyperlink r:id="rId396" ref="P397"/>
    <hyperlink r:id="rId397" ref="P398"/>
    <hyperlink r:id="rId398" ref="P399"/>
    <hyperlink r:id="rId399" ref="P400"/>
    <hyperlink r:id="rId400" ref="P401"/>
    <hyperlink r:id="rId401" ref="P402"/>
    <hyperlink r:id="rId402" ref="P403"/>
    <hyperlink r:id="rId403" ref="P404"/>
    <hyperlink r:id="rId404" ref="P405"/>
    <hyperlink r:id="rId405" ref="P406"/>
    <hyperlink r:id="rId406" ref="P407"/>
    <hyperlink r:id="rId407" ref="P408"/>
    <hyperlink r:id="rId408" ref="P409"/>
    <hyperlink r:id="rId409" ref="P410"/>
    <hyperlink r:id="rId410" ref="P411"/>
    <hyperlink r:id="rId411" ref="P412"/>
    <hyperlink r:id="rId412" ref="P413"/>
    <hyperlink r:id="rId413" ref="P414"/>
    <hyperlink r:id="rId414" ref="P415"/>
    <hyperlink r:id="rId415" ref="P416"/>
    <hyperlink r:id="rId416" ref="P417"/>
    <hyperlink r:id="rId417" ref="P418"/>
    <hyperlink r:id="rId418" ref="P419"/>
    <hyperlink r:id="rId419" ref="P420"/>
    <hyperlink r:id="rId420" ref="P421"/>
    <hyperlink r:id="rId421" ref="P422"/>
    <hyperlink r:id="rId422" ref="P423"/>
    <hyperlink r:id="rId423" ref="P424"/>
    <hyperlink r:id="rId424" ref="P425"/>
    <hyperlink r:id="rId425" ref="P426"/>
    <hyperlink r:id="rId426" ref="P427"/>
    <hyperlink r:id="rId427" ref="P428"/>
    <hyperlink r:id="rId428" ref="P429"/>
    <hyperlink r:id="rId429" ref="P430"/>
    <hyperlink r:id="rId430" ref="P431"/>
    <hyperlink r:id="rId431" ref="P432"/>
    <hyperlink r:id="rId432" ref="P433"/>
    <hyperlink r:id="rId433" ref="P434"/>
    <hyperlink r:id="rId434" ref="P435"/>
    <hyperlink r:id="rId435" ref="P436"/>
    <hyperlink r:id="rId436" ref="P437"/>
    <hyperlink r:id="rId437" ref="P438"/>
    <hyperlink r:id="rId438" ref="P439"/>
    <hyperlink r:id="rId439" ref="P440"/>
    <hyperlink r:id="rId440" ref="P441"/>
    <hyperlink r:id="rId441" ref="P442"/>
    <hyperlink r:id="rId442" ref="P443"/>
    <hyperlink r:id="rId443" ref="P444"/>
    <hyperlink r:id="rId444" ref="P445"/>
    <hyperlink r:id="rId445" ref="P446"/>
    <hyperlink r:id="rId446" ref="P447"/>
    <hyperlink r:id="rId447" ref="P448"/>
    <hyperlink r:id="rId448" ref="P449"/>
    <hyperlink r:id="rId449" ref="P450"/>
    <hyperlink r:id="rId450" ref="P451"/>
    <hyperlink r:id="rId451" ref="P452"/>
    <hyperlink r:id="rId452" ref="P453"/>
    <hyperlink r:id="rId453" ref="P454"/>
    <hyperlink r:id="rId454" ref="P455"/>
    <hyperlink r:id="rId455" ref="P456"/>
    <hyperlink r:id="rId456" ref="P457"/>
    <hyperlink r:id="rId457" ref="P458"/>
    <hyperlink r:id="rId458" ref="P459"/>
    <hyperlink r:id="rId459" ref="P460"/>
    <hyperlink r:id="rId460" ref="P461"/>
    <hyperlink r:id="rId461" ref="P462"/>
    <hyperlink r:id="rId462" ref="P463"/>
    <hyperlink r:id="rId463" ref="P464"/>
    <hyperlink r:id="rId464" ref="P465"/>
    <hyperlink r:id="rId465" ref="P466"/>
    <hyperlink r:id="rId466" ref="P467"/>
    <hyperlink r:id="rId467" ref="P468"/>
    <hyperlink r:id="rId468" ref="P469"/>
    <hyperlink r:id="rId469" ref="P470"/>
    <hyperlink r:id="rId470" ref="P471"/>
    <hyperlink r:id="rId471" ref="P472"/>
    <hyperlink r:id="rId472" ref="P473"/>
    <hyperlink r:id="rId473" ref="P474"/>
    <hyperlink r:id="rId474" ref="P475"/>
    <hyperlink r:id="rId475" ref="P476"/>
    <hyperlink r:id="rId476" ref="P477"/>
    <hyperlink r:id="rId477" ref="P478"/>
    <hyperlink r:id="rId478" ref="P479"/>
    <hyperlink r:id="rId479" ref="P480"/>
    <hyperlink r:id="rId480" ref="P481"/>
    <hyperlink r:id="rId481" ref="P482"/>
    <hyperlink r:id="rId482" ref="P483"/>
    <hyperlink r:id="rId483" ref="P484"/>
    <hyperlink r:id="rId484" ref="P485"/>
    <hyperlink r:id="rId485" ref="P486"/>
    <hyperlink r:id="rId486" ref="P487"/>
    <hyperlink r:id="rId487" ref="P488"/>
    <hyperlink r:id="rId488" ref="P489"/>
    <hyperlink r:id="rId489" ref="P490"/>
    <hyperlink r:id="rId490" ref="P491"/>
    <hyperlink r:id="rId491" ref="P492"/>
    <hyperlink r:id="rId492" ref="P493"/>
    <hyperlink r:id="rId493" ref="P494"/>
    <hyperlink r:id="rId494" ref="P495"/>
    <hyperlink r:id="rId495" ref="P496"/>
    <hyperlink r:id="rId496" ref="P497"/>
    <hyperlink r:id="rId497" ref="P498"/>
    <hyperlink r:id="rId498" ref="P499"/>
    <hyperlink r:id="rId499" ref="P500"/>
    <hyperlink r:id="rId500" ref="P501"/>
    <hyperlink r:id="rId501" ref="P502"/>
    <hyperlink r:id="rId502" ref="P503"/>
    <hyperlink r:id="rId503" ref="P504"/>
    <hyperlink r:id="rId504" ref="P505"/>
    <hyperlink r:id="rId505" ref="P506"/>
    <hyperlink r:id="rId506" ref="P507"/>
    <hyperlink r:id="rId507" ref="P508"/>
    <hyperlink r:id="rId508" ref="P509"/>
    <hyperlink r:id="rId509" ref="P510"/>
    <hyperlink r:id="rId510" ref="P511"/>
    <hyperlink r:id="rId511" ref="P512"/>
    <hyperlink r:id="rId512" ref="P513"/>
    <hyperlink r:id="rId513" ref="P514"/>
    <hyperlink r:id="rId514" ref="P515"/>
    <hyperlink r:id="rId515" ref="P516"/>
    <hyperlink r:id="rId516" ref="P517"/>
    <hyperlink r:id="rId517" ref="P518"/>
    <hyperlink r:id="rId518" ref="P519"/>
    <hyperlink r:id="rId519" ref="P520"/>
    <hyperlink r:id="rId520" ref="P521"/>
    <hyperlink r:id="rId521" ref="P522"/>
    <hyperlink r:id="rId522" ref="P523"/>
    <hyperlink r:id="rId523" ref="P524"/>
    <hyperlink r:id="rId524" ref="P525"/>
    <hyperlink r:id="rId525" ref="P526"/>
    <hyperlink r:id="rId526" ref="P527"/>
    <hyperlink r:id="rId527" ref="P528"/>
    <hyperlink r:id="rId528" ref="P529"/>
    <hyperlink r:id="rId529" ref="P530"/>
    <hyperlink r:id="rId530" ref="P531"/>
    <hyperlink r:id="rId531" ref="P532"/>
    <hyperlink r:id="rId532" ref="P533"/>
    <hyperlink r:id="rId533" ref="P534"/>
    <hyperlink r:id="rId534" ref="P535"/>
    <hyperlink r:id="rId535" ref="P536"/>
    <hyperlink r:id="rId536" ref="P537"/>
    <hyperlink r:id="rId537" ref="P538"/>
    <hyperlink r:id="rId538" ref="P539"/>
    <hyperlink r:id="rId539" ref="P540"/>
    <hyperlink r:id="rId540" ref="P541"/>
    <hyperlink r:id="rId541" ref="P542"/>
    <hyperlink r:id="rId542" ref="P543"/>
    <hyperlink r:id="rId543" ref="P544"/>
    <hyperlink r:id="rId544" ref="P545"/>
    <hyperlink r:id="rId545" ref="P546"/>
    <hyperlink r:id="rId546" ref="P547"/>
    <hyperlink r:id="rId547" ref="P548"/>
    <hyperlink r:id="rId548" ref="P549"/>
    <hyperlink r:id="rId549" ref="P550"/>
    <hyperlink r:id="rId550" ref="P551"/>
    <hyperlink r:id="rId551" ref="P552"/>
    <hyperlink r:id="rId552" ref="P553"/>
    <hyperlink r:id="rId553" ref="P554"/>
    <hyperlink r:id="rId554" ref="P555"/>
    <hyperlink r:id="rId555" ref="P556"/>
    <hyperlink r:id="rId556" ref="P557"/>
    <hyperlink r:id="rId557" ref="P558"/>
    <hyperlink r:id="rId558" ref="P559"/>
    <hyperlink r:id="rId559" ref="P560"/>
    <hyperlink r:id="rId560" ref="P561"/>
    <hyperlink r:id="rId561" ref="P562"/>
    <hyperlink r:id="rId562" ref="P563"/>
    <hyperlink r:id="rId563" ref="P564"/>
    <hyperlink r:id="rId564" ref="P565"/>
    <hyperlink r:id="rId565" ref="P566"/>
    <hyperlink r:id="rId566" ref="P567"/>
    <hyperlink r:id="rId567" ref="P568"/>
    <hyperlink r:id="rId568" ref="P569"/>
    <hyperlink r:id="rId569" ref="P570"/>
    <hyperlink r:id="rId570" ref="P571"/>
    <hyperlink r:id="rId571" ref="P572"/>
    <hyperlink r:id="rId572" ref="P573"/>
    <hyperlink r:id="rId573" ref="P574"/>
    <hyperlink r:id="rId574" ref="P575"/>
    <hyperlink r:id="rId575" ref="P576"/>
    <hyperlink r:id="rId576" ref="P577"/>
    <hyperlink r:id="rId577" ref="P578"/>
    <hyperlink r:id="rId578" ref="P579"/>
    <hyperlink r:id="rId579" ref="P580"/>
    <hyperlink r:id="rId580" ref="P581"/>
    <hyperlink r:id="rId581" ref="P582"/>
    <hyperlink r:id="rId582" ref="P583"/>
    <hyperlink r:id="rId583" ref="P584"/>
    <hyperlink r:id="rId584" ref="P585"/>
    <hyperlink r:id="rId585" ref="P586"/>
    <hyperlink r:id="rId586" ref="P587"/>
    <hyperlink r:id="rId587" ref="P588"/>
    <hyperlink r:id="rId588" ref="P589"/>
    <hyperlink r:id="rId589" ref="P590"/>
    <hyperlink r:id="rId590" ref="P591"/>
    <hyperlink r:id="rId591" ref="P592"/>
    <hyperlink r:id="rId592" ref="P593"/>
    <hyperlink r:id="rId593" ref="P594"/>
    <hyperlink r:id="rId594" ref="P595"/>
    <hyperlink r:id="rId595" ref="P596"/>
    <hyperlink r:id="rId596" ref="P597"/>
    <hyperlink r:id="rId597" ref="P598"/>
    <hyperlink r:id="rId598" ref="P599"/>
    <hyperlink r:id="rId599" ref="P600"/>
    <hyperlink r:id="rId600" ref="P601"/>
    <hyperlink r:id="rId601" ref="P602"/>
    <hyperlink r:id="rId602" ref="P603"/>
    <hyperlink r:id="rId603" ref="P604"/>
    <hyperlink r:id="rId604" ref="P605"/>
    <hyperlink r:id="rId605" ref="P606"/>
    <hyperlink r:id="rId606" ref="P607"/>
    <hyperlink r:id="rId607" ref="P608"/>
    <hyperlink r:id="rId608" ref="P609"/>
    <hyperlink r:id="rId609" ref="P610"/>
    <hyperlink r:id="rId610" ref="P611"/>
    <hyperlink r:id="rId611" ref="P612"/>
    <hyperlink r:id="rId612" ref="P613"/>
    <hyperlink r:id="rId613" ref="P614"/>
    <hyperlink r:id="rId614" ref="P615"/>
    <hyperlink r:id="rId615" ref="P616"/>
    <hyperlink r:id="rId616" ref="P617"/>
    <hyperlink r:id="rId617" ref="P618"/>
    <hyperlink r:id="rId618" ref="P619"/>
    <hyperlink r:id="rId619" ref="P620"/>
    <hyperlink r:id="rId620" ref="P621"/>
    <hyperlink r:id="rId621" ref="P622"/>
    <hyperlink r:id="rId622" ref="P623"/>
    <hyperlink r:id="rId623" ref="P624"/>
    <hyperlink r:id="rId624" ref="P625"/>
    <hyperlink r:id="rId625" ref="P626"/>
    <hyperlink r:id="rId626" ref="P627"/>
    <hyperlink r:id="rId627" ref="P628"/>
    <hyperlink r:id="rId628" ref="P629"/>
    <hyperlink r:id="rId629" ref="P630"/>
    <hyperlink r:id="rId630" ref="P631"/>
    <hyperlink r:id="rId631" ref="P632"/>
    <hyperlink r:id="rId632" ref="P633"/>
    <hyperlink r:id="rId633" ref="P634"/>
    <hyperlink r:id="rId634" ref="P635"/>
    <hyperlink r:id="rId635" ref="P636"/>
    <hyperlink r:id="rId636" ref="P637"/>
    <hyperlink r:id="rId637" ref="P638"/>
    <hyperlink r:id="rId638" ref="P639"/>
    <hyperlink r:id="rId639" ref="P640"/>
    <hyperlink r:id="rId640" ref="P641"/>
    <hyperlink r:id="rId641" ref="P642"/>
    <hyperlink r:id="rId642" ref="P643"/>
    <hyperlink r:id="rId643" ref="P644"/>
    <hyperlink r:id="rId644" ref="P645"/>
    <hyperlink r:id="rId645" ref="P646"/>
    <hyperlink r:id="rId646" ref="P647"/>
    <hyperlink r:id="rId647" ref="P648"/>
    <hyperlink r:id="rId648" ref="P649"/>
    <hyperlink r:id="rId649" ref="P650"/>
    <hyperlink r:id="rId650" ref="P651"/>
    <hyperlink r:id="rId651" ref="P652"/>
    <hyperlink r:id="rId652" ref="P653"/>
    <hyperlink r:id="rId653" ref="P654"/>
    <hyperlink r:id="rId654" ref="P655"/>
    <hyperlink r:id="rId655" ref="P656"/>
    <hyperlink r:id="rId656" ref="P657"/>
    <hyperlink r:id="rId657" ref="P658"/>
    <hyperlink r:id="rId658" ref="P659"/>
    <hyperlink r:id="rId659" ref="P660"/>
    <hyperlink r:id="rId660" ref="P661"/>
    <hyperlink r:id="rId661" ref="P662"/>
    <hyperlink r:id="rId662" ref="P663"/>
    <hyperlink r:id="rId663" ref="P664"/>
    <hyperlink r:id="rId664" ref="P665"/>
    <hyperlink r:id="rId665" ref="P666"/>
    <hyperlink r:id="rId666" ref="P667"/>
    <hyperlink r:id="rId667" ref="P668"/>
    <hyperlink r:id="rId668" ref="P669"/>
    <hyperlink r:id="rId669" ref="P670"/>
    <hyperlink r:id="rId670" ref="P671"/>
    <hyperlink r:id="rId671" ref="P672"/>
    <hyperlink r:id="rId672" ref="P673"/>
    <hyperlink r:id="rId673" ref="P674"/>
    <hyperlink r:id="rId674" ref="P675"/>
    <hyperlink r:id="rId675" ref="P676"/>
    <hyperlink r:id="rId676" ref="P677"/>
    <hyperlink r:id="rId677" ref="P678"/>
    <hyperlink r:id="rId678" ref="P679"/>
    <hyperlink r:id="rId679" ref="P680"/>
    <hyperlink r:id="rId680" ref="P681"/>
    <hyperlink r:id="rId681" ref="P682"/>
    <hyperlink r:id="rId682" ref="P683"/>
    <hyperlink r:id="rId683" ref="P684"/>
    <hyperlink r:id="rId684" ref="P685"/>
    <hyperlink r:id="rId685" ref="P686"/>
    <hyperlink r:id="rId686" ref="P687"/>
    <hyperlink r:id="rId687" ref="P688"/>
    <hyperlink r:id="rId688" ref="P689"/>
    <hyperlink r:id="rId689" ref="P690"/>
    <hyperlink r:id="rId690" ref="P691"/>
    <hyperlink r:id="rId691" ref="P692"/>
    <hyperlink r:id="rId692" ref="P693"/>
    <hyperlink r:id="rId693" ref="P694"/>
    <hyperlink r:id="rId694" ref="P695"/>
    <hyperlink r:id="rId695" ref="P696"/>
    <hyperlink r:id="rId696" ref="P697"/>
    <hyperlink r:id="rId697" ref="P698"/>
    <hyperlink r:id="rId698" ref="P699"/>
    <hyperlink r:id="rId699" ref="P700"/>
    <hyperlink r:id="rId700" ref="P701"/>
    <hyperlink r:id="rId701" ref="P702"/>
    <hyperlink r:id="rId702" ref="P703"/>
    <hyperlink r:id="rId703" ref="P704"/>
    <hyperlink r:id="rId704" ref="P705"/>
    <hyperlink r:id="rId705" ref="P706"/>
    <hyperlink r:id="rId706" ref="P707"/>
    <hyperlink r:id="rId707" ref="P708"/>
    <hyperlink r:id="rId708" ref="P709"/>
    <hyperlink r:id="rId709" ref="P710"/>
    <hyperlink r:id="rId710" ref="P711"/>
    <hyperlink r:id="rId711" ref="P712"/>
    <hyperlink r:id="rId712" ref="P713"/>
    <hyperlink r:id="rId713" ref="P714"/>
    <hyperlink r:id="rId714" ref="P715"/>
    <hyperlink r:id="rId715" ref="P716"/>
    <hyperlink r:id="rId716" ref="P717"/>
    <hyperlink r:id="rId717" ref="P718"/>
    <hyperlink r:id="rId718" ref="P719"/>
    <hyperlink r:id="rId719" ref="P720"/>
    <hyperlink r:id="rId720" ref="P721"/>
    <hyperlink r:id="rId721" ref="P722"/>
    <hyperlink r:id="rId722" ref="P723"/>
    <hyperlink r:id="rId723" ref="P724"/>
    <hyperlink r:id="rId724" ref="P725"/>
    <hyperlink r:id="rId725" ref="P726"/>
    <hyperlink r:id="rId726" ref="P727"/>
    <hyperlink r:id="rId727" ref="P728"/>
    <hyperlink r:id="rId728" ref="P729"/>
    <hyperlink r:id="rId729" ref="P730"/>
    <hyperlink r:id="rId730" ref="P731"/>
    <hyperlink r:id="rId731" ref="P732"/>
    <hyperlink r:id="rId732" ref="P733"/>
    <hyperlink r:id="rId733" ref="P734"/>
    <hyperlink r:id="rId734" ref="P735"/>
    <hyperlink r:id="rId735" ref="P736"/>
    <hyperlink r:id="rId736" ref="P737"/>
    <hyperlink r:id="rId737" ref="P738"/>
    <hyperlink r:id="rId738" ref="P739"/>
    <hyperlink r:id="rId739" ref="P740"/>
    <hyperlink r:id="rId740" ref="P741"/>
    <hyperlink r:id="rId741" ref="P742"/>
    <hyperlink r:id="rId742" ref="P743"/>
    <hyperlink r:id="rId743" ref="P744"/>
    <hyperlink r:id="rId744" ref="P745"/>
    <hyperlink r:id="rId745" ref="P746"/>
    <hyperlink r:id="rId746" ref="P747"/>
    <hyperlink r:id="rId747" ref="P748"/>
    <hyperlink r:id="rId748" ref="P749"/>
    <hyperlink r:id="rId749" ref="P750"/>
    <hyperlink r:id="rId750" ref="P751"/>
    <hyperlink r:id="rId751" ref="P752"/>
    <hyperlink r:id="rId752" ref="P753"/>
    <hyperlink r:id="rId753" ref="P754"/>
    <hyperlink r:id="rId754" ref="P755"/>
    <hyperlink r:id="rId755" ref="P756"/>
    <hyperlink r:id="rId756" ref="P757"/>
    <hyperlink r:id="rId757" ref="P758"/>
    <hyperlink r:id="rId758" ref="P759"/>
    <hyperlink r:id="rId759" ref="P760"/>
    <hyperlink r:id="rId760" ref="P761"/>
    <hyperlink r:id="rId761" ref="P762"/>
    <hyperlink r:id="rId762" ref="P763"/>
    <hyperlink r:id="rId763" ref="P764"/>
    <hyperlink r:id="rId764" ref="P765"/>
    <hyperlink r:id="rId765" ref="P766"/>
    <hyperlink r:id="rId766" ref="P767"/>
    <hyperlink r:id="rId767" ref="P768"/>
    <hyperlink r:id="rId768" ref="P769"/>
    <hyperlink r:id="rId769" ref="P770"/>
    <hyperlink r:id="rId770" ref="P771"/>
    <hyperlink r:id="rId771" ref="P772"/>
    <hyperlink r:id="rId772" ref="P773"/>
    <hyperlink r:id="rId773" ref="P774"/>
    <hyperlink r:id="rId774" ref="P775"/>
    <hyperlink r:id="rId775" ref="P776"/>
    <hyperlink r:id="rId776" ref="P777"/>
    <hyperlink r:id="rId777" ref="P778"/>
    <hyperlink r:id="rId778" ref="P779"/>
    <hyperlink r:id="rId779" ref="P780"/>
    <hyperlink r:id="rId780" ref="P781"/>
    <hyperlink r:id="rId781" ref="P782"/>
    <hyperlink r:id="rId782" ref="P783"/>
    <hyperlink r:id="rId783" ref="P784"/>
    <hyperlink r:id="rId784" ref="P785"/>
    <hyperlink r:id="rId785" ref="P786"/>
    <hyperlink r:id="rId786" ref="P787"/>
    <hyperlink r:id="rId787" ref="P788"/>
    <hyperlink r:id="rId788" ref="P789"/>
    <hyperlink r:id="rId789" ref="P790"/>
    <hyperlink r:id="rId790" ref="P791"/>
    <hyperlink r:id="rId791" ref="P792"/>
    <hyperlink r:id="rId792" ref="P793"/>
    <hyperlink r:id="rId793" ref="P794"/>
    <hyperlink r:id="rId794" ref="P795"/>
    <hyperlink r:id="rId795" ref="P796"/>
    <hyperlink r:id="rId796" ref="P797"/>
    <hyperlink r:id="rId797" ref="P798"/>
    <hyperlink r:id="rId798" ref="P799"/>
    <hyperlink r:id="rId799" ref="P800"/>
    <hyperlink r:id="rId800" ref="P801"/>
    <hyperlink r:id="rId801" ref="P802"/>
    <hyperlink r:id="rId802" ref="P803"/>
    <hyperlink r:id="rId803" ref="P804"/>
    <hyperlink r:id="rId804" ref="P805"/>
    <hyperlink r:id="rId805" ref="P806"/>
    <hyperlink r:id="rId806" ref="P807"/>
    <hyperlink r:id="rId807" ref="P808"/>
    <hyperlink r:id="rId808" ref="P809"/>
    <hyperlink r:id="rId809" ref="P810"/>
    <hyperlink r:id="rId810" ref="P811"/>
    <hyperlink r:id="rId811" ref="P812"/>
    <hyperlink r:id="rId812" ref="P813"/>
    <hyperlink r:id="rId813" ref="P814"/>
    <hyperlink r:id="rId814" ref="P815"/>
    <hyperlink r:id="rId815" ref="P816"/>
    <hyperlink r:id="rId816" ref="P817"/>
    <hyperlink r:id="rId817" ref="P818"/>
    <hyperlink r:id="rId818" ref="P819"/>
    <hyperlink r:id="rId819" ref="P820"/>
    <hyperlink r:id="rId820" ref="P821"/>
    <hyperlink r:id="rId821" ref="P822"/>
    <hyperlink r:id="rId822" ref="P823"/>
    <hyperlink r:id="rId823" ref="P824"/>
    <hyperlink r:id="rId824" ref="P825"/>
    <hyperlink r:id="rId825" ref="P826"/>
    <hyperlink r:id="rId826" ref="P827"/>
    <hyperlink r:id="rId827" ref="P828"/>
    <hyperlink r:id="rId828" ref="P829"/>
    <hyperlink r:id="rId829" ref="P830"/>
    <hyperlink r:id="rId830" ref="P831"/>
    <hyperlink r:id="rId831" ref="P832"/>
    <hyperlink r:id="rId832" ref="P833"/>
    <hyperlink r:id="rId833" ref="P834"/>
    <hyperlink r:id="rId834" ref="P835"/>
    <hyperlink r:id="rId835" ref="P836"/>
    <hyperlink r:id="rId836" ref="P837"/>
    <hyperlink r:id="rId837" ref="P838"/>
    <hyperlink r:id="rId838" ref="P839"/>
    <hyperlink r:id="rId839" ref="P840"/>
    <hyperlink r:id="rId840" ref="P841"/>
    <hyperlink r:id="rId841" ref="P842"/>
    <hyperlink r:id="rId842" ref="P843"/>
    <hyperlink r:id="rId843" ref="P844"/>
    <hyperlink r:id="rId844" ref="P845"/>
    <hyperlink r:id="rId845" ref="P846"/>
    <hyperlink r:id="rId846" ref="P847"/>
    <hyperlink r:id="rId847" ref="P848"/>
    <hyperlink r:id="rId848" ref="P849"/>
    <hyperlink r:id="rId849" ref="P850"/>
    <hyperlink r:id="rId850" ref="P851"/>
    <hyperlink r:id="rId851" ref="P852"/>
    <hyperlink r:id="rId852" ref="P853"/>
    <hyperlink r:id="rId853" ref="P854"/>
    <hyperlink r:id="rId854" ref="P855"/>
    <hyperlink r:id="rId855" ref="P856"/>
    <hyperlink r:id="rId856" ref="P857"/>
    <hyperlink r:id="rId857" ref="P858"/>
    <hyperlink r:id="rId858" ref="P859"/>
    <hyperlink r:id="rId859" ref="P860"/>
    <hyperlink r:id="rId860" ref="P861"/>
    <hyperlink r:id="rId861" ref="P862"/>
    <hyperlink r:id="rId862" ref="P863"/>
    <hyperlink r:id="rId863" ref="P864"/>
    <hyperlink r:id="rId864" ref="P865"/>
    <hyperlink r:id="rId865" ref="P866"/>
    <hyperlink r:id="rId866" ref="P867"/>
    <hyperlink r:id="rId867" ref="P868"/>
    <hyperlink r:id="rId868" ref="P869"/>
    <hyperlink r:id="rId869" ref="P870"/>
    <hyperlink r:id="rId870" ref="P871"/>
    <hyperlink r:id="rId871" ref="P872"/>
    <hyperlink r:id="rId872" ref="P873"/>
    <hyperlink r:id="rId873" ref="P874"/>
    <hyperlink r:id="rId874" ref="P875"/>
    <hyperlink r:id="rId875" ref="P876"/>
    <hyperlink r:id="rId876" ref="P877"/>
    <hyperlink r:id="rId877" ref="P878"/>
    <hyperlink r:id="rId878" ref="P879"/>
    <hyperlink r:id="rId879" ref="P880"/>
    <hyperlink r:id="rId880" ref="P881"/>
    <hyperlink r:id="rId881" ref="P882"/>
    <hyperlink r:id="rId882" ref="P883"/>
    <hyperlink r:id="rId883" ref="P884"/>
    <hyperlink r:id="rId884" ref="P885"/>
    <hyperlink r:id="rId885" ref="P886"/>
    <hyperlink r:id="rId886" ref="P887"/>
    <hyperlink r:id="rId887" ref="P888"/>
    <hyperlink r:id="rId888" ref="P889"/>
    <hyperlink r:id="rId889" ref="P890"/>
    <hyperlink r:id="rId890" ref="P891"/>
    <hyperlink r:id="rId891" ref="P892"/>
    <hyperlink r:id="rId892" ref="P893"/>
    <hyperlink r:id="rId893" ref="P894"/>
    <hyperlink r:id="rId894" ref="P895"/>
    <hyperlink r:id="rId895" ref="P896"/>
    <hyperlink r:id="rId896" ref="P897"/>
    <hyperlink r:id="rId897" ref="P898"/>
    <hyperlink r:id="rId898" ref="P899"/>
    <hyperlink r:id="rId899" ref="P900"/>
    <hyperlink r:id="rId900" ref="P901"/>
    <hyperlink r:id="rId901" ref="P902"/>
    <hyperlink r:id="rId902" ref="P903"/>
    <hyperlink r:id="rId903" ref="P904"/>
    <hyperlink r:id="rId904" ref="P905"/>
    <hyperlink r:id="rId905" ref="P906"/>
    <hyperlink r:id="rId906" ref="P907"/>
    <hyperlink r:id="rId907" ref="P908"/>
    <hyperlink r:id="rId908" ref="P909"/>
    <hyperlink r:id="rId909" ref="P910"/>
    <hyperlink r:id="rId910" ref="P911"/>
    <hyperlink r:id="rId911" ref="P912"/>
    <hyperlink r:id="rId912" ref="P913"/>
    <hyperlink r:id="rId913" ref="P914"/>
    <hyperlink r:id="rId914" ref="P915"/>
    <hyperlink r:id="rId915" ref="P916"/>
    <hyperlink r:id="rId916" ref="P917"/>
    <hyperlink r:id="rId917" ref="P918"/>
    <hyperlink r:id="rId918" ref="P919"/>
    <hyperlink r:id="rId919" ref="P920"/>
    <hyperlink r:id="rId920" ref="P921"/>
    <hyperlink r:id="rId921" ref="P922"/>
    <hyperlink r:id="rId922" ref="P923"/>
    <hyperlink r:id="rId923" ref="P924"/>
    <hyperlink r:id="rId924" ref="P925"/>
    <hyperlink r:id="rId925" ref="P926"/>
    <hyperlink r:id="rId926" ref="P927"/>
    <hyperlink r:id="rId927" ref="P928"/>
    <hyperlink r:id="rId928" ref="P929"/>
    <hyperlink r:id="rId929" ref="P930"/>
    <hyperlink r:id="rId930" ref="P931"/>
    <hyperlink r:id="rId931" ref="P932"/>
    <hyperlink r:id="rId932" ref="P933"/>
    <hyperlink r:id="rId933" ref="P934"/>
    <hyperlink r:id="rId934" ref="P935"/>
    <hyperlink r:id="rId935" ref="P936"/>
    <hyperlink r:id="rId936" ref="P937"/>
    <hyperlink r:id="rId937" ref="P938"/>
    <hyperlink r:id="rId938" ref="P939"/>
    <hyperlink r:id="rId939" ref="P940"/>
    <hyperlink r:id="rId940" ref="P941"/>
    <hyperlink r:id="rId941" ref="P942"/>
    <hyperlink r:id="rId942" ref="P943"/>
    <hyperlink r:id="rId943" ref="P944"/>
    <hyperlink r:id="rId944" ref="P945"/>
    <hyperlink r:id="rId945" ref="P946"/>
    <hyperlink r:id="rId946" ref="P947"/>
    <hyperlink r:id="rId947" ref="P948"/>
    <hyperlink r:id="rId948" ref="P949"/>
    <hyperlink r:id="rId949" ref="P950"/>
    <hyperlink r:id="rId950" ref="P951"/>
    <hyperlink r:id="rId951" ref="P952"/>
    <hyperlink r:id="rId952" ref="P953"/>
    <hyperlink r:id="rId953" ref="P954"/>
    <hyperlink r:id="rId954" ref="P955"/>
    <hyperlink r:id="rId955" ref="P956"/>
    <hyperlink r:id="rId956" ref="P957"/>
    <hyperlink r:id="rId957" ref="P958"/>
    <hyperlink r:id="rId958" ref="P959"/>
    <hyperlink r:id="rId959" ref="P960"/>
    <hyperlink r:id="rId960" ref="P961"/>
    <hyperlink r:id="rId961" ref="P962"/>
    <hyperlink r:id="rId962" ref="P963"/>
    <hyperlink r:id="rId963" ref="P964"/>
    <hyperlink r:id="rId964" ref="P965"/>
    <hyperlink r:id="rId965" ref="P966"/>
    <hyperlink r:id="rId966" ref="P967"/>
    <hyperlink r:id="rId967" ref="P968"/>
    <hyperlink r:id="rId968" ref="P969"/>
    <hyperlink r:id="rId969" ref="P970"/>
    <hyperlink r:id="rId970" ref="P971"/>
    <hyperlink r:id="rId971" ref="P972"/>
    <hyperlink r:id="rId972" ref="P973"/>
    <hyperlink r:id="rId973" ref="P974"/>
    <hyperlink r:id="rId974" ref="P975"/>
    <hyperlink r:id="rId975" ref="P976"/>
    <hyperlink r:id="rId976" ref="P977"/>
    <hyperlink r:id="rId977" ref="P978"/>
    <hyperlink r:id="rId978" ref="P979"/>
    <hyperlink r:id="rId979" ref="P980"/>
    <hyperlink r:id="rId980" ref="P981"/>
    <hyperlink r:id="rId981" ref="P982"/>
    <hyperlink r:id="rId982" ref="P983"/>
    <hyperlink r:id="rId983" ref="P984"/>
    <hyperlink r:id="rId984" ref="P985"/>
    <hyperlink r:id="rId985" ref="P986"/>
    <hyperlink r:id="rId986" ref="P987"/>
    <hyperlink r:id="rId987" ref="P988"/>
    <hyperlink r:id="rId988" ref="P989"/>
    <hyperlink r:id="rId989" ref="P990"/>
    <hyperlink r:id="rId990" ref="P991"/>
    <hyperlink r:id="rId991" ref="P992"/>
    <hyperlink r:id="rId992" ref="P993"/>
    <hyperlink r:id="rId993" ref="P994"/>
    <hyperlink r:id="rId994" ref="P995"/>
    <hyperlink r:id="rId995" ref="P996"/>
    <hyperlink r:id="rId996" ref="P997"/>
    <hyperlink r:id="rId997" ref="P998"/>
    <hyperlink r:id="rId998" ref="P999"/>
    <hyperlink r:id="rId999" ref="P1000"/>
    <hyperlink r:id="rId1000" ref="P1001"/>
    <hyperlink r:id="rId1001" ref="P1002"/>
    <hyperlink r:id="rId1002" ref="P1003"/>
    <hyperlink r:id="rId1003" ref="P1004"/>
    <hyperlink r:id="rId1004" ref="P1005"/>
    <hyperlink r:id="rId1005" ref="P1006"/>
    <hyperlink r:id="rId1006" ref="P1007"/>
    <hyperlink r:id="rId1007" ref="P1008"/>
    <hyperlink r:id="rId1008" ref="P1009"/>
    <hyperlink r:id="rId1009" ref="P1010"/>
    <hyperlink r:id="rId1010" ref="P1011"/>
    <hyperlink r:id="rId1011" ref="P1012"/>
    <hyperlink r:id="rId1012" ref="P1013"/>
    <hyperlink r:id="rId1013" ref="P1014"/>
    <hyperlink r:id="rId1014" ref="P1015"/>
    <hyperlink r:id="rId1015" ref="P1016"/>
    <hyperlink r:id="rId1016" ref="P1017"/>
    <hyperlink r:id="rId1017" ref="P1018"/>
    <hyperlink r:id="rId1018" ref="P1019"/>
    <hyperlink r:id="rId1019" ref="P1020"/>
    <hyperlink r:id="rId1020" ref="P1021"/>
    <hyperlink r:id="rId1021" ref="P1022"/>
    <hyperlink r:id="rId1022" ref="P1023"/>
    <hyperlink r:id="rId1023" ref="P1024"/>
    <hyperlink r:id="rId1024" ref="P1025"/>
    <hyperlink r:id="rId1025" ref="P1026"/>
    <hyperlink r:id="rId1026" ref="P1027"/>
    <hyperlink r:id="rId1027" ref="P1028"/>
    <hyperlink r:id="rId1028" ref="P1029"/>
    <hyperlink r:id="rId1029" ref="P1030"/>
    <hyperlink r:id="rId1030" ref="P1031"/>
    <hyperlink r:id="rId1031" ref="P1032"/>
    <hyperlink r:id="rId1032" ref="P1033"/>
    <hyperlink r:id="rId1033" ref="P1034"/>
    <hyperlink r:id="rId1034" ref="P1035"/>
    <hyperlink r:id="rId1035" ref="P1036"/>
    <hyperlink r:id="rId1036" ref="P1037"/>
    <hyperlink r:id="rId1037" ref="P1038"/>
    <hyperlink r:id="rId1038" ref="P1039"/>
    <hyperlink r:id="rId1039" ref="P1040"/>
    <hyperlink r:id="rId1040" ref="P1041"/>
    <hyperlink r:id="rId1041" ref="P1042"/>
    <hyperlink r:id="rId1042" ref="P1043"/>
    <hyperlink r:id="rId1043" ref="P1044"/>
    <hyperlink r:id="rId1044" ref="P1045"/>
    <hyperlink r:id="rId1045" ref="P1046"/>
    <hyperlink r:id="rId1046" ref="P1047"/>
    <hyperlink r:id="rId1047" ref="P1048"/>
    <hyperlink r:id="rId1048" ref="P1049"/>
    <hyperlink r:id="rId1049" ref="P1050"/>
    <hyperlink r:id="rId1050" ref="P1051"/>
    <hyperlink r:id="rId1051" ref="P1052"/>
    <hyperlink r:id="rId1052" ref="P1053"/>
    <hyperlink r:id="rId1053" ref="P1054"/>
    <hyperlink r:id="rId1054" ref="P1055"/>
    <hyperlink r:id="rId1055" ref="P1056"/>
    <hyperlink r:id="rId1056" ref="P1057"/>
    <hyperlink r:id="rId1057" ref="P1058"/>
    <hyperlink r:id="rId1058" ref="P1059"/>
    <hyperlink r:id="rId1059" ref="P1060"/>
    <hyperlink r:id="rId1060" ref="P1061"/>
    <hyperlink r:id="rId1061" ref="P1062"/>
    <hyperlink r:id="rId1062" ref="P1063"/>
    <hyperlink r:id="rId1063" ref="P1064"/>
    <hyperlink r:id="rId1064" ref="P1065"/>
    <hyperlink r:id="rId1065" ref="P1066"/>
    <hyperlink r:id="rId1066" ref="P1067"/>
    <hyperlink r:id="rId1067" ref="P1068"/>
    <hyperlink r:id="rId1068" ref="P1069"/>
    <hyperlink r:id="rId1069" ref="P1070"/>
    <hyperlink r:id="rId1070" ref="P1071"/>
    <hyperlink r:id="rId1071" ref="P1072"/>
    <hyperlink r:id="rId1072" ref="P1073"/>
    <hyperlink r:id="rId1073" ref="P1074"/>
    <hyperlink r:id="rId1074" ref="P1075"/>
    <hyperlink r:id="rId1075" ref="P1076"/>
    <hyperlink r:id="rId1076" ref="P1077"/>
    <hyperlink r:id="rId1077" ref="P1078"/>
    <hyperlink r:id="rId1078" ref="P1079"/>
    <hyperlink r:id="rId1079" ref="P1080"/>
    <hyperlink r:id="rId1080" ref="P1081"/>
    <hyperlink r:id="rId1081" ref="P1082"/>
    <hyperlink r:id="rId1082" ref="P1083"/>
    <hyperlink r:id="rId1083" ref="P1084"/>
    <hyperlink r:id="rId1084" ref="P1085"/>
    <hyperlink r:id="rId1085" ref="P1086"/>
    <hyperlink r:id="rId1086" ref="P1087"/>
    <hyperlink r:id="rId1087" ref="P1088"/>
    <hyperlink r:id="rId1088" ref="P1089"/>
    <hyperlink r:id="rId1089" ref="P1090"/>
    <hyperlink r:id="rId1090" ref="P1091"/>
    <hyperlink r:id="rId1091" ref="P1092"/>
    <hyperlink r:id="rId1092" ref="P1093"/>
    <hyperlink r:id="rId1093" ref="P1094"/>
    <hyperlink r:id="rId1094" ref="P1095"/>
    <hyperlink r:id="rId1095" ref="P1096"/>
    <hyperlink r:id="rId1096" ref="P1097"/>
    <hyperlink r:id="rId1097" ref="P1098"/>
    <hyperlink r:id="rId1098" ref="P1099"/>
    <hyperlink r:id="rId1099" ref="P1100"/>
    <hyperlink r:id="rId1100" ref="P1101"/>
    <hyperlink r:id="rId1101" ref="P1102"/>
    <hyperlink r:id="rId1102" ref="P1103"/>
    <hyperlink r:id="rId1103" ref="P1104"/>
    <hyperlink r:id="rId1104" ref="P1105"/>
    <hyperlink r:id="rId1105" ref="P1106"/>
    <hyperlink r:id="rId1106" ref="P1107"/>
    <hyperlink r:id="rId1107" ref="P1108"/>
    <hyperlink r:id="rId1108" ref="P1109"/>
    <hyperlink r:id="rId1109" ref="P1110"/>
    <hyperlink r:id="rId1110" ref="P1111"/>
    <hyperlink r:id="rId1111" ref="P1112"/>
    <hyperlink r:id="rId1112" ref="P1113"/>
    <hyperlink r:id="rId1113" ref="P1114"/>
    <hyperlink r:id="rId1114" ref="P1115"/>
    <hyperlink r:id="rId1115" ref="P1116"/>
    <hyperlink r:id="rId1116" ref="P1117"/>
    <hyperlink r:id="rId1117" ref="P1118"/>
    <hyperlink r:id="rId1118" ref="P1119"/>
    <hyperlink r:id="rId1119" ref="P1120"/>
    <hyperlink r:id="rId1120" ref="P1121"/>
    <hyperlink r:id="rId1121" ref="P1122"/>
    <hyperlink r:id="rId1122" ref="P1123"/>
    <hyperlink r:id="rId1123" ref="P1124"/>
    <hyperlink r:id="rId1124" ref="P1125"/>
    <hyperlink r:id="rId1125" ref="P1126"/>
    <hyperlink r:id="rId1126" ref="P1127"/>
    <hyperlink r:id="rId1127" ref="P1128"/>
    <hyperlink r:id="rId1128" ref="P1129"/>
    <hyperlink r:id="rId1129" ref="P1130"/>
    <hyperlink r:id="rId1130" ref="P1131"/>
    <hyperlink r:id="rId1131" ref="P1132"/>
    <hyperlink r:id="rId1132" ref="P1133"/>
    <hyperlink r:id="rId1133" ref="P1134"/>
    <hyperlink r:id="rId1134" ref="P1135"/>
    <hyperlink r:id="rId1135" ref="P1136"/>
    <hyperlink r:id="rId1136" ref="P1137"/>
    <hyperlink r:id="rId1137" ref="P1138"/>
    <hyperlink r:id="rId1138" ref="P1139"/>
    <hyperlink r:id="rId1139" ref="P1140"/>
    <hyperlink r:id="rId1140" ref="P1141"/>
    <hyperlink r:id="rId1141" ref="P1142"/>
    <hyperlink r:id="rId1142" ref="P1143"/>
    <hyperlink r:id="rId1143" ref="P1144"/>
    <hyperlink r:id="rId1144" ref="P1145"/>
    <hyperlink r:id="rId1145" ref="P1146"/>
    <hyperlink r:id="rId1146" ref="P1147"/>
    <hyperlink r:id="rId1147" ref="P1148"/>
    <hyperlink r:id="rId1148" ref="P1149"/>
    <hyperlink r:id="rId1149" ref="P1150"/>
    <hyperlink r:id="rId1150" ref="P1151"/>
    <hyperlink r:id="rId1151" ref="P1152"/>
    <hyperlink r:id="rId1152" ref="P1153"/>
    <hyperlink r:id="rId1153" ref="P1154"/>
    <hyperlink r:id="rId1154" ref="P1155"/>
    <hyperlink r:id="rId1155" ref="P1156"/>
    <hyperlink r:id="rId1156" ref="P1157"/>
    <hyperlink r:id="rId1157" ref="P1158"/>
    <hyperlink r:id="rId1158" ref="P1159"/>
    <hyperlink r:id="rId1159" ref="P1160"/>
    <hyperlink r:id="rId1160" ref="P1161"/>
    <hyperlink r:id="rId1161" ref="P1162"/>
    <hyperlink r:id="rId1162" ref="P1163"/>
    <hyperlink r:id="rId1163" ref="P1164"/>
    <hyperlink r:id="rId1164" ref="P1165"/>
    <hyperlink r:id="rId1165" ref="P1166"/>
    <hyperlink r:id="rId1166" ref="P1167"/>
    <hyperlink r:id="rId1167" ref="P1168"/>
    <hyperlink r:id="rId1168" ref="P1169"/>
    <hyperlink r:id="rId1169" ref="P1170"/>
    <hyperlink r:id="rId1170" ref="P1171"/>
    <hyperlink r:id="rId1171" ref="P1172"/>
    <hyperlink r:id="rId1172" ref="P1173"/>
    <hyperlink r:id="rId1173" ref="P1174"/>
    <hyperlink r:id="rId1174" ref="P1175"/>
    <hyperlink r:id="rId1175" ref="P1176"/>
    <hyperlink r:id="rId1176" ref="P1177"/>
    <hyperlink r:id="rId1177" ref="P1178"/>
    <hyperlink r:id="rId1178" ref="P1179"/>
    <hyperlink r:id="rId1179" ref="P1180"/>
    <hyperlink r:id="rId1180" ref="P1181"/>
    <hyperlink r:id="rId1181" ref="P1182"/>
    <hyperlink r:id="rId1182" ref="P1183"/>
    <hyperlink r:id="rId1183" ref="P1184"/>
    <hyperlink r:id="rId1184" ref="P1185"/>
    <hyperlink r:id="rId1185" ref="P1186"/>
    <hyperlink r:id="rId1186" ref="P1187"/>
    <hyperlink r:id="rId1187" ref="P1188"/>
    <hyperlink r:id="rId1188" ref="P1189"/>
    <hyperlink r:id="rId1189" ref="P1190"/>
    <hyperlink r:id="rId1190" ref="P1191"/>
    <hyperlink r:id="rId1191" ref="P1192"/>
    <hyperlink r:id="rId1192" ref="P1193"/>
    <hyperlink r:id="rId1193" ref="P1194"/>
    <hyperlink r:id="rId1194" ref="P1195"/>
    <hyperlink r:id="rId1195" ref="P1196"/>
    <hyperlink r:id="rId1196" ref="P1197"/>
    <hyperlink r:id="rId1197" ref="P1198"/>
    <hyperlink r:id="rId1198" ref="P1199"/>
    <hyperlink r:id="rId1199" ref="P1200"/>
    <hyperlink r:id="rId1200" ref="P1201"/>
    <hyperlink r:id="rId1201" ref="P1202"/>
    <hyperlink r:id="rId1202" ref="P1203"/>
    <hyperlink r:id="rId1203" ref="P1204"/>
    <hyperlink r:id="rId1204" ref="P1205"/>
    <hyperlink r:id="rId1205" ref="P1206"/>
    <hyperlink r:id="rId1206" ref="P1207"/>
    <hyperlink r:id="rId1207" ref="P1208"/>
    <hyperlink r:id="rId1208" ref="P1209"/>
    <hyperlink r:id="rId1209" ref="P1210"/>
    <hyperlink r:id="rId1210" ref="P1211"/>
    <hyperlink r:id="rId1211" ref="P1212"/>
    <hyperlink r:id="rId1212" ref="P1213"/>
    <hyperlink r:id="rId1213" ref="P1214"/>
    <hyperlink r:id="rId1214" ref="P1215"/>
    <hyperlink r:id="rId1215" ref="P1216"/>
    <hyperlink r:id="rId1216" ref="P1217"/>
    <hyperlink r:id="rId1217" ref="P1218"/>
    <hyperlink r:id="rId1218" ref="P1219"/>
    <hyperlink r:id="rId1219" ref="P1220"/>
    <hyperlink r:id="rId1220" ref="P1221"/>
    <hyperlink r:id="rId1221" ref="P1222"/>
    <hyperlink r:id="rId1222" ref="P1223"/>
    <hyperlink r:id="rId1223" ref="P1224"/>
    <hyperlink r:id="rId1224" ref="P1225"/>
    <hyperlink r:id="rId1225" ref="P1226"/>
    <hyperlink r:id="rId1226" ref="P1227"/>
    <hyperlink r:id="rId1227" ref="P1228"/>
    <hyperlink r:id="rId1228" ref="P1229"/>
    <hyperlink r:id="rId1229" ref="P1230"/>
    <hyperlink r:id="rId1230" ref="P1231"/>
    <hyperlink r:id="rId1231" ref="P1232"/>
    <hyperlink r:id="rId1232" ref="P1233"/>
    <hyperlink r:id="rId1233" ref="P1234"/>
    <hyperlink r:id="rId1234" ref="P1235"/>
    <hyperlink r:id="rId1235" ref="P1236"/>
    <hyperlink r:id="rId1236" ref="P1237"/>
    <hyperlink r:id="rId1237" ref="P1238"/>
    <hyperlink r:id="rId1238" ref="P1239"/>
    <hyperlink r:id="rId1239" ref="P1240"/>
    <hyperlink r:id="rId1240" ref="P1241"/>
    <hyperlink r:id="rId1241" ref="P1242"/>
    <hyperlink r:id="rId1242" ref="P1243"/>
    <hyperlink r:id="rId1243" ref="P1244"/>
    <hyperlink r:id="rId1244" ref="P1245"/>
    <hyperlink r:id="rId1245" ref="P1246"/>
    <hyperlink r:id="rId1246" ref="P1247"/>
    <hyperlink r:id="rId1247" ref="P1248"/>
    <hyperlink r:id="rId1248" ref="P1249"/>
    <hyperlink r:id="rId1249" ref="P1250"/>
    <hyperlink r:id="rId1250" ref="P1251"/>
    <hyperlink r:id="rId1251" ref="P1252"/>
    <hyperlink r:id="rId1252" ref="P1253"/>
    <hyperlink r:id="rId1253" ref="P1254"/>
    <hyperlink r:id="rId1254" ref="P1255"/>
    <hyperlink r:id="rId1255" ref="P1256"/>
    <hyperlink r:id="rId1256" ref="P1257"/>
    <hyperlink r:id="rId1257" ref="P1258"/>
    <hyperlink r:id="rId1258" ref="P1259"/>
    <hyperlink r:id="rId1259" ref="P1260"/>
    <hyperlink r:id="rId1260" ref="P1261"/>
    <hyperlink r:id="rId1261" ref="P1262"/>
    <hyperlink r:id="rId1262" ref="P1263"/>
    <hyperlink r:id="rId1263" ref="P1264"/>
    <hyperlink r:id="rId1264" ref="P1265"/>
    <hyperlink r:id="rId1265" ref="P1266"/>
    <hyperlink r:id="rId1266" ref="P1267"/>
    <hyperlink r:id="rId1267" ref="P1268"/>
    <hyperlink r:id="rId1268" ref="P1269"/>
    <hyperlink r:id="rId1269" ref="P1270"/>
    <hyperlink r:id="rId1270" ref="P1271"/>
    <hyperlink r:id="rId1271" ref="P1272"/>
    <hyperlink r:id="rId1272" ref="P1273"/>
    <hyperlink r:id="rId1273" ref="P1274"/>
    <hyperlink r:id="rId1274" ref="P1275"/>
    <hyperlink r:id="rId1275" ref="P1276"/>
    <hyperlink r:id="rId1276" ref="P1277"/>
    <hyperlink r:id="rId1277" ref="P1278"/>
    <hyperlink r:id="rId1278" ref="P1279"/>
    <hyperlink r:id="rId1279" ref="P1280"/>
    <hyperlink r:id="rId1280" ref="P1281"/>
    <hyperlink r:id="rId1281" ref="P1282"/>
    <hyperlink r:id="rId1282" ref="P1283"/>
    <hyperlink r:id="rId1283" ref="P1284"/>
    <hyperlink r:id="rId1284" ref="P1285"/>
    <hyperlink r:id="rId1285" ref="P1286"/>
    <hyperlink r:id="rId1286" ref="P1287"/>
    <hyperlink r:id="rId1287" ref="P1288"/>
    <hyperlink r:id="rId1288" ref="P1289"/>
    <hyperlink r:id="rId1289" ref="P1290"/>
    <hyperlink r:id="rId1290" ref="P1291"/>
    <hyperlink r:id="rId1291" ref="P1292"/>
    <hyperlink r:id="rId1292" ref="P1293"/>
    <hyperlink r:id="rId1293" ref="P1294"/>
    <hyperlink r:id="rId1294" ref="P1295"/>
    <hyperlink r:id="rId1295" ref="P1296"/>
    <hyperlink r:id="rId1296" ref="P1297"/>
    <hyperlink r:id="rId1297" ref="P1298"/>
    <hyperlink r:id="rId1298" ref="P1299"/>
    <hyperlink r:id="rId1299" ref="P1300"/>
    <hyperlink r:id="rId1300" ref="P1301"/>
    <hyperlink r:id="rId1301" ref="P1302"/>
    <hyperlink r:id="rId1302" ref="P1303"/>
    <hyperlink r:id="rId1303" ref="P1304"/>
    <hyperlink r:id="rId1304" ref="P1305"/>
    <hyperlink r:id="rId1305" ref="P1306"/>
    <hyperlink r:id="rId1306" ref="P1307"/>
    <hyperlink r:id="rId1307" ref="P1308"/>
    <hyperlink r:id="rId1308" ref="P1309"/>
    <hyperlink r:id="rId1309" ref="P1310"/>
    <hyperlink r:id="rId1310" ref="P1311"/>
    <hyperlink r:id="rId1311" ref="P1312"/>
    <hyperlink r:id="rId1312" ref="P1313"/>
    <hyperlink r:id="rId1313" ref="P1314"/>
    <hyperlink r:id="rId1314" ref="P1315"/>
    <hyperlink r:id="rId1315" ref="P1316"/>
    <hyperlink r:id="rId1316" ref="P1317"/>
    <hyperlink r:id="rId1317" ref="P1318"/>
    <hyperlink r:id="rId1318" ref="P1319"/>
    <hyperlink r:id="rId1319" ref="P1320"/>
    <hyperlink r:id="rId1320" ref="P1321"/>
    <hyperlink r:id="rId1321" ref="P1322"/>
    <hyperlink r:id="rId1322" ref="P1323"/>
    <hyperlink r:id="rId1323" ref="P1324"/>
    <hyperlink r:id="rId1324" ref="P1325"/>
    <hyperlink r:id="rId1325" ref="P1326"/>
    <hyperlink r:id="rId1326" ref="P1327"/>
    <hyperlink r:id="rId1327" ref="P1328"/>
    <hyperlink r:id="rId1328" ref="P1329"/>
    <hyperlink r:id="rId1329" ref="P1330"/>
    <hyperlink r:id="rId1330" ref="P1331"/>
    <hyperlink r:id="rId1331" ref="P1332"/>
    <hyperlink r:id="rId1332" ref="P1333"/>
    <hyperlink r:id="rId1333" ref="P1334"/>
    <hyperlink r:id="rId1334" ref="P1335"/>
    <hyperlink r:id="rId1335" ref="P1336"/>
    <hyperlink r:id="rId1336" ref="P1337"/>
    <hyperlink r:id="rId1337" ref="P1338"/>
    <hyperlink r:id="rId1338" ref="P1339"/>
    <hyperlink r:id="rId1339" ref="P1340"/>
    <hyperlink r:id="rId1340" ref="P1341"/>
    <hyperlink r:id="rId1341" ref="P1342"/>
    <hyperlink r:id="rId1342" ref="P1343"/>
    <hyperlink r:id="rId1343" ref="P1344"/>
    <hyperlink r:id="rId1344" ref="P1345"/>
    <hyperlink r:id="rId1345" ref="P1346"/>
    <hyperlink r:id="rId1346" ref="P1347"/>
    <hyperlink r:id="rId1347" ref="P1348"/>
    <hyperlink r:id="rId1348" ref="P1349"/>
    <hyperlink r:id="rId1349" ref="P1350"/>
    <hyperlink r:id="rId1350" ref="P1351"/>
    <hyperlink r:id="rId1351" ref="P1352"/>
    <hyperlink r:id="rId1352" ref="P1353"/>
    <hyperlink r:id="rId1353" ref="P1354"/>
    <hyperlink r:id="rId1354" ref="P1355"/>
    <hyperlink r:id="rId1355" ref="P1356"/>
    <hyperlink r:id="rId1356" ref="P1357"/>
    <hyperlink r:id="rId1357" ref="P1358"/>
    <hyperlink r:id="rId1358" ref="P1359"/>
    <hyperlink r:id="rId1359" ref="P1360"/>
    <hyperlink r:id="rId1360" ref="P1361"/>
    <hyperlink r:id="rId1361" ref="P1362"/>
    <hyperlink r:id="rId1362" ref="P1363"/>
    <hyperlink r:id="rId1363" ref="P1364"/>
    <hyperlink r:id="rId1364" ref="P1365"/>
    <hyperlink r:id="rId1365" ref="P1366"/>
    <hyperlink r:id="rId1366" ref="P1367"/>
    <hyperlink r:id="rId1367" ref="P1368"/>
    <hyperlink r:id="rId1368" ref="P1369"/>
    <hyperlink r:id="rId1369" ref="P1370"/>
    <hyperlink r:id="rId1370" ref="P1371"/>
    <hyperlink r:id="rId1371" ref="P1372"/>
    <hyperlink r:id="rId1372" ref="P1373"/>
    <hyperlink r:id="rId1373" ref="P1374"/>
    <hyperlink r:id="rId1374" ref="P1375"/>
    <hyperlink r:id="rId1375" ref="P1376"/>
    <hyperlink r:id="rId1376" ref="P1377"/>
    <hyperlink r:id="rId1377" ref="P1378"/>
    <hyperlink r:id="rId1378" ref="P1379"/>
    <hyperlink r:id="rId1379" ref="P1380"/>
    <hyperlink r:id="rId1380" ref="P1381"/>
    <hyperlink r:id="rId1381" ref="P1382"/>
    <hyperlink r:id="rId1382" ref="P1383"/>
    <hyperlink r:id="rId1383" ref="P1384"/>
    <hyperlink r:id="rId1384" ref="P1385"/>
    <hyperlink r:id="rId1385" ref="P1386"/>
    <hyperlink r:id="rId1386" ref="P1387"/>
    <hyperlink r:id="rId1387" ref="P1388"/>
    <hyperlink r:id="rId1388" ref="P1389"/>
    <hyperlink r:id="rId1389" ref="P1390"/>
    <hyperlink r:id="rId1390" ref="P1391"/>
    <hyperlink r:id="rId1391" ref="P1392"/>
    <hyperlink r:id="rId1392" ref="P1393"/>
    <hyperlink r:id="rId1393" ref="P1394"/>
    <hyperlink r:id="rId1394" ref="P1395"/>
    <hyperlink r:id="rId1395" ref="P1396"/>
    <hyperlink r:id="rId1396" ref="P1397"/>
    <hyperlink r:id="rId1397" ref="P1398"/>
    <hyperlink r:id="rId1398" ref="P1399"/>
    <hyperlink r:id="rId1399" ref="P1400"/>
    <hyperlink r:id="rId1400" ref="P1401"/>
    <hyperlink r:id="rId1401" ref="P1402"/>
    <hyperlink r:id="rId1402" ref="P1403"/>
    <hyperlink r:id="rId1403" ref="P1404"/>
    <hyperlink r:id="rId1404" ref="P1405"/>
    <hyperlink r:id="rId1405" ref="P1406"/>
    <hyperlink r:id="rId1406" ref="P1407"/>
    <hyperlink r:id="rId1407" ref="P1408"/>
    <hyperlink r:id="rId1408" ref="P1409"/>
    <hyperlink r:id="rId1409" ref="P1410"/>
    <hyperlink r:id="rId1410" ref="P1411"/>
    <hyperlink r:id="rId1411" ref="P1412"/>
    <hyperlink r:id="rId1412" ref="P1413"/>
    <hyperlink r:id="rId1413" ref="P1414"/>
    <hyperlink r:id="rId1414" ref="P1415"/>
    <hyperlink r:id="rId1415" ref="P1416"/>
    <hyperlink r:id="rId1416" ref="P1417"/>
    <hyperlink r:id="rId1417" ref="P1418"/>
    <hyperlink r:id="rId1418" ref="P1419"/>
    <hyperlink r:id="rId1419" ref="P1420"/>
    <hyperlink r:id="rId1420" ref="P1421"/>
    <hyperlink r:id="rId1421" ref="P1422"/>
    <hyperlink r:id="rId1422" ref="P1423"/>
    <hyperlink r:id="rId1423" ref="P1424"/>
    <hyperlink r:id="rId1424" ref="P1425"/>
    <hyperlink r:id="rId1425" ref="P1426"/>
    <hyperlink r:id="rId1426" ref="P1427"/>
    <hyperlink r:id="rId1427" ref="P1428"/>
    <hyperlink r:id="rId1428" ref="P1429"/>
    <hyperlink r:id="rId1429" ref="P1430"/>
    <hyperlink r:id="rId1430" ref="P1431"/>
    <hyperlink r:id="rId1431" ref="P1432"/>
    <hyperlink r:id="rId1432" ref="P1433"/>
    <hyperlink r:id="rId1433" ref="P1434"/>
    <hyperlink r:id="rId1434" ref="P1435"/>
    <hyperlink r:id="rId1435" ref="P1436"/>
    <hyperlink r:id="rId1436" ref="P1437"/>
    <hyperlink r:id="rId1437" ref="P1438"/>
    <hyperlink r:id="rId1438" ref="P1439"/>
    <hyperlink r:id="rId1439" ref="P1440"/>
    <hyperlink r:id="rId1440" ref="P1441"/>
    <hyperlink r:id="rId1441" ref="P1442"/>
    <hyperlink r:id="rId1442" ref="P1443"/>
    <hyperlink r:id="rId1443" ref="P1444"/>
    <hyperlink r:id="rId1444" ref="P1445"/>
    <hyperlink r:id="rId1445" ref="P1446"/>
    <hyperlink r:id="rId1446" ref="P1447"/>
    <hyperlink r:id="rId1447" ref="P1448"/>
    <hyperlink r:id="rId1448" ref="P1449"/>
    <hyperlink r:id="rId1449" ref="P1450"/>
    <hyperlink r:id="rId1450" ref="P1451"/>
    <hyperlink r:id="rId1451" ref="P1452"/>
    <hyperlink r:id="rId1452" ref="P1453"/>
    <hyperlink r:id="rId1453" ref="P1454"/>
    <hyperlink r:id="rId1454" ref="P1455"/>
    <hyperlink r:id="rId1455" ref="P1456"/>
    <hyperlink r:id="rId1456" ref="P1457"/>
    <hyperlink r:id="rId1457" ref="P1458"/>
    <hyperlink r:id="rId1458" ref="P1459"/>
    <hyperlink r:id="rId1459" ref="P1460"/>
    <hyperlink r:id="rId1460" ref="P1461"/>
    <hyperlink r:id="rId1461" ref="P1462"/>
    <hyperlink r:id="rId1462" ref="P1463"/>
    <hyperlink r:id="rId1463" ref="P1464"/>
    <hyperlink r:id="rId1464" ref="P1465"/>
    <hyperlink r:id="rId1465" ref="P1466"/>
  </hyperlinks>
  <drawing r:id="rId14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8"/>
    <col customWidth="1" min="2" max="2" width="62.63"/>
    <col customWidth="1" min="3" max="3" width="85.13"/>
    <col customWidth="1" min="4" max="4" width="62.63"/>
    <col customWidth="1" min="5" max="5" width="85.13"/>
  </cols>
  <sheetData>
    <row r="1" ht="22.5" customHeight="1">
      <c r="A1" s="26" t="s">
        <v>0</v>
      </c>
      <c r="B1" s="27" t="s">
        <v>5969</v>
      </c>
      <c r="C1" s="27" t="s">
        <v>5970</v>
      </c>
      <c r="D1" s="27" t="s">
        <v>5971</v>
      </c>
      <c r="E1" s="28" t="s">
        <v>5972</v>
      </c>
    </row>
    <row r="2">
      <c r="A2" s="9" t="s">
        <v>16</v>
      </c>
      <c r="B2" s="29" t="str">
        <f>VLOOKUP(dados!A2, reviews!A:G, 5, FALSE)</f>
        <v>Satisfied,Charging is really fast,Value for money,Product review,Good quality,Good product,Good Product,As of now seems good</v>
      </c>
      <c r="C2" s="29" t="str">
        <f>VLOOKUP(dados!A2, reviews!A:G, 6, FALSE)</f>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v>
      </c>
      <c r="D2" s="29" t="str">
        <f>IFERROR(__xludf.DUMMYFUNCTION("GOOGLETRANSLATE(B2, ""en"", ""pt-br"")"),"Satisfeito, cobrar é muito rápido, valor ao dinheiro, revisão de produtos, boa qualidade, bom produto, bom produto, a partir de agora parece bom")</f>
        <v>Satisfeito, cobrar é muito rápido, valor ao dinheiro, revisão de produtos, boa qualidade, bom produto, bom produto, a partir de agora parece bom</v>
      </c>
      <c r="E2" s="29" t="str">
        <f>IFERROR(__xludf.DUMMYFUNCTION("GOOGLETRANSLATE(C2, ""en"", ""pt-br"")"),"Parece que o carregamento durável é bom que reclama, o carregamento é muito rápido, bom produto., Até agora, satisfeito com a qualidade., Este é um bom produto. A velocidade de carregamento é mais lenta que o cabo original do iPhone, de boa qualidade, rec"&amp;"omendaria https: //m.media-amazon.com/images/w/webp_402378-t1/images/i/81---f1zghl._sy88.jpg , O produto funcionou bem até a data e não estava tendo nenhum problema. A CABLE também é robusta o suficiente ... pediu substituição e a empresa está fazendo o m"&amp;"esmo ..., valor ao dinheiro")</f>
        <v>Parece que o carregamento durável é bom que reclama, o carregamento é muito rápido, bom produto., Até agora, satisfeito com a qualidade., Este é um bom produto. A velocidade de carregamento é mais lenta que o cabo original do iPhone, de boa qualidade, recomendaria https: //m.media-amazon.com/images/w/webp_402378-t1/images/i/81---f1zghl._sy88.jpg , O produto funcionou bem até a data e não estava tendo nenhum problema. A CABLE também é robusta o suficiente ... pediu substituição e a empresa está fazendo o mesmo ..., valor ao dinheiro</v>
      </c>
    </row>
    <row r="3">
      <c r="A3" s="9" t="s">
        <v>26</v>
      </c>
      <c r="B3" s="29" t="str">
        <f>VLOOKUP(dados!A3, reviews!A:G, 5, FALSE)</f>
        <v>A Good Braided Cable for Your Type C Device,Good quality product from ambrane,Super cable,As,Good quality,Good product,its good,Good quality for the price but one issue with my unit</v>
      </c>
      <c r="C3" s="29" t="str">
        <f>VLOOKUP(dados!A3, reviews!A:G, 6, FALSE)</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c r="D3" s="29" t="str">
        <f>IFERROR(__xludf.DUMMYFUNCTION("GOOGLETRANSLATE(B3, ""en"", ""pt-br"")"),"Um bom cabo trançado para o seu dispositivo Tipo C, produto de boa qualidade da Ambrane, Super Cable, como, boa qualidade, bom produto, é boa, boa qualidade para o preço, mas um problema com minha unidade")</f>
        <v>Um bom cabo trançado para o seu dispositivo Tipo C, produto de boa qualidade da Ambrane, Super Cable, como, boa qualidade, bom produto, é boa, boa qualidade para o preço, mas um problema com minha unidade</v>
      </c>
      <c r="E3" s="29" t="str">
        <f>IFERROR(__xludf.DUMMYFUNCTION("GOOGLETRANSLATE(C3, ""en"", ""pt-br"")"),"Encomendei este cabo para conectar meu telefone ao Android Auto of Car. O cabo é realmente forte e as portas de conexão são muito bem feitas. Eu já tenho um cabo micro USB da Ambrane e ainda está em boa forma. Conectei meu telefone ao carro usando o cabo "&amp;"e ele foi conectado bem e sem problemas. Eu também o conectei à porta de carregamento e sim, ele tem suporte de carregamento rápido. A qualidade de TI é boa nesse preço e o principal é que eu nunca pensei que esse cabo seria tão longo que é bom e o poder "&amp;"de carregamento é Muito bom e também suporta carregamento rápido, valor ao dinheiro, com comprimento extra👍, bom, funcionando bem, a qualidade do produto é boa, boa, muito boa, comprada para o telefone antigo da minha filha. e solicitado para substituiçã"&amp;"o. Verifiquei novamente e havia uma pasta/fungo de cor verde dentro do conector micro USB. Limpei com um alcoólatra e comecei a trabalhar novamente. Chequei a ampere de velocidade de carregamento obteve cerca de 1400mA -1500mA - não é ruim, veio com um ca"&amp;"bo trançado de 1,5 m de comprimento, bastante impressionante pelo preço. Não posso culpar o fabricante. Mas os problemas de qualidade por O distribuidor, eles podem ter armazenado em um lugar muito úmido.")</f>
        <v>Encomendei este cabo para conectar meu telefone ao Android Auto of Car. O cabo é realmente forte e as portas de conexão são muito bem feitas. Eu já tenho um cabo micro USB da Ambrane e ainda está em boa forma. Conectei meu telefone ao carro usando o cabo e ele foi conectado bem e sem problemas. Eu também o conectei à porta de carregamento e sim, ele tem suporte de carregamento rápido. A qualidade de TI é boa nesse preço e o principal é que eu nunca pensei que esse cabo seria tão longo que é bom e o poder de carregamento é Muito bom e também suporta carregamento rápido, valor ao dinheiro, com comprimento extra👍, bom, funcionando bem, a qualidade do produto é boa, boa, muito boa, comprada para o telefone antigo da minha filha. e solicitado para substituição. Verifiquei novamente e havia uma pasta/fungo de cor verde dentro do conector micro USB. Limpei com um alcoólatra e comecei a trabalhar novamente. Chequei a ampere de velocidade de carregamento obteve cerca de 1400mA -1500mA - não é ruim, veio com um cabo trançado de 1,5 m de comprimento, bastante impressionante pelo preço. Não posso culpar o fabricante. Mas os problemas de qualidade por O distribuidor, eles podem ter armazenado em um lugar muito úmido.</v>
      </c>
    </row>
    <row r="4">
      <c r="A4" s="9" t="s">
        <v>30</v>
      </c>
      <c r="B4" s="29" t="str">
        <f>VLOOKUP(dados!A4, reviews!A:G, 5, FALSE)</f>
        <v>Good speed for earlier versions,Good Product,Working good,Good for the price,Good,Worth for money,Working nice,it's a really nice product</v>
      </c>
      <c r="C4" s="29" t="str">
        <f>VLOOKUP(dados!A4, reviews!A:G, 6, FALSE)</f>
        <v>Not quite durable and sturdy,https://m.media-amazon.com/images/W/WEBP_402378-T1/images/I/71rIggrbUCL._SY88.jpg,Working good,https://m.media-amazon.com/images/W/WEBP_402378-T1/images/I/61bKp9YO6wL._SY88.jpg,Product,Very nice product,Working well,It's a really nice product</v>
      </c>
      <c r="D4" s="29" t="str">
        <f>IFERROR(__xludf.DUMMYFUNCTION("GOOGLETRANSLATE(B4, ""en"", ""pt-br"")"),"Boa velocidade para versões anteriores, bom produto, funcionando bem, bom para o preço, bom, valor por dinheiro, funcionando bem, é um produto muito bom")</f>
        <v>Boa velocidade para versões anteriores, bom produto, funcionando bem, bom para o preço, bom, valor por dinheiro, funcionando bem, é um produto muito bom</v>
      </c>
      <c r="E4" s="29" t="str">
        <f>IFERROR(__xludf.DUMMYFUNCTION("GOOGLETRANSLATE(C4, ""en"", ""pt-br"")"),"Não é muito durável e resistente, https: //m.media-amazon.com/images/w/webp_402378-t1/images/i/71riggrbucl._sy88.jpg.working Good, https: //m.media-amazon.com.com /images/w/webp_402378-t1/images/i/61bkp9yo6wl._sy88.jpg.product, um produto legal, funcionan"&amp;"do bem, é um produto muito bom")</f>
        <v>Não é muito durável e resistente, https: //m.media-amazon.com/images/w/webp_402378-t1/images/i/71riggrbucl._sy88.jpg.working Good, https: //m.media-amazon.com.com /images/w/webp_402378-t1/images/i/61bkp9yo6wl._sy88.jpg.product, um produto legal, funcionando bem, é um produto muito bom</v>
      </c>
    </row>
    <row r="5">
      <c r="A5" s="9" t="s">
        <v>34</v>
      </c>
      <c r="B5" s="29" t="str">
        <f>VLOOKUP(dados!A5, reviews!A:G, 5, FALSE)</f>
        <v>Good product,Good one,Nice,Really nice product,Very first time change,Good,Fine product but could be better,Very nice it's charging like jet</v>
      </c>
      <c r="C5" s="29" t="str">
        <f>VLOOKUP(dados!A5, reviews!A:G, 6, FALSE)</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c r="D5" s="29" t="str">
        <f>IFERROR(__xludf.DUMMYFUNCTION("GOOGLETRANSLATE(B5, ""en"", ""pt-br"")"),"Bom produto, bom, bom, muito bom produto, mudança de primeira vez, bom, bom produto, mas pode ser melhor, muito bom, está cobrando como jato")</f>
        <v>Bom produto, bom, bom, muito bom produto, mudança de primeira vez, bom, bom produto, mas pode ser melhor, muito bom, está cobrando como jato</v>
      </c>
      <c r="E5" s="29" t="str">
        <f>IFERROR(__xludf.DUMMYFUNCTION("GOOGLETRANSLATE(C5, ""en"", ""pt-br"")"),"Bom produto, fio longo, carrega bom, legal, comprei este cabo para um produto digno de Rs.339 por esse preço, testei em vários adaptadores de carregador 33W e 18W, ele também suporta carregamento rápido. Isso a um bom preço à venda na Amazon e o produto é"&amp;" útil na garantia, mas para a garantia você precisa ir muito longe, não é prático por esse custo e meu micro para o conector do tipo C parou de funcionar após alguns dias., Gosto deste produto")</f>
        <v>Bom produto, fio longo, carrega bom, legal, comprei este cabo para um produto digno de Rs.339 por esse preço, testei em vários adaptadores de carregador 33W e 18W, ele também suporta carregamento rápido. Isso a um bom preço à venda na Amazon e o produto é útil na garantia, mas para a garantia você precisa ir muito longe, não é prático por esse custo e meu micro para o conector do tipo C parou de funcionar após alguns dias., Gosto deste produto</v>
      </c>
    </row>
    <row r="6">
      <c r="A6" s="9" t="s">
        <v>38</v>
      </c>
      <c r="B6" s="29" t="str">
        <f>VLOOKUP(dados!A6, reviews!A:G, 5, FALSE)</f>
        <v>As good as original,Decent,Good one for secondary use,Best quality,GOOD,Amazing product at a mind blowing price!,Nice Quality,Good product</v>
      </c>
      <c r="C6" s="29" t="str">
        <f>VLOOKUP(dados!A6, reviews!A:G, 6, FALSE)</f>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wasn’t sure if it would work well with my iPhone 12 or whether it would impact my iPhone’s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doesn’t tangle easily and can withstand day-to-day usage.L-Shaped pin:This is very innovative by Portronics and it makes sure the cable doesn’t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v>
      </c>
      <c r="D6" s="29" t="str">
        <f>IFERROR(__xludf.DUMMYFUNCTION("GOOGLETRANSLATE(B6, ""en"", ""pt-br"")"),"Tão bom quanto original, decente, bom para uso secundário, melhor qualidade, bom e incrível produto a um preço de sopro mental!, Boa qualidade, bom produto")</f>
        <v>Tão bom quanto original, decente, bom para uso secundário, melhor qualidade, bom e incrível produto a um preço de sopro mental!, Boa qualidade, bom produto</v>
      </c>
      <c r="E6" s="29" t="str">
        <f>IFERROR(__xludf.DUMMYFUNCTION("GOOGLETRANSLATE(C6, ""en"", ""pt-br"")"),"Comprei isso em vez da Apple original, faz o trabalho por 150rs, não tão rápido quanto o Apple Charger, mas é uma boa opção se você quiser um produto barato e bom, comprou -o para iPad Pro 10.5 e está funcionando perfeitamente, a qualidade de construção é"&amp;" OK, não é Como se eu fosse pendurar minhas roupas e eu quero um cabo muito forte, mesmo uma parada de cabo trançado para funcionar depois de um ano, eu usei o Cabo Stradesado Anker e Apple Store, todos eles param de funcionar depois de um ano, então, por"&amp;" favor, não Compre cabos de ponta apenas para isso, em vez disso, escolha um este e, mesmo que pare de trabalhar com um ano, você perde apenas 150rs se compara a 2000rs.Update ------------------------ ----------- ,,É bom. Não tenho certeza sobre a durabil"&amp;"idade, pois a área do pino parece um pouco frágil, não suporta o Apple CarPlayso ficou um pouco decepcionado com o que outro do que esse cabo é composto de muito boa qualidade, melhor comprar, 100% não Padful, escrevendo esta resenha postagem de 10 meses "&amp;"e 3 ordens do mesmo produto. A retratação de Konnect L Lightning Cable funciona como mágica com o tijolo de carregamento da Apple original. Veja o preço do cabo que eu hesitei inicialmente com a compra e era tão baixo quanto ₹ 99/- com as ofertas e, assim"&amp;", eu não fui É certo se funcionaria bem com o meu iPhone 12 ou se isso afetaria a saúde da bateria do meu iPhone, porque todas as outras marcas de cabo de raios estavam custando mais de ₹ 350/- como Wayona, Amazon Basics, etc.Earlier, eu estava usando o W"&amp;"ayona Brand Lightning cabo com eventualmente desgastado e parou de funcionar. Velocidade de carregamento: carrega meu iPhone rápido o suficiente quase semelhante em comparação com o nível original do cabo quando usado com o adaptador de potência Apple ori"&amp;"ginal de 12W. Profundação e durabilidade: Cabo trançado de ótima qualidade e não se enrola facilmente e pode suportar Uso do dia-a-dia. : Eu usei esse cabo apenas com o tijolo de carregamento de maçã original e extremamente satisfeito com seu desempenho.,"&amp;" Melhor do que espero o produto que gosto dessa qualidade e pretendo comprar o mesmo tipo de cabo vêm com USB C para o cabo de iluminação para fins de emergência que muito eu amo este cabo. Compre para este cabo apenas emergency usa apenas desde o bom, bo"&amp;"m produto e valor para o dinheiro")</f>
        <v>Comprei isso em vez da Apple original, faz o trabalho por 150rs, não tão rápido quanto o Apple Charger, mas é uma boa opção se você quiser um produto barato e bom, comprou -o para iPad Pro 10.5 e está funcionando perfeitamente, a qualidade de construção é OK, não é Como se eu fosse pendurar minhas roupas e eu quero um cabo muito forte, mesmo uma parada de cabo trançado para funcionar depois de um ano, eu usei o Cabo Stradesado Anker e Apple Store, todos eles param de funcionar depois de um ano, então, por favor, não Compre cabos de ponta apenas para isso, em vez disso, escolha um este e, mesmo que pare de trabalhar com um ano, você perde apenas 150rs se compara a 2000rs.Update ------------------------ ----------- ,,É bom. Não tenho certeza sobre a durabilidade, pois a área do pino parece um pouco frágil, não suporta o Apple CarPlayso ficou um pouco decepcionado com o que outro do que esse cabo é composto de muito boa qualidade, melhor comprar, 100% não Padful, escrevendo esta resenha postagem de 10 meses e 3 ordens do mesmo produto. A retratação de Konnect L Lightning Cable funciona como mágica com o tijolo de carregamento da Apple original. Veja o preço do cabo que eu hesitei inicialmente com a compra e era tão baixo quanto ₹ 99/- com as ofertas e, assim, eu não fui É certo se funcionaria bem com o meu iPhone 12 ou se isso afetaria a saúde da bateria do meu iPhone, porque todas as outras marcas de cabo de raios estavam custando mais de ₹ 350/- como Wayona, Amazon Basics, etc.Earlier, eu estava usando o Wayona Brand Lightning cabo com eventualmente desgastado e parou de funcionar. Velocidade de carregamento: carrega meu iPhone rápido o suficiente quase semelhante em comparação com o nível original do cabo quando usado com o adaptador de potência Apple original de 12W. Profundação e durabilidade: Cabo trançado de ótima qualidade e não se enrola facilmente e pode suportar Uso do dia-a-dia. : Eu usei esse cabo apenas com o tijolo de carregamento de maçã original e extremamente satisfeito com seu desempenho., Melhor do que espero o produto que gosto dessa qualidade e pretendo comprar o mesmo tipo de cabo vêm com USB C para o cabo de iluminação para fins de emergência que muito eu amo este cabo. Compre para este cabo apenas emergency usa apenas desde o bom, bom produto e valor para o dinheiro</v>
      </c>
    </row>
    <row r="7">
      <c r="A7" s="9" t="s">
        <v>42</v>
      </c>
      <c r="B7" s="29" t="str">
        <f>VLOOKUP(dados!A7, reviews!A:G, 5, FALSE)</f>
        <v>It's pretty good,Average quality,very good and useful usb cable,Good USB cable. My experience was very good it is long lasting,Good,Nice product and useful,-,Sturdy but does not support 33w charging</v>
      </c>
      <c r="C7" s="29" t="str">
        <f>VLOOKUP(dados!A7, reviews!A:G, 6, FALSE)</f>
        <v>It's a good product.,Like,Very good item strong and useful USB cableValue for moneyThanks to amazon and producer,https://m.media-amazon.com/images/I/51112ZRE-1L._SY88.jpg,Good,Nice product and useful product,-,Sturdy but does not support 33w charging</v>
      </c>
      <c r="D7" s="29" t="str">
        <f>IFERROR(__xludf.DUMMYFUNCTION("GOOGLETRANSLATE(B7, ""en"", ""pt-br"")"),"É muito bom, qualidade média, cabo USB muito bom e útil, bom cabo USB. Minha experiência foi muito boa, é duradouro, bom, bom produto e útil,-, resistente, mas não suporta carregamento de 33w")</f>
        <v>É muito bom, qualidade média, cabo USB muito bom e útil, bom cabo USB. Minha experiência foi muito boa, é duradouro, bom, bom produto e útil,-, resistente, mas não suporta carregamento de 33w</v>
      </c>
      <c r="E7" s="29" t="str">
        <f>IFERROR(__xludf.DUMMYFUNCTION("GOOGLETRANSLATE(C7, ""en"", ""pt-br"")"),"É um bom produto., Tipo, um item muito bom forte e útil USB CableValue for Moneythanks para a Amazon e produtor, https: //m.media-amazon.com/images/i/51112zre-1l._sy88.jpg,Good,nice Produto e produto útil,-, resistente, mas não suporta carregamento de 33w")</f>
        <v>É um bom produto., Tipo, um item muito bom forte e útil USB CableValue for Moneythanks para a Amazon e produtor, https: //m.media-amazon.com/images/i/51112zre-1l._sy88.jpg,Good,nice Produto e produto útil,-, resistente, mas não suporta carregamento de 33w</v>
      </c>
    </row>
    <row r="8">
      <c r="A8" s="9" t="s">
        <v>46</v>
      </c>
      <c r="B8" s="29" t="str">
        <f>VLOOKUP(dados!A8, reviews!A:G, 5, FALSE)</f>
        <v>Long durable.,good,Does not charge Lenovo m8 tab,Best charging cable,good,Boat,Product was good,1.5 m का केबल मेरे लिए बहुत ही लाभदायक है ।</v>
      </c>
      <c r="C8" s="29" t="str">
        <f>VLOOKUP(dados!A8, reviews!A:G, 6, FALSE)</f>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quality,1.5एम का डाटा केबल मेरे लिए बहुत ही लाभदायक है ।  मैं इस केबल को लाइन में चार्ज करते समय फोन बहुत आराम से उपयोग  कर पा रहा हु । आप इस केबल से 15watt का  चार्जर उसे कर सकते है (इससे जड़ा नही) । लोकल बाजार में इसका दाम 150 है ,  अमेजन पे ये केबल मुझे 67 में मिला । गर्व से कहो हम हिंदू है , जय हिंद जय भारत ,</v>
      </c>
      <c r="D8" s="29" t="str">
        <f>IFERROR(__xludf.DUMMYFUNCTION("GOOGLETRANSLATE(B8, ""en"", ""pt-br"")"),"Durável longo., Bom, não carrega a guia Lenovo M8, o melhor cabo de carregamento, bom, barco, produto foi bom, 1,5 m का केबल मेरे लिए बहुत ही लाभदायक है।।।")</f>
        <v>Durável longo., Bom, não carrega a guia Lenovo M8, o melhor cabo de carregamento, bom, barco, produto foi bom, 1,5 m का केबल मेरे लिए बहुत ही लाभदायक है।।।</v>
      </c>
      <c r="E8" s="29" t="str">
        <f>IFERROR(__xludf.DUMMYFUNCTION("GOOGLETRANSLATE(C8, ""en"", ""pt-br"")"),"A qualidade de construção é boa e vem com garantia de 2 anos., Bom produto, comprou para carregar meu celular e guia, mas não funciona para a guia Lenovo M8, pessoal, este cabo é melhor comparar todos sobre proteção de calor, rapidamente Carregamento, mas"&amp;" a chance de chocar o circuito, bom, agradável, de boa qualidade, 1.5 एम का डाटा केबल मेरे लिए बहुत ही लाभदायक है।।।।।।।।। मैं इस केबल को लाइन में चार्ज करते समय फोन बहुत आराम से क कर पा marca फोन आ आ। आप इस केबल से 15watt का चार्जर उसे कक सकते है (इससे ज"&amp;"ड़ा नही)। लोकल बाजार में इसका दाम 150 है, अमेजन पे ये केबल मुझे 67 में मिला। गर्व से कहो हम हिंदू है, जय हिंद जय भारत,")</f>
        <v>A qualidade de construção é boa e vem com garantia de 2 anos., Bom produto, comprou para carregar meu celular e guia, mas não funciona para a guia Lenovo M8, pessoal, este cabo é melhor comparar todos sobre proteção de calor, rapidamente Carregamento, mas a chance de chocar o circuito, bom, agradável, de boa qualidade, 1.5 एम का डाटा केबल मेरे लिए बहुत ही लाभदायक है।।।।।।।।। मैं इस केबल को लाइन में चार्ज करते समय फोन बहुत आराम से क कर पा marca फोन आ आ। आप इस केबल से 15watt का चार्जर उसे कक सकते है (इससे जड़ा नही)। लोकल बाजार में इसका दाम 150 है, अमेजन पे ये केबल मुझे 67 में मिला। गर्व से कहो हम हिंदू है, जय हिंद जय भारत,</v>
      </c>
    </row>
    <row r="9">
      <c r="A9" s="9" t="s">
        <v>50</v>
      </c>
      <c r="B9" s="29" t="str">
        <f>VLOOKUP(dados!A9, reviews!A:G, 5, FALSE)</f>
        <v>Worth for money - suitable for Android auto,Good Product,Length,Nice,Original,Very good quay Cable support fast charging.,Original MI cable for charging upto 33 watt,I am veri happy with this product as it provide turbo charging.</v>
      </c>
      <c r="C9" s="29" t="str">
        <f>VLOOKUP(dados!A9, reviews!A:G, 6, FALSE)</f>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v>
      </c>
      <c r="D9" s="29" t="str">
        <f>IFERROR(__xludf.DUMMYFUNCTION("GOOGLETRANSLATE(B9, ""en"", ""pt-br"")"),"Worth for Money - Adequado para Android Auto, bom produto, comprimento, bom, original, muito bom, carregamento rápido de suporte a cabo.")</f>
        <v>Worth for Money - Adequado para Android Auto, bom produto, comprimento, bom, original, muito bom, carregamento rápido de suporte a cabo.</v>
      </c>
      <c r="E9" s="29" t="str">
        <f>IFERROR(__xludf.DUMMYFUNCTION("GOOGLETRANSLATE(C9, ""en"", ""pt-br"")"),"Valor de dinheiro - Adequado para Android Auto ... Meu propósito servido em carro ... Peguei por Rs.150, está tudo bem. Mas a embalagem não é uma boa sensação de que o vendedor deu é o cabo usado., Bom produto, bom produto, mas o custo é mais., Cabo origi"&amp;"nal, comprei este cabo em 129. Usando este cabo para Android Auto no meu carro. Funciona perfeitamente sem falha., Cabo Mi original. Cobrará até 33 watts. Consegui por Rs 150. Eu tenho um carregador de 67 watts e quero um cabo para o meu carro, então fui "&amp;"em frente. Eu verifiquei o desempenho com o aplicativo de carregamento da bateria. A velocidade de carregamento é exatamente metade do meu cabo original de 67 watts. Vá em frente., Isso me proporcionou um carregamento turbo. Eu recomendo para todos os tel"&amp;"efones celulares do Redmi Note 10s. Como fornece carregamento turbo. Estou feliz com este produto.")</f>
        <v>Valor de dinheiro - Adequado para Android Auto ... Meu propósito servido em carro ... Peguei por Rs.150, está tudo bem. Mas a embalagem não é uma boa sensação de que o vendedor deu é o cabo usado., Bom produto, bom produto, mas o custo é mais., Cabo original, comprei este cabo em 129. Usando este cabo para Android Auto no meu carro. Funciona perfeitamente sem falha., Cabo Mi original. Cobrará até 33 watts. Consegui por Rs 150. Eu tenho um carregador de 67 watts e quero um cabo para o meu carro, então fui em frente. Eu verifiquei o desempenho com o aplicativo de carregamento da bateria. A velocidade de carregamento é exatamente metade do meu cabo original de 67 watts. Vá em frente., Isso me proporcionou um carregamento turbo. Eu recomendo para todos os telefones celulares do Redmi Note 10s. Como fornece carregamento turbo. Estou feliz com este produto.</v>
      </c>
    </row>
    <row r="10">
      <c r="A10" s="9" t="s">
        <v>54</v>
      </c>
      <c r="B10" s="29" t="str">
        <f>VLOOKUP(dados!A10, reviews!A:G, 5, FALSE)</f>
        <v>Works on linux for me. Get the model with antenna.,Does what it say but other brands available at lesser price,Easy Handle,Great product,Perfect working,Speed is perfect,Great Design, Build, Connectivity Range, Packaging and other features but no linux support since v2,Very good</v>
      </c>
      <c r="C10" s="29" t="str">
        <f>VLOOKUP(dados!A10, reviews!A:G, 6, FALSE)</f>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 ★ ★ ★ ★Build Quality: ★ ★ ★ ★ ★Packaging:  ★ ★ ★ ★ ★Software:  ★ ★ ★ ★Speed:  ★ ★ ★ ★ ★Connectivity:  ★ ★ ★ ★ ★Experience:  ★ ★ ★ ★ ★Warranty:  ★ ★ ★ ★ ★Size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v>
      </c>
      <c r="D10" s="29" t="str">
        <f>IFERROR(__xludf.DUMMYFUNCTION("GOOGLETRANSLATE(B10, ""en"", ""pt-br"")"),"Funciona no Linux para mim. Obtenha o modelo com antena., Faz o que diz, mas outras marcas disponíveis a menor preço, alça fácil, ótimo produto, trabalho perfeito, velocidade é perfeita, ótimo design, construção, alcance de conectividade, embalagem e outr"&amp;"os recursos, mas sem suporte ao Linux desde V2 ,Muito bom")</f>
        <v>Funciona no Linux para mim. Obtenha o modelo com antena., Faz o que diz, mas outras marcas disponíveis a menor preço, alça fácil, ótimo produto, trabalho perfeito, velocidade é perfeita, ótimo design, construção, alcance de conectividade, embalagem e outros recursos, mas sem suporte ao Linux desde V2 ,Muito bom</v>
      </c>
      <c r="E10" s="29" t="str">
        <f>IFERROR(__xludf.DUMMYFUNCTION("GOOGLETRANSLATE(C10, ""en"", ""pt-br"")"),"Eu uso isso para conectar um PC antigo à Internet. Eu tentei o Lubuntu 20 e o Ubuntu 22, ele funcionou fora da caixa em ambos, não precisava fazer nenhuma configuração. Há um cabo de extensor para que você possa colocar isso em um lugar confortável. Obten"&amp;"ha o modelo com a antena porque, caso contrário, você terá problemas de alcance se não estiver diretamente na linha de visão do seu roteador Wi -Fi., O WiFi Dongle é um dispositivo simples de plug &amp; play, começará a capturar redes disponíveis logo após vo"&amp;"cê conectar Na sua porta USB, nenhuma instalação/ softwares adicional exige. A força do sinal é boa ... apenas me pergunto o que seria diferente em outros adaptadores de marcas menos conhecidas que estão disponíveis a um preço muito mais competitivo, daí "&amp;"uma estrela menos., Prós:*fácil de usar e portátil*pode ser conectado a Hotspot móvel e usado no PC (amigável ao orçamento)*Menos processo de instalação*Não há problemas de aquecimento e boa cobertura*melhor alternativa para a amarração USB (a bateria do "&amp;"telefone pode ser danificada para execução a longo prazo com amarração) Contras:*A velocidade da conexão da Internet varia às vezes, Também depende do seu modem ou conexão celular*Os problemas ocorrem durante a instalação via CD, que está disponível junto"&amp;" com o produto (o driver de instalação pode ser baixado do site TP-Link)*necessário para reconectar o adaptador sempre que o sistema Trabalhe se o seu software tiver alguns problemas, por isso encontrou qualquer apenas atualização do seu sistema (funciono"&amp;"u para mim)*Centro de suporte é pior, as chamadas são desacompanhadas na maioria das vezes ou apenas visitam o storeConclusão nas proximidades: trouxe @499/-ideal para usuários que não Não precisa de uso da Internet de alta velocidade, uma boa alternativa"&amp;" para a amarração USB e está em brotar (os vídeos do YouTube de 1080p podem ser facilmente reproduzidos com isso sem interrupções), a conectividade WiFi é um ótimo resultado para mim. No entanto, alguns problemas de jitter existiram., Este é um dispositiv"&amp;"o perfeito para conectar o WiFi. Go for it.,This wifi adopter is good working,(Pictures attached)Size/Design:  ★ ★ ★ ★ ★Build Quality: ★ ★ ★ ★ ★Packaging:  ★ ★ ★ ★ ★Software:  ★ ★ ★ ★Speed:  ★ ★ ★ ★ ★ Conectividade: ★ ★ ★ ★ ★ Experiência: ★ ★ ★ ★ ★ Garant"&amp;"ia: ★ ★ ★ ★ ★ Tamanho e design: a melhor parte disso é que é muito compacto em tamanho e muito sóbrio e elegante em design. Esta é uma grande vantagem, pois é fácil plug e usar, adicione a ele o bom design sóbrio. Qualidade da construção: a qualidade de c"&amp;"onstrução é sem dúvida excelente. Apenas não há escrúpulos sobre isso. Quando mantido, não emite uma sensação barata e frágil, semelhante a um produto. É bom resistente com sua qualidade de construção. Isso garante que eu, como cliente, tenha recebido alg"&amp;"o que não está danificado internamente. É que nenhum suporte ao Linux foi dado a partir da versão 2 em diante. Isso é ruim, na verdade. Praticamente falando, eu o testei em minha casa e ele suporta facilmente a velocidade líquida de mais de 100-150 Mbps s"&amp;"em um suspiro. metros. Multiplique os medidores x 3 para obter a distância nos pés. Ele se conecta facilmente ao meu laptop ou telefone a 7 metros de uma sala. Então isso é 21 pés. Quero dizer, mesmo nosso antigo Bluetooth usado para se conectar a cerca d"&amp;"e 15 pés. Então, 20-25 pés não é um problema com isso. Esta é a grande vantagem que encontrei com o produto. Experiência: deste ponto de vista, até agora, exceto a questão da não compatibilidade do Linux, não encontrei outras falhas com este produto. Entã"&amp;"o, no geral, é um ótimo produto. Por isso, tenho certeza de que pelo menos por 3 anos eu sou livre de tensão e não apenas 1 ano, ao contrário da maioria dos itens eletrônicos hoje que fornecem apenas uma garantia de 1 ano com seus itens., Melhor adaptador"&amp;" que comprei de todos os tempos. Funciona bem conectividade sem aparência")</f>
        <v>Eu uso isso para conectar um PC antigo à Internet. Eu tentei o Lubuntu 20 e o Ubuntu 22, ele funcionou fora da caixa em ambos, não precisava fazer nenhuma configuração. Há um cabo de extensor para que você possa colocar isso em um lugar confortável. Obtenha o modelo com a antena porque, caso contrário, você terá problemas de alcance se não estiver diretamente na linha de visão do seu roteador Wi -Fi., O WiFi Dongle é um dispositivo simples de plug &amp; play, começará a capturar redes disponíveis logo após você conectar Na sua porta USB, nenhuma instalação/ softwares adicional exige. A força do sinal é boa ... apenas me pergunto o que seria diferente em outros adaptadores de marcas menos conhecidas que estão disponíveis a um preço muito mais competitivo, daí uma estrela menos., Prós:*fácil de usar e portátil*pode ser conectado a Hotspot móvel e usado no PC (amigável ao orçamento)*Menos processo de instalação*Não há problemas de aquecimento e boa cobertura*melhor alternativa para a amarração USB (a bateria do telefone pode ser danificada para execução a longo prazo com amarração) Contras:*A velocidade da conexão da Internet varia às vezes, Também depende do seu modem ou conexão celular*Os problemas ocorrem durante a instalação via CD, que está disponível junto com o produto (o driver de instalação pode ser baixado do site TP-Link)*necessário para reconectar o adaptador sempre que o sistema Trabalhe se o seu software tiver alguns problemas, por isso encontrou qualquer apenas atualização do seu sistema (funcionou para mim)*Centro de suporte é pior, as chamadas são desacompanhadas na maioria das vezes ou apenas visitam o storeConclusão nas proximidades: trouxe @499/-ideal para usuários que não Não precisa de uso da Internet de alta velocidade, uma boa alternativa para a amarração USB e está em brotar (os vídeos do YouTube de 1080p podem ser facilmente reproduzidos com isso sem interrupções), a conectividade WiFi é um ótimo resultado para mim. No entanto, alguns problemas de jitter existiram., Este é um dispositivo perfeito para conectar o WiFi. Go for it.,This wifi adopter is good working,(Pictures attached)Size/Design:  ★ ★ ★ ★ ★Build Quality: ★ ★ ★ ★ ★Packaging:  ★ ★ ★ ★ ★Software:  ★ ★ ★ ★Speed:  ★ ★ ★ ★ ★ Conectividade: ★ ★ ★ ★ ★ Experiência: ★ ★ ★ ★ ★ Garantia: ★ ★ ★ ★ ★ Tamanho e design: a melhor parte disso é que é muito compacto em tamanho e muito sóbrio e elegante em design. Esta é uma grande vantagem, pois é fácil plug e usar, adicione a ele o bom design sóbrio. Qualidade da construção: a qualidade de construção é sem dúvida excelente. Apenas não há escrúpulos sobre isso. Quando mantido, não emite uma sensação barata e frágil, semelhante a um produto. É bom resistente com sua qualidade de construção. Isso garante que eu, como cliente, tenha recebido algo que não está danificado internamente. É que nenhum suporte ao Linux foi dado a partir da versão 2 em diante. Isso é ruim, na verdade. Praticamente falando, eu o testei em minha casa e ele suporta facilmente a velocidade líquida de mais de 100-150 Mbps sem um suspiro. metros. Multiplique os medidores x 3 para obter a distância nos pés. Ele se conecta facilmente ao meu laptop ou telefone a 7 metros de uma sala. Então isso é 21 pés. Quero dizer, mesmo nosso antigo Bluetooth usado para se conectar a cerca de 15 pés. Então, 20-25 pés não é um problema com isso. Esta é a grande vantagem que encontrei com o produto. Experiência: deste ponto de vista, até agora, exceto a questão da não compatibilidade do Linux, não encontrei outras falhas com este produto. Então, no geral, é um ótimo produto. Por isso, tenho certeza de que pelo menos por 3 anos eu sou livre de tensão e não apenas 1 ano, ao contrário da maioria dos itens eletrônicos hoje que fornecem apenas uma garantia de 1 ano com seus itens., Melhor adaptador que comprei de todos os tempos. Funciona bem conectividade sem aparência</v>
      </c>
    </row>
    <row r="11">
      <c r="A11" s="9" t="s">
        <v>62</v>
      </c>
      <c r="B11" s="29" t="str">
        <f>VLOOKUP(dados!A11, reviews!A:G, 5, FALSE)</f>
        <v>A Good Braided Cable for Your Type C Device,Good quality product from ambrane,Super cable,As,Good quality,Good product,its good,Good quality for the price but one issue with my unit</v>
      </c>
      <c r="C11" s="29" t="str">
        <f>VLOOKUP(dados!A11, reviews!A:G, 6, FALSE)</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c r="D11" s="29" t="str">
        <f>IFERROR(__xludf.DUMMYFUNCTION("GOOGLETRANSLATE(B11, ""en"", ""pt-br"")"),"Um bom cabo trançado para o seu dispositivo Tipo C, produto de boa qualidade da Ambrane, Super Cable, como, boa qualidade, bom produto, é boa, boa qualidade para o preço, mas um problema com minha unidade")</f>
        <v>Um bom cabo trançado para o seu dispositivo Tipo C, produto de boa qualidade da Ambrane, Super Cable, como, boa qualidade, bom produto, é boa, boa qualidade para o preço, mas um problema com minha unidade</v>
      </c>
      <c r="E11" s="29" t="str">
        <f>IFERROR(__xludf.DUMMYFUNCTION("GOOGLETRANSLATE(C11, ""en"", ""pt-br"")"),"Encomendei este cabo para conectar meu telefone ao Android Auto of Car. O cabo é realmente forte e as portas de conexão são muito bem feitas. Eu já tenho um cabo micro USB da Ambrane e ainda está em boa forma. Conectei meu telefone ao carro usando o cabo "&amp;"e ele foi conectado bem e sem problemas. Eu também o conectei à porta de carregamento e sim, ele tem suporte de carregamento rápido. A qualidade de TI é boa nesse preço e o principal é que eu nunca pensei que esse cabo seria tão longo que é bom e o poder "&amp;"de carregamento é Muito bom e também suporta carregamento rápido, valor ao dinheiro, com comprimento extra👍, bom, funcionando bem, a qualidade do produto é boa, boa, muito boa, comprada para o telefone antigo da minha filha. e solicitado para substituiçã"&amp;"o. Verifiquei novamente e havia uma pasta/fungo de cor verde dentro do conector micro USB. Limpei com um alcoólatra e comecei a trabalhar novamente. Chequei a ampere de velocidade de carregamento obteve cerca de 1400mA -1500mA - não é ruim, veio com um ca"&amp;"bo trançado de 1,5 m de comprimento, bastante impressionante pelo preço. Não posso culpar o fabricante. Mas os problemas de qualidade por O distribuidor, eles podem ter armazenado em um lugar muito úmido.")</f>
        <v>Encomendei este cabo para conectar meu telefone ao Android Auto of Car. O cabo é realmente forte e as portas de conexão são muito bem feitas. Eu já tenho um cabo micro USB da Ambrane e ainda está em boa forma. Conectei meu telefone ao carro usando o cabo e ele foi conectado bem e sem problemas. Eu também o conectei à porta de carregamento e sim, ele tem suporte de carregamento rápido. A qualidade de TI é boa nesse preço e o principal é que eu nunca pensei que esse cabo seria tão longo que é bom e o poder de carregamento é Muito bom e também suporta carregamento rápido, valor ao dinheiro, com comprimento extra👍, bom, funcionando bem, a qualidade do produto é boa, boa, muito boa, comprada para o telefone antigo da minha filha. e solicitado para substituição. Verifiquei novamente e havia uma pasta/fungo de cor verde dentro do conector micro USB. Limpei com um alcoólatra e comecei a trabalhar novamente. Chequei a ampere de velocidade de carregamento obteve cerca de 1400mA -1500mA - não é ruim, veio com um cabo trançado de 1,5 m de comprimento, bastante impressionante pelo preço. Não posso culpar o fabricante. Mas os problemas de qualidade por O distribuidor, eles podem ter armazenado em um lugar muito úmido.</v>
      </c>
    </row>
    <row r="12">
      <c r="A12" s="9" t="s">
        <v>66</v>
      </c>
      <c r="B12" s="29" t="str">
        <f>VLOOKUP(dados!A12, reviews!A:G, 5, FALSE)</f>
        <v>Good for fast charge but not for data transfer,Good cable compares to local the brand.,good but doesnt last,Good product,Good Product,Good and worth it,very good material quality charging speed is 15 watt,Not a fast charger</v>
      </c>
      <c r="C12" s="29" t="str">
        <f>VLOOKUP(dados!A12, reviews!A:G, 6, FALSE)</f>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money,பொருள் உடைய கடினத்தன்மையின் நன்றாக உள்ளது சார்ஜ் ஏறும் வேகம் 15wat,Not a fast charger.  Very slow charging with 65w.  L-shape pin is very useful.</v>
      </c>
      <c r="D12" s="29" t="str">
        <f>IFERROR(__xludf.DUMMYFUNCTION("GOOGLETRANSLATE(B12, ""en"", ""pt-br"")"),"Bom para carga rápida, mas não para transferência de dados, um bom cabo se compara à marca local., Bom, mas não dura, bom produto, bom produto, bom e vale a pena, uma velocidade de carregamento de qualidade muito boa é de 15 watts, não um carregador rápid"&amp;"o")</f>
        <v>Bom para carga rápida, mas não para transferência de dados, um bom cabo se compara à marca local., Bom, mas não dura, bom produto, bom produto, bom e vale a pena, uma velocidade de carregamento de qualidade muito boa é de 15 watts, não um carregador rápido</v>
      </c>
      <c r="E12" s="29" t="str">
        <f>IFERROR(__xludf.DUMMYFUNCTION("GOOGLETRANSLATE(C12, ""en"", ""pt-br"")"),"O cabo é eficiente em carregamento rápido, mas na transferência rápida de dados. No geral, tudo bem., Gosto da forma USB C L. O fio do núcleo protegido de nylon melhora a vida útil do cabo., Acho que compro -os a cada 6 meses. O carregamento rápido para d"&amp;"e funcionar depois de um tempo. provavelmente algo a ver com o design do cabo. O cabo é torcido com o tempo e suspeito que quebre os fios de alta capacidade dentro. Mas continuo comprando porque não há muitas opções em um design em forma de L, produto bom"&amp;" e durável. Em algum momento, as acusações não funcionam em poucos adaptadores. Pode haver poucos cortes ou algo assim, mas funciona bem no adaptador da Apple, carregador de carros, USB, o produto é realmente bom em preço acessível., Cargo bom e rápido e "&amp;"valor por dinheiro, பொருள் உடைய கடினத்தன்மையின் உள்ளது சார்ஜ் சார்ஜ் ஏறும் வேகம் வேகம் 15wat, Não é um carregador rápido. Carregamento muito lento com 65W. O pino em forma de L é muito útil.")</f>
        <v>O cabo é eficiente em carregamento rápido, mas na transferência rápida de dados. No geral, tudo bem., Gosto da forma USB C L. O fio do núcleo protegido de nylon melhora a vida útil do cabo., Acho que compro -os a cada 6 meses. O carregamento rápido para de funcionar depois de um tempo. provavelmente algo a ver com o design do cabo. O cabo é torcido com o tempo e suspeito que quebre os fios de alta capacidade dentro. Mas continuo comprando porque não há muitas opções em um design em forma de L, produto bom e durável. Em algum momento, as acusações não funcionam em poucos adaptadores. Pode haver poucos cortes ou algo assim, mas funciona bem no adaptador da Apple, carregador de carros, USB, o produto é realmente bom em preço acessível., Cargo bom e rápido e valor por dinheiro, பொருள் உடைய கடினத்தன்மையின் உள்ளது சார்ஜ் சார்ஜ் ஏறும் வேகம் வேகம் 15wat, Não é um carregador rápido. Carregamento muito lento com 65W. O pino em forma de L é muito útil.</v>
      </c>
    </row>
    <row r="13">
      <c r="A13" s="9" t="s">
        <v>70</v>
      </c>
      <c r="B13" s="29" t="str">
        <f>VLOOKUP(dados!A13, reviews!A:G, 5, FALSE)</f>
        <v>Good product,Good one,Nice,Really nice product,Very first time change,Good,Fine product but could be better,Very nice it's charging like jet</v>
      </c>
      <c r="C13" s="29" t="str">
        <f>VLOOKUP(dados!A13, reviews!A:G, 6, FALSE)</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c r="D13" s="29" t="str">
        <f>IFERROR(__xludf.DUMMYFUNCTION("GOOGLETRANSLATE(B13, ""en"", ""pt-br"")"),"Bom produto, bom, bom, muito bom produto, mudança de primeira vez, bom, bom produto, mas pode ser melhor, muito bom, está cobrando como jato")</f>
        <v>Bom produto, bom, bom, muito bom produto, mudança de primeira vez, bom, bom produto, mas pode ser melhor, muito bom, está cobrando como jato</v>
      </c>
      <c r="E13" s="29" t="str">
        <f>IFERROR(__xludf.DUMMYFUNCTION("GOOGLETRANSLATE(C13, ""en"", ""pt-br"")"),"Bom produto, fio longo, carrega bom, legal, comprei este cabo para um produto digno de Rs.339 por esse preço, testei em vários adaptadores de carregador 33W e 18W, ele também suporta carregamento rápido. Isso a um bom preço à venda na Amazon e o produto é"&amp;" útil na garantia, mas para a garantia você precisa ir muito longe, não é prático por esse custo e meu micro para o conector do tipo C parou de funcionar após alguns dias., Gosto deste produto")</f>
        <v>Bom produto, fio longo, carrega bom, legal, comprei este cabo para um produto digno de Rs.339 por esse preço, testei em vários adaptadores de carregador 33W e 18W, ele também suporta carregamento rápido. Isso a um bom preço à venda na Amazon e o produto é útil na garantia, mas para a garantia você precisa ir muito longe, não é prático por esse custo e meu micro para o conector do tipo C parou de funcionar após alguns dias., Gosto deste produto</v>
      </c>
    </row>
    <row r="14">
      <c r="A14" s="9" t="s">
        <v>74</v>
      </c>
      <c r="B14" s="29" t="str">
        <f>VLOOKUP(dados!A14, reviews!A:G, 5, FALSE)</f>
        <v>It's quite good and value for money,Works well,Hdmi cable,Value for money,All good,Gets the job done,Delivery was good,This one was my need to purchase</v>
      </c>
      <c r="C14" s="29" t="str">
        <f>VLOOKUP(dados!A14, reviews!A:G, 6, FALSE)</f>
        <v>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v>
      </c>
      <c r="D14" s="29" t="str">
        <f>IFERROR(__xludf.DUMMYFUNCTION("GOOGLETRANSLATE(B14, ""en"", ""pt-br"")"),"É muito bom e uma relação custo")</f>
        <v>É muito bom e uma relação custo</v>
      </c>
      <c r="E14" s="29" t="str">
        <f>IFERROR(__xludf.DUMMYFUNCTION("GOOGLETRANSLATE(C14, ""en"", ""pt-br"")"),"Estou usando isso há 14 dias agora. A experiência é muito boa a partir de agora. A qualidade da imagem também não é ruim. Não espere algo fora do mundo a esse preço. Mas você pode fazer isso se tiver um orçamento apertado., Impressões iniciais: funciona c"&amp;"omo dito, feliz por não ter opções mais baratas (não que seja muito caro), basta plug e reproduzir. Atualizará se isso estragar, o cabo HDMI é bom assistir a filmes, esportes e sua melhor qualidade enquanto conecta seu laptop à TV e reproduzi. Eu adorei, "&amp;"funciona como esperado. O comprimento do cabo é curto e foi mencionado também satisfeito com o meu requisito. Se você precisar de mais comprimento, é melhor procurar outras opções., Tudo de bom, é o melhor cabo HDMI nessa faixa de preço. Ainda não há prob"&amp;"lemas. Basta ir em frente !!, eu esperava que isso fosse entregue no prazo e foi entregue a tempo. O produto é bom, pois já experimentei outros cabos e fios da marca Amazon BasicA., Bom")</f>
        <v>Estou usando isso há 14 dias agora. A experiência é muito boa a partir de agora. A qualidade da imagem também não é ruim. Não espere algo fora do mundo a esse preço. Mas você pode fazer isso se tiver um orçamento apertado., Impressões iniciais: funciona como dito, feliz por não ter opções mais baratas (não que seja muito caro), basta plug e reproduzir. Atualizará se isso estragar, o cabo HDMI é bom assistir a filmes, esportes e sua melhor qualidade enquanto conecta seu laptop à TV e reproduzi. Eu adorei, funciona como esperado. O comprimento do cabo é curto e foi mencionado também satisfeito com o meu requisito. Se você precisar de mais comprimento, é melhor procurar outras opções., Tudo de bom, é o melhor cabo HDMI nessa faixa de preço. Ainda não há problemas. Basta ir em frente !!, eu esperava que isso fosse entregue no prazo e foi entregue a tempo. O produto é bom, pois já experimentei outros cabos e fios da marca Amazon BasicA., Bom</v>
      </c>
    </row>
    <row r="15">
      <c r="A15" s="9" t="s">
        <v>83</v>
      </c>
      <c r="B15" s="29" t="str">
        <f>VLOOKUP(dados!A15, reviews!A:G, 5, FALSE)</f>
        <v>Works,Nice Product,Fast Charging as original,Good for data transfer,Average. Cost effective,Good quality,Great Product,Nice</v>
      </c>
      <c r="C15" s="29" t="str">
        <f>VLOOKUP(dados!A15, reviews!A:G, 6, FALSE)</f>
        <v>Definitely isn’t as good as the original cord but works. Fast charging and pretty sturdy,Worth it,So I had a faulty cable. I was lazy and have a lot of money so instead of calling Apple I bought this for like 300 bucks. Didn’t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v>
      </c>
      <c r="D15" s="29" t="str">
        <f>IFERROR(__xludf.DUMMYFUNCTION("GOOGLETRANSLATE(B15, ""en"", ""pt-br"")"),"Trabalhos, bom produto, carregamento rápido como original, bom para transferência de dados, média. Econômico, de boa qualidade, ótimo produto, bom")</f>
        <v>Trabalhos, bom produto, carregamento rápido como original, bom para transferência de dados, média. Econômico, de boa qualidade, ótimo produto, bom</v>
      </c>
      <c r="E15" s="29" t="str">
        <f>IFERROR(__xludf.DUMMYFUNCTION("GOOGLETRANSLATE(C15, ""en"", ""pt-br"")"),"Definitivamente não é tão bom quanto o cordão original, mas funciona. Carregamento rápido e bastante resistente, vale a pena, então eu tinha um cabo com defeito. Eu era preguiçoso e tenho muito dinheiro, então, em vez de ligar para a Apple, comprei isso p"&amp;"or 300 dólares. Não esperava muito, mas para minha surpresa, esse cabo realmente funciona e tem carregamento rápido. Basta seguir em frente, parecia bastante resistente, os conectores parecem premium e foram fáceis de inserir. Usei este cabo para alternar"&amp;" todos os meus dados do iPhone 7 para um M30s. Cable funcionou como charme enquanto usava o aplicativo Smart Switch, todos os meus dados, incluindo dados do WhatsApp, foram transferidos com sucesso. Satisfeito com o desempenho., Apenas boa, a qualidade é "&amp;"muito boa e de boa sorte.")</f>
        <v>Definitivamente não é tão bom quanto o cordão original, mas funciona. Carregamento rápido e bastante resistente, vale a pena, então eu tinha um cabo com defeito. Eu era preguiçoso e tenho muito dinheiro, então, em vez de ligar para a Apple, comprei isso por 300 dólares. Não esperava muito, mas para minha surpresa, esse cabo realmente funciona e tem carregamento rápido. Basta seguir em frente, parecia bastante resistente, os conectores parecem premium e foram fáceis de inserir. Usei este cabo para alternar todos os meus dados do iPhone 7 para um M30s. Cable funcionou como charme enquanto usava o aplicativo Smart Switch, todos os meus dados, incluindo dados do WhatsApp, foram transferidos com sucesso. Satisfeito com o desempenho., Apenas boa, a qualidade é muito boa e de boa sorte.</v>
      </c>
    </row>
    <row r="16">
      <c r="A16" s="9" t="s">
        <v>87</v>
      </c>
      <c r="B16" s="29" t="str">
        <f>VLOOKUP(dados!A16, reviews!A:G, 5, FALSE)</f>
        <v>Great but,Worked well for 6 six months that’s it,Compatible with Apple iPad 2nd generation and charging very well.,CABLE,The product is good but the phone gets disconnected at multiple occasions.,Not a fast charging cable,Good item. Value,Amazing product and value for money</v>
      </c>
      <c r="C16" s="29" t="str">
        <f>VLOOKUP(dados!A16, reviews!A:G, 6, FALSE)</f>
        <v>Loosing charging cable of apple is costly affair. This wire was great purchase made to correct it,Worked well for six months that’s it, now it’s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v>
      </c>
      <c r="D16" s="29" t="str">
        <f>IFERROR(__xludf.DUMMYFUNCTION("GOOGLETRANSLATE(B16, ""en"", ""pt-br"")"),"Ótimo, mas funcionou bem por 6 seis meses, é compatível com o Apple iPad 2ª geração e carregando muito bem. Valor, produto incrível e valor pelo dinheiro")</f>
        <v>Ótimo, mas funcionou bem por 6 seis meses, é compatível com o Apple iPad 2ª geração e carregando muito bem. Valor, produto incrível e valor pelo dinheiro</v>
      </c>
      <c r="E16" s="29" t="str">
        <f>IFERROR(__xludf.DUMMYFUNCTION("GOOGLETRANSLATE(C16, ""en"", ""pt-br"")"),"Perder o cabo de carregamento da Apple é um caso caro. Esse fio foi feito para corrigi -lo, funcionou bem por seis meses, agora parou de funcionar, agora planejando comprar mais um porque o preço caiu para 150, um produto muito bom. Compatível com o iPad "&amp;"2ª geração e carregamento muito bem. A qualidade do produto é muito boa e também funciona bem. Totalmente vale a pena por seu preço., O produto é super, estou usando dos últimos 6 meses. Até agora, estava bom funcionamento. Agora notei que o telefone é de"&amp;"sconectado em várias ocasiões. pode ser o cabo pode ser danificado. O geral funcionou bem por 6 meses., leva de 5 a 6 horas para cobrar., Bom item. Valor, é o melhor produto que já usei até agora.")</f>
        <v>Perder o cabo de carregamento da Apple é um caso caro. Esse fio foi feito para corrigi -lo, funcionou bem por seis meses, agora parou de funcionar, agora planejando comprar mais um porque o preço caiu para 150, um produto muito bom. Compatível com o iPad 2ª geração e carregamento muito bem. A qualidade do produto é muito boa e também funciona bem. Totalmente vale a pena por seu preço., O produto é super, estou usando dos últimos 6 meses. Até agora, estava bom funcionamento. Agora notei que o telefone é desconectado em várias ocasiões. pode ser o cabo pode ser danificado. O geral funcionou bem por 6 meses., leva de 5 a 6 horas para cobrar., Bom item. Valor, é o melhor produto que já usei até agora.</v>
      </c>
    </row>
    <row r="17">
      <c r="A17" s="9" t="s">
        <v>90</v>
      </c>
      <c r="B17" s="29" t="str">
        <f>VLOOKUP(dados!A17, reviews!A:G, 5, FALSE)</f>
        <v>Good product,using this product 8months It is done  I have not faced any problem so far, its build quality best,I really liked this one.,Very strong and support fast charging ,,Nice cable,Best data cable charging fast,Good job,Good but need some improvement</v>
      </c>
      <c r="C17" s="29" t="str">
        <f>VLOOKUP(dados!A17, reviews!A:G, 6, FALSE)</f>
        <v>I like it 👍👍,Best charging power . I used this cable on note 8 pro mi. Using 8month also fast working.,350 might be a little expensive but physically it’s so good. Feels premium. But power limitation is there it is not suitable for fast charging.,,https://m.media-amazon.com/images/W/WEBP_402378-T1/images/I/61WnvIUaIwL._SY88.jpg,Best data cable charging fast,Very good quality and good durability,Overall good but need some improvement...</v>
      </c>
      <c r="D17" s="29" t="str">
        <f>IFERROR(__xludf.DUMMYFUNCTION("GOOGLETRANSLATE(B17, ""en"", ""pt-br"")"),"Bom produto, usando este produto 8 meses que está feito, eu não enfrentei nenhum problema até agora, sua qualidade de construção mais, eu realmente gostei deste., Muito forte e suportar carregamento rápido ,, bom cabo, melhor carregamento de cabo de dados"&amp;" rápido, bom trabalho , Bom, mas preciso de alguma melhoria")</f>
        <v>Bom produto, usando este produto 8 meses que está feito, eu não enfrentei nenhum problema até agora, sua qualidade de construção mais, eu realmente gostei deste., Muito forte e suportar carregamento rápido ,, bom cabo, melhor carregamento de cabo de dados rápido, bom trabalho , Bom, mas preciso de alguma melhoria</v>
      </c>
      <c r="E17" s="29" t="str">
        <f>IFERROR(__xludf.DUMMYFUNCTION("GOOGLETRANSLATE(C17, ""en"", ""pt-br"")"),"Eu gosto 👍👍, melhor poder de carregamento. Eu usei este cabo no Note 8 Pro Mi. Usando 8 meses também funcionando rápido., 350 pode ser um pouco caro, mas fisicamente é tão bom. Parece premium. Mas a limitação de energia existe, não é adequada para carre"&amp;"gamento rápido., Https: //m.media-amazon.com/images/w/webp_402378-t1/images/i/61wnviuaiwl._sy88.jpg, cobrança de cabo mais rápido , Muito boa qualidade e boa durabilidade, em geral, mas preciso de alguma melhoria ...")</f>
        <v>Eu gosto 👍👍, melhor poder de carregamento. Eu usei este cabo no Note 8 Pro Mi. Usando 8 meses também funcionando rápido., 350 pode ser um pouco caro, mas fisicamente é tão bom. Parece premium. Mas a limitação de energia existe, não é adequada para carregamento rápido., Https: //m.media-amazon.com/images/w/webp_402378-t1/images/i/61wnviuaiwl._sy88.jpg, cobrança de cabo mais rápido , Muito boa qualidade e boa durabilidade, em geral, mas preciso de alguma melhoria ...</v>
      </c>
    </row>
    <row r="18">
      <c r="A18" s="9" t="s">
        <v>94</v>
      </c>
      <c r="B18" s="29" t="str">
        <f>VLOOKUP(dados!A18, reviews!A:G, 5, FALSE)</f>
        <v>It is the best tv if you are getting it in 10-12k,Good price but the OS lags,GARBAGE QUALITY,Good product.,Good quality,Great experience everything is fantastic 🤠,Super picture quality and sound quality,Awesome</v>
      </c>
      <c r="C18" s="29" t="str">
        <f>VLOOKUP(dados!A18, reviews!A:G, 6, FALSE)</f>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v>
      </c>
      <c r="D18" s="29" t="str">
        <f>IFERROR(__xludf.DUMMYFUNCTION("GOOGLETRANSLATE(B18, ""en"", ""pt-br"")"),"É a melhor TV se você estiver obtendo em 10-12k, bom preço, mas o sistema operacional fica, qualidade de lixo, bom produto., Boa qualidade, ótima experiência, tudo é fantástico 🤠, qualidade de super imagem e qualidade de som, incrível")</f>
        <v>É a melhor TV se você estiver obtendo em 10-12k, bom preço, mas o sistema operacional fica, qualidade de lixo, bom produto., Boa qualidade, ótima experiência, tudo é fantástico 🤠, qualidade de super imagem e qualidade de som, incrível</v>
      </c>
      <c r="E18" s="29" t="str">
        <f>IFERROR(__xludf.DUMMYFUNCTION("GOOGLETRANSLATE(C18, ""en"", ""pt-br"")"),"Pros- xiomi 5a é o melhor em um orçamento de qualidade de qualidade- muito boa saída de áudio- cheia de featureCons- às vezes os atrasos da TV- às vezes prendendo esse alcance de prêmio, todas as TVs com contras. é bom, mas como está sendo executado no An"&amp;"droid 12, ele fica. Espero que, após algumas atualizações, o problema dos lags seja resolvido, produtos inúteis e qualidade inútil. Exibir problemas dentro de 7 meses e o centro de serviço não está atualizado. Vá para melhores marcas onde a qualidade é ga"&amp;"rantida. Eu gostaria que se houvesse opção de estrelas negativas., Usar como conecta a TV, a imagem é muito boa. Eu estava pulando um melhor nível de música. Globaly It é um bom produto., Https: //m.media-amazon.com/images/i/61spxdbojzl._sy88.jpg,Gereater"&amp;" Então sempre, boa qualidade, boa 👍 👍")</f>
        <v>Pros- xiomi 5a é o melhor em um orçamento de qualidade de qualidade- muito boa saída de áudio- cheia de featureCons- às vezes os atrasos da TV- às vezes prendendo esse alcance de prêmio, todas as TVs com contras. é bom, mas como está sendo executado no Android 12, ele fica. Espero que, após algumas atualizações, o problema dos lags seja resolvido, produtos inúteis e qualidade inútil. Exibir problemas dentro de 7 meses e o centro de serviço não está atualizado. Vá para melhores marcas onde a qualidade é garantida. Eu gostaria que se houvesse opção de estrelas negativas., Usar como conecta a TV, a imagem é muito boa. Eu estava pulando um melhor nível de música. Globaly It é um bom produto., Https: //m.media-amazon.com/images/i/61spxdbojzl._sy88.jpg,Gereater Então sempre, boa qualidade, boa 👍 👍</v>
      </c>
    </row>
    <row r="19">
      <c r="A19" s="9" t="s">
        <v>101</v>
      </c>
      <c r="B19" s="29" t="str">
        <f>VLOOKUP(dados!A19, reviews!A:G, 5, FALSE)</f>
        <v>A Good Braided Cable for Your Type C Device,Good quality product from ambrane,Super cable,As,Good quality,Good product,its good,Good quality for the price but one issue with my unit</v>
      </c>
      <c r="C19" s="29" t="str">
        <f>VLOOKUP(dados!A19, reviews!A:G, 6, FALSE)</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c r="D19" s="29" t="str">
        <f>IFERROR(__xludf.DUMMYFUNCTION("GOOGLETRANSLATE(B19, ""en"", ""pt-br"")"),"Um bom cabo trançado para o seu dispositivo Tipo C, produto de boa qualidade da Ambrane, Super Cable, como, boa qualidade, bom produto, é boa, boa qualidade para o preço, mas um problema com minha unidade")</f>
        <v>Um bom cabo trançado para o seu dispositivo Tipo C, produto de boa qualidade da Ambrane, Super Cable, como, boa qualidade, bom produto, é boa, boa qualidade para o preço, mas um problema com minha unidade</v>
      </c>
      <c r="E19" s="29" t="str">
        <f>IFERROR(__xludf.DUMMYFUNCTION("GOOGLETRANSLATE(C19, ""en"", ""pt-br"")"),"Encomendei este cabo para conectar meu telefone ao Android Auto of Car. O cabo é realmente forte e as portas de conexão são muito bem feitas. Eu já tenho um cabo micro USB da Ambrane e ainda está em boa forma. Conectei meu telefone ao carro usando o cabo "&amp;"e ele foi conectado bem e sem problemas. Eu também o conectei à porta de carregamento e sim, ele tem suporte de carregamento rápido. A qualidade de TI é boa nesse preço e o principal é que eu nunca pensei que esse cabo seria tão longo que é bom e o poder "&amp;"de carregamento é Muito bom e também suporta carregamento rápido, valor ao dinheiro, com comprimento extra👍, bom, funcionando bem, a qualidade do produto é boa, boa, muito boa, comprada para o telefone antigo da minha filha. e solicitado para substituiçã"&amp;"o. Verifiquei novamente e havia uma pasta/fungo de cor verde dentro do conector micro USB. Limpei com um alcoólatra e comecei a trabalhar novamente. Chequei a ampere de velocidade de carregamento obteve cerca de 1400mA -1500mA - não é ruim, veio com um ca"&amp;"bo trançado de 1,5 m de comprimento, bastante impressionante pelo preço. Não posso culpar o fabricante. Mas os problemas de qualidade por O distribuidor, eles podem ter armazenado em um lugar muito úmido.")</f>
        <v>Encomendei este cabo para conectar meu telefone ao Android Auto of Car. O cabo é realmente forte e as portas de conexão são muito bem feitas. Eu já tenho um cabo micro USB da Ambrane e ainda está em boa forma. Conectei meu telefone ao carro usando o cabo e ele foi conectado bem e sem problemas. Eu também o conectei à porta de carregamento e sim, ele tem suporte de carregamento rápido. A qualidade de TI é boa nesse preço e o principal é que eu nunca pensei que esse cabo seria tão longo que é bom e o poder de carregamento é Muito bom e também suporta carregamento rápido, valor ao dinheiro, com comprimento extra👍, bom, funcionando bem, a qualidade do produto é boa, boa, muito boa, comprada para o telefone antigo da minha filha. e solicitado para substituição. Verifiquei novamente e havia uma pasta/fungo de cor verde dentro do conector micro USB. Limpei com um alcoólatra e comecei a trabalhar novamente. Chequei a ampere de velocidade de carregamento obteve cerca de 1400mA -1500mA - não é ruim, veio com um cabo trançado de 1,5 m de comprimento, bastante impressionante pelo preço. Não posso culpar o fabricante. Mas os problemas de qualidade por O distribuidor, eles podem ter armazenado em um lugar muito úmido.</v>
      </c>
    </row>
    <row r="20">
      <c r="A20" s="9" t="s">
        <v>105</v>
      </c>
      <c r="B20" s="29" t="str">
        <f>VLOOKUP(dados!A20, reviews!A:G, 5, FALSE)</f>
        <v>Good for charging and Data transfer,ਮਜ਼ਬੂਤ,Good Quality but less Power Delivery,Fantastic!,Good,Not useful,Doesn't fit properly,Can't support Oppo mobile for fast charging</v>
      </c>
      <c r="C20" s="29" t="str">
        <f>VLOOKUP(dados!A20, reviews!A:G, 6, FALSE)</f>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v>
      </c>
      <c r="D20" s="29" t="str">
        <f>IFERROR(__xludf.DUMMYFUNCTION("GOOGLETRANSLATE(B20, ""en"", ""pt-br"")"),"Bom para carregamento e transferência de dados, ਮਜ਼ਬੂਤ, boa qualidade, mas menos entrega de energia, fantástica!, Bom, não é útil, não se encaixa corretamente, não pode apoiar o Oppo Mobile para carregar rápido")</f>
        <v>Bom para carregamento e transferência de dados, ਮਜ਼ਬੂਤ, boa qualidade, mas menos entrega de energia, fantástica!, Bom, não é útil, não se encaixa corretamente, não pode apoiar o Oppo Mobile para carregar rápido</v>
      </c>
      <c r="E20" s="29" t="str">
        <f>IFERROR(__xludf.DUMMYFUNCTION("GOOGLETRANSLATE(C20, ""en"", ""pt-br"")"),"Verifique a oferta antes da compra, o cabo de carregamento de 18W, o cabo incrível! Carregamento, transferência de dados e durabilidade são simplesmente incríveis, e não há um único problema de desconexão, que eu sempre enfrentei no cabo MI original da ca"&amp;"ixa. Comprei mais 1 tempo, pois o último cabo danificado quando o telefone caiu na porta de cabo USB, pois meu telefone está pesado e eu nunca enfrentei nenhum problema, então comprei mais uma vez e não fui substituído como seu desperdício de tempo e ener"&amp;"gia, também tenho Os fones de ouvido de barco que também são impressionantes ... 😄, bom, o carregamento é muito lento. Esqueça o carregamento rápido. Não é útil, o cabo não se encaixa corretamente na minha porta Samsung Galaxy M31 tipo C. Se um pouco de "&amp;"acerto acontecer, o cabo está conectando -o. Caso contrário, a qualidade do comprimento e do cabo é muito agradável, o cabo do tipo de barco não suporta carregamento rápido no OPPO F15, anteriormente eu estava usando o cabo Vooc, que funcionou excelente")</f>
        <v>Verifique a oferta antes da compra, o cabo de carregamento de 18W, o cabo incrível! Carregamento, transferência de dados e durabilidade são simplesmente incríveis, e não há um único problema de desconexão, que eu sempre enfrentei no cabo MI original da caixa. Comprei mais 1 tempo, pois o último cabo danificado quando o telefone caiu na porta de cabo USB, pois meu telefone está pesado e eu nunca enfrentei nenhum problema, então comprei mais uma vez e não fui substituído como seu desperdício de tempo e energia, também tenho Os fones de ouvido de barco que também são impressionantes ... 😄, bom, o carregamento é muito lento. Esqueça o carregamento rápido. Não é útil, o cabo não se encaixa corretamente na minha porta Samsung Galaxy M31 tipo C. Se um pouco de acerto acontecer, o cabo está conectando -o. Caso contrário, a qualidade do comprimento e do cabo é muito agradável, o cabo do tipo de barco não suporta carregamento rápido no OPPO F15, anteriormente eu estava usando o cabo Vooc, que funcionou excelente</v>
      </c>
    </row>
    <row r="21">
      <c r="A21" s="9" t="s">
        <v>109</v>
      </c>
      <c r="B21" s="29" t="str">
        <f>VLOOKUP(dados!A21, reviews!A:G, 5, FALSE)</f>
        <v>Sound quality,Very nice,Value for money,Good,Good for its price.,Good item,Budget friendly,Good</v>
      </c>
      <c r="C21" s="29" t="str">
        <f>VLOOKUP(dados!A21, reviews!A:G, 6, FALSE)</f>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v>
      </c>
      <c r="D21" s="29" t="str">
        <f>IFERROR(__xludf.DUMMYFUNCTION("GOOGLETRANSLATE(B21, ""en"", ""pt-br"")"),"Qualidade do som, muito agradável, valor ao dinheiro, bom, bom para o seu preço., Bom item, amigável ao orçamento, bom")</f>
        <v>Qualidade do som, muito agradável, valor ao dinheiro, bom, bom para o seu preço., Bom item, amigável ao orçamento, bom</v>
      </c>
      <c r="E21" s="29" t="str">
        <f>IFERROR(__xludf.DUMMYFUNCTION("GOOGLETRANSLATE(C21, ""en"", ""pt-br"")"),"A LG sempre foi boa, entrega correta, bom serviço, mas a qualidade do som era ruim. Os alto -falantes foram montados abaixo da TV. Sem som claro. Esse foi o único problema., Bom vício de videogood, a qualidade da imagem é incrível., Bom nesse preço, produ"&amp;"to OK, o sistema operacional tem atrasos após cerca de um ano de uso. Este é o melhor que você pode obter para o preço que ele vem., Eu gosto, melhor quando se trata de BugDet, instalação fácil e recursos úteis., Bom")</f>
        <v>A LG sempre foi boa, entrega correta, bom serviço, mas a qualidade do som era ruim. Os alto -falantes foram montados abaixo da TV. Sem som claro. Esse foi o único problema., Bom vício de videogood, a qualidade da imagem é incrível., Bom nesse preço, produto OK, o sistema operacional tem atrasos após cerca de um ano de uso. Este é o melhor que você pode obter para o preço que ele vem., Eu gosto, melhor quando se trata de BugDet, instalação fácil e recursos úteis., Bom</v>
      </c>
    </row>
    <row r="22">
      <c r="A22" s="9" t="s">
        <v>113</v>
      </c>
      <c r="B22" s="29" t="str">
        <f>VLOOKUP(dados!A22, reviews!A:G, 5, FALSE)</f>
        <v>Good cable for car,Good substitute for orginal,Better Value for money Product,Way better than the original,Absolutely amazing.,Namm hi kafi hai,Very good,As the names say Durable cell it a durable cable ;-)</v>
      </c>
      <c r="C22" s="29" t="str">
        <f>VLOOKUP(dados!A22, reviews!A:G, 6, FALSE)</f>
        <v>I trust this product! Works well with car play!,Very good quality and charging is fine. As good as original,Build quality is awesome, best lightening cable ever seen, better than a official  lightening from If ur looking for a cable close your eyes and go for it 🔥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v>
      </c>
      <c r="D22" s="29" t="str">
        <f>IFERROR(__xludf.DUMMYFUNCTION("GOOGLETRANSLATE(B22, ""en"", ""pt-br"")"),"Bom cabo para carro, bom substituto para o produto orginal, melhor valor para dinheiro, muito melhor do que o original, absolutamente incrível., Namm hi kafi hai, muito bom, como os nomes dizem célula durável, é um cabo durável ;-)")</f>
        <v>Bom cabo para carro, bom substituto para o produto orginal, melhor valor para dinheiro, muito melhor do que o original, absolutamente incrível., Namm hi kafi hai, muito bom, como os nomes dizem célula durável, é um cabo durável ;-)</v>
      </c>
      <c r="E22" s="29" t="str">
        <f>IFERROR(__xludf.DUMMYFUNCTION("GOOGLETRANSLATE(C22, ""en"", ""pt-br"")"),"Eu confio neste produto! Funciona bem com o jogo de carro!, Muito boa qualidade e carregamento é bom. Tão bom quanto o original, a qualidade de construção é incrível, o melhor cabo de iluminação já visto, melhor do que um iluminação oficial de você procur"&amp;"ar um cabo fechar os olhos e ir em frente 🔥 🔥 Ou você pode comprar um (Amazon Basics) que eu estava usando que, nos últimos 3 anos, um pouco mais barato, recomendo que esses dois cabos tenham melhor qualidade de construção e valor ao dinheiro, o produto"&amp;" Gr8 em geral, simplesmente adorei, muito boa velocidade de carregamento. ,, boa qualidade, bem embalada, todos selados coberto o arame parece de uma qualidade muito boa, recomendada !!!!")</f>
        <v>Eu confio neste produto! Funciona bem com o jogo de carro!, Muito boa qualidade e carregamento é bom. Tão bom quanto o original, a qualidade de construção é incrível, o melhor cabo de iluminação já visto, melhor do que um iluminação oficial de você procurar um cabo fechar os olhos e ir em frente 🔥 🔥 Ou você pode comprar um (Amazon Basics) que eu estava usando que, nos últimos 3 anos, um pouco mais barato, recomendo que esses dois cabos tenham melhor qualidade de construção e valor ao dinheiro, o produto Gr8 em geral, simplesmente adorei, muito boa velocidade de carregamento. ,, boa qualidade, bem embalada, todos selados coberto o arame parece de uma qualidade muito boa, recomendada !!!!</v>
      </c>
    </row>
    <row r="23">
      <c r="A23" s="9" t="s">
        <v>117</v>
      </c>
      <c r="B23" s="29" t="str">
        <f>VLOOKUP(dados!A23, reviews!A:G, 5, FALSE)</f>
        <v>Good product ; Average Finishing,Save it purpose well without any issue. I am satisfied,No issues,NO NEED TO PUT AUX CABLE FOR CONNECTING AUDIO FROM SECONDARY MONITOR,Good product,Not so Bad,Good,Worked will for only 3-4 months.</v>
      </c>
      <c r="C23" s="29" t="str">
        <f>VLOOKUP(dados!A23, reviews!A:G, 6, FALSE)</f>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v>
      </c>
      <c r="D23" s="29" t="str">
        <f>IFERROR(__xludf.DUMMYFUNCTION("GOOGLETRANSLATE(B23, ""en"", ""pt-br"")"),"Bom produto ; Acabamento médio, economize bem, sem nenhum problema. Estou satisfeito, sem problemas, não há necessidade de colocar o cabo aux para conectar áudio do monitor secundário, bom produto, não tão ruim, bom, trabalhado por apenas 3-4 meses.")</f>
        <v>Bom produto ; Acabamento médio, economize bem, sem nenhum problema. Estou satisfeito, sem problemas, não há necessidade de colocar o cabo aux para conectar áudio do monitor secundário, bom produto, não tão ruim, bom, trabalhado por apenas 3-4 meses.</v>
      </c>
      <c r="E23" s="29" t="str">
        <f>IFERROR(__xludf.DUMMYFUNCTION("GOOGLETRANSLATE(C23, ""en"", ""pt-br"")"),"Este conector forneceu como benefício para o meu antigo monitor Samsung LCD e estou usando proativamente o monitor como a segunda tela apenas se o acabamento do produto puder ser melhorado, então seria uma opção de compra melhor. Economize bem o objetivo,"&amp;" sem nenhum emitir. Estou satisfeito, trabalhando bem, vá em frente, funciona corretamente produto, mas é baixa qualidade, compro este produto depois de tantas críticas. Este produto não é muito claro. Mas faz o trabalho. Você pode comprar apenas para obt"&amp;"er exibição. não muito claro. Mas o preço ainda é muito bom em comparação com outros produtos., Bom, funcionou muito bem por 3-4 meses, mas agora começou a mostrar seu lado ""barato chinês"". A tela continua se desconectando aleatoriamente e voltará. É um"&amp;"a dor de cabeça ler/trabalhar no monitor externo agora, pois continua desconectando o monitor externo e depois o reconecta.")</f>
        <v>Este conector forneceu como benefício para o meu antigo monitor Samsung LCD e estou usando proativamente o monitor como a segunda tela apenas se o acabamento do produto puder ser melhorado, então seria uma opção de compra melhor. Economize bem o objetivo, sem nenhum emitir. Estou satisfeito, trabalhando bem, vá em frente, funciona corretamente produto, mas é baixa qualidade, compro este produto depois de tantas críticas. Este produto não é muito claro. Mas faz o trabalho. Você pode comprar apenas para obter exibição. não muito claro. Mas o preço ainda é muito bom em comparação com outros produtos., Bom, funcionou muito bem por 3-4 meses, mas agora começou a mostrar seu lado "barato chinês". A tela continua se desconectando aleatoriamente e voltará. É uma dor de cabeça ler/trabalhar no monitor externo agora, pois continua desconectando o monitor externo e depois o reconecta.</v>
      </c>
    </row>
    <row r="24">
      <c r="A24" s="9" t="s">
        <v>121</v>
      </c>
      <c r="B24" s="29" t="str">
        <f>VLOOKUP(dados!A24, reviews!A:G, 5, FALSE)</f>
        <v>Good,Sound is very low another brand comparing in better,Service provider not meet my home refuse, tv i am not using bad service,Good product,Ok super,Floor stand does not come with it ...,Good,A budget friendly TV with a clumsy UI and Remote</v>
      </c>
      <c r="C24" s="29" t="str">
        <f>VLOOKUP(dados!A24, reviews!A:G, 6, FALSE)</f>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v>
      </c>
      <c r="D24" s="29" t="str">
        <f>IFERROR(__xludf.DUMMYFUNCTION("GOOGLETRANSLATE(B24, ""en"", ""pt-br"")"),"Bom, som é muito baixo outra marca comparada em melhor, o provedor de serviços não atende a minha casa lixo, TV, não estou usando um serviço ruim, bom produto, ok super, suporte de piso não vem com ele ..., bom, um orçamento amigável TV com uma interface "&amp;"do usuário desajeitada e remoto")</f>
        <v>Bom, som é muito baixo outra marca comparada em melhor, o provedor de serviços não atende a minha casa lixo, TV, não estou usando um serviço ruim, bom produto, ok super, suporte de piso não vem com ele ..., bom, um orçamento amigável TV com uma interface do usuário desajeitada e remoto</v>
      </c>
      <c r="E24" s="29" t="str">
        <f>IFERROR(__xludf.DUMMYFUNCTION("GOOGLETRANSLATE(C24, ""en"", ""pt-br"")"),"No geral, boa., Imagem da TV OK SMART MELHORSOUND muito baixo Outra marca, provedor de serviços RECUSE Instale minha TV, serviço ruim e Samsung, estou chamando 3 vezes o provedor de serviços. Não encontro meu endereço residencial. Por que? Bad Bad, eles n"&amp;"ão vieram com o suporte de suporte ou o gancho pendurado na parede para instalar a TV, a qualidade da imagem é muito ruim em cabos, o suporte do piso não vem com ele ... você precisa comprá -lo separadamente. Solicite a Amazon para mencioná -lo no ADD. Vo"&amp;"cê terá que pagar acusações separadas pelo cara da instalação para comprar o suporte do piso., Bom,")</f>
        <v>No geral, boa., Imagem da TV OK SMART MELHORSOUND muito baixo Outra marca, provedor de serviços RECUSE Instale minha TV, serviço ruim e Samsung, estou chamando 3 vezes o provedor de serviços. Não encontro meu endereço residencial. Por que? Bad Bad, eles não vieram com o suporte de suporte ou o gancho pendurado na parede para instalar a TV, a qualidade da imagem é muito ruim em cabos, o suporte do piso não vem com ele ... você precisa comprá -lo separadamente. Solicite a Amazon para mencioná -lo no ADD. Você terá que pagar acusações separadas pelo cara da instalação para comprar o suporte do piso., Bom,</v>
      </c>
    </row>
    <row r="25">
      <c r="A25" s="9" t="s">
        <v>125</v>
      </c>
      <c r="B25" s="29" t="str">
        <f>VLOOKUP(dados!A25, reviews!A:G, 5, FALSE)</f>
        <v>Worked on iPhone 7 and didn’t work on XR,Good one,Dull Physical Looks,Just Buy it,Go for it,About the product,Get charging cable at the price,Working well.</v>
      </c>
      <c r="C25" s="29" t="str">
        <f>VLOOKUP(dados!A25, reviews!A:G, 6, FALSE)</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D25" s="29" t="str">
        <f>IFERROR(__xludf.DUMMYFUNCTION("GOOGLETRANSLATE(B25, ""en"", ""pt-br"")"),"Trabalhou no iPhone 7 e não trabalhou no XR, bom, looks físicos sem graça, basta comprá -lo, seguir em frente, sobre o produto, obter o cabo de carregamento pelo preço, funcionando bem.")</f>
        <v>Trabalhou no iPhone 7 e não trabalhou no XR, bom, looks físicos sem graça, basta comprá -lo, seguir em frente, sobre o produto, obter o cabo de carregamento pelo preço, funcionando bem.</v>
      </c>
      <c r="E25" s="29" t="str">
        <f>IFERROR(__xludf.DUMMYFUNCTION("GOOGLETRANSLATE(C25, ""en"", ""pt-br"")"),"Trabalhei no iPhone 7 e não trabalhou no iPhone XR, https: //m.media-amazon.com/images/i/71qffalv9zl._sy88.jpg.look-wise, eu não gostei. Ainda assim, eu o uso para o meu trabalho., O produto é muito bom e está carregando rapidamente. Parece o último longo"&amp;"., A robustez dependerá da maneira de seu uso. Mas sua velocidade de carregamento é ótima. Produto muito bom para o grupo de renda média., É ótimo para carregar dispositivos com vários tipos de portas. Mas funciona melhor ao carregar um dispositivo de cad"&amp;"a vez., Bom item.")</f>
        <v>Trabalhei no iPhone 7 e não trabalhou no iPhone XR, https: //m.media-amazon.com/images/i/71qffalv9zl._sy88.jpg.look-wise, eu não gostei. Ainda assim, eu o uso para o meu trabalho., O produto é muito bom e está carregando rapidamente. Parece o último longo., A robustez dependerá da maneira de seu uso. Mas sua velocidade de carregamento é ótima. Produto muito bom para o grupo de renda média., É ótimo para carregar dispositivos com vários tipos de portas. Mas funciona melhor ao carregar um dispositivo de cada vez., Bom item.</v>
      </c>
    </row>
    <row r="26">
      <c r="A26" s="9" t="s">
        <v>129</v>
      </c>
      <c r="B26" s="29" t="str">
        <f>VLOOKUP(dados!A26, reviews!A:G, 5, FALSE)</f>
        <v>Wonderful TV and Awful installation service from amazon,Acer Television Review,It's a good product for that price.,Good for the price,Almost a complete package,Nice Product,Good product,Super designed</v>
      </c>
      <c r="C26" s="29" t="str">
        <f>VLOOKUP(dados!A26, reviews!A:G, 6, FALSE)</f>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v>
      </c>
      <c r="D26" s="29" t="str">
        <f>IFERROR(__xludf.DUMMYFUNCTION("GOOGLETRANSLATE(B26, ""en"", ""pt-br"")"),"TV maravilhoso e serviço de instalação horrível da Amazon, Acer Television Review, é um bom produto para esse preço., Bom para o preço, quase um pacote completo, bom produto, bom produto, super projetado")</f>
        <v>TV maravilhoso e serviço de instalação horrível da Amazon, Acer Television Review, é um bom produto para esse preço., Bom para o preço, quase um pacote completo, bom produto, bom produto, super projetado</v>
      </c>
      <c r="E26" s="29" t="str">
        <f>IFERROR(__xludf.DUMMYFUNCTION("GOOGLETRANSLATE(C26, ""en"", ""pt-br"")"),"Sobre a TV-Maravilhosa ------------------------------------------- -------------------- Provavelmente a melhor TV nessa faixa de preço (INR13000) .GOOD-Interface do Google, carregado com recursos, consumo leve de energia de 55 watts, design estável-Sound "&amp;"E a qualidade da imagem é muito boa, mas se você a comparar com marcas premium, obviamente não é tão bom. Console de jogos, cabo de prato antigo e antena de TV direta como bem construído em Chromecast para lançar qualquer aplicativo compatível diretamente"&amp;" do telefone para a TV na mesma rede WiFi para conectar o telefone -1. Via recurso de elenco em aplicativos móveis - nenhuma senha necessária só precisa estar na mesma rede wifi2. Via Chromecast App - Projeto apenas mídia selecionada (fotos, vídeos) ou se"&amp;"nões de telefone inteiras para conectar o PC/laptop -1. Opção Windows Cast-projete toda a tela do laptop na TV usando a opção Windows Cast (precisa ser conectado na mesma rede WiFi. --------------------------------------- 1. O técnico trouxe um gancho de "&amp;"suspensão barato que tinha MRP INR116 e pediu INR499 por isso sem nenhum recibo. Ele continuou dizendo que não estava à venda e a empresa havia enviado isso especialmente. No entanto, ele claramente havia mencionado MRP2. Fui ao mercado e comprei um gabin"&amp;"ete muito melhor Por apenas INR200 e para a instalação disso também, o técnico foi realmente inflexível para perfurar os dois orifícios necessários no topo. Ele apenas perfurou um na parte superior e outro na parte inferior e manteve todos os outros paraf"&amp;"usos sobressalentes (que eu havia comprado) com ele. Após cerca de meia hora de discussões, ele finalmente perfurou os outros orifícios necessários. E por tudo isso, ele continuou me xingando que eu perdi seu tempo. Não havia assistência da pessoa que rep"&amp;"resentava a agência de serviços também. Este processo inteiro levou Duas horas para concluir isso também com muitos argumentos. Essa foi a pior experiência de instalação da minha vida até agora. É apenas uma farsa. Em vez disso, chame o suporte do Acer. E"&amp;"les farão o trabalho muito melhor., Depois de usá -lo por 2 meses, aqui estão os prós e os contras: Prós: 1. Ótima qualidade de imagem. É incrível. Os negros são muito bons e são ajustáveis. O som com 30dB é muito bom4. Parece ótimo com besel5 fino. O con"&amp;"trole remoto vem com botões OTT favoritos. Upscaling de conteúdo é muito bom.CONS: 1. O controle remoto poderia ter sido melhor. Não posso usar o DTH Remote para ativar a televisão e definir a caixa superior. A operação remota é um pouco complexa. Tecnolo"&amp;"gia de movimento não é ótima. Há um borrão perceptível ao assistir a Moving Ballson Ott, mas diminui quando você muda para o DTH. No geral, é uma boa compra a esse preço. Acho que estou recebendo uma qualidade e som de imagem bastante melhor. Estou satisf"&amp;"eito com o produto., O produto tem uma boa qualidade de imagem. Bom produto a esse preço com som de 25W. Aplicativos funcionando sem problemas. 3 meses mais velho e sem problemas ainda. Está funcionando sem problemas., Você obtém recursos decentes pelo pr"&amp;"eço que paga. A resolução da tela pode ser. Volte como você pode encontrar pixalação. No geral, é bom, fico impressionado com a qualidade da imagem desta TV 720p (pronta para HD). É realmente um painel incrível. Achei adequado para uma distância de visual"&amp;"ização entre 6 e 10 pés. Qualquer um mais próximo pode não parecer muito nítido e mais longe, parecerá um tamanho muito pequeno. Os alto -falantes também são muito bons para o preço e podem ficar muito altos sem distorções. No entanto, como o alto -falant"&amp;"e está disparando para baixo, a experiência varia de acordo com se a TV está montada na parede ou mantida em um estande. O controle remoto é bom, a pesquisa de voz funciona bem para mim. A TV Start Up leva muito tempo na minha opinião, mas não a comparei "&amp;"com nenhuma outra TV de 32 polegadas e, portanto, não sei onde está entre os colegas. O único aspecto negativo que enfrentei é a experiência de usar meus fones de ouvido Bluetooth. Em primeiro lugar, a conexão às vezes não acontece automaticamente após um"&amp;"a reinicialização - o que significa que eu tenho que remover e redescobrir o dispositivo através do menu que não é simples. Em segundo lugar, o sinal em si parece ser muito fraco e, mesmo a uma distância de 8 pés na frente da TV, o sinal quebra, mesmo se "&amp;"você mover a cabeça em 2-3 polegadas. No entanto, ainda estou super feliz com esta TV. Eu o recebi por 8k durante a oferta de lançamento e vale totalmente a pena e é recomendado do meu lado., Nesta faixa de preço (₹ 11499/-), é um produto de boa qualidade"&amp;" neste mercado ... o acerto só deve funcionar com a qualidade do som melhoria, caso contrário, a qualidade da picture é realmente impressionante, conectividade Wi -Fi boa, fácil de instalar, o design da tela sem corpo é premium e também o suporte ao Googl"&amp;"e Voice é bom (às vezes atrasado). Não há grandes questões encontradas nesta TV. Apenas vá em frente., Vellu por dinheiro. Bom produto, dinheiro muito bom de produtos")</f>
        <v>Sobre a TV-Maravilhosa ------------------------------------------- -------------------- Provavelmente a melhor TV nessa faixa de preço (INR13000) .GOOD-Interface do Google, carregado com recursos, consumo leve de energia de 55 watts, design estável-Sound E a qualidade da imagem é muito boa, mas se você a comparar com marcas premium, obviamente não é tão bom. Console de jogos, cabo de prato antigo e antena de TV direta como bem construído em Chromecast para lançar qualquer aplicativo compatível diretamente do telefone para a TV na mesma rede WiFi para conectar o telefone -1. Via recurso de elenco em aplicativos móveis - nenhuma senha necessária só precisa estar na mesma rede wifi2. Via Chromecast App - Projeto apenas mídia selecionada (fotos, vídeos) ou senões de telefone inteiras para conectar o PC/laptop -1. Opção Windows Cast-projete toda a tela do laptop na TV usando a opção Windows Cast (precisa ser conectado na mesma rede WiFi. --------------------------------------- 1. O técnico trouxe um gancho de suspensão barato que tinha MRP INR116 e pediu INR499 por isso sem nenhum recibo. Ele continuou dizendo que não estava à venda e a empresa havia enviado isso especialmente. No entanto, ele claramente havia mencionado MRP2. Fui ao mercado e comprei um gabinete muito melhor Por apenas INR200 e para a instalação disso também, o técnico foi realmente inflexível para perfurar os dois orifícios necessários no topo. Ele apenas perfurou um na parte superior e outro na parte inferior e manteve todos os outros parafusos sobressalentes (que eu havia comprado) com ele. Após cerca de meia hora de discussões, ele finalmente perfurou os outros orifícios necessários. E por tudo isso, ele continuou me xingando que eu perdi seu tempo. Não havia assistência da pessoa que representava a agência de serviços também. Este processo inteiro levou Duas horas para concluir isso também com muitos argumentos. Essa foi a pior experiência de instalação da minha vida até agora. É apenas uma farsa. Em vez disso, chame o suporte do Acer. Eles farão o trabalho muito melhor., Depois de usá -lo por 2 meses, aqui estão os prós e os contras: Prós: 1. Ótima qualidade de imagem. É incrível. Os negros são muito bons e são ajustáveis. O som com 30dB é muito bom4. Parece ótimo com besel5 fino. O controle remoto vem com botões OTT favoritos. Upscaling de conteúdo é muito bom.CONS: 1. O controle remoto poderia ter sido melhor. Não posso usar o DTH Remote para ativar a televisão e definir a caixa superior. A operação remota é um pouco complexa. Tecnologia de movimento não é ótima. Há um borrão perceptível ao assistir a Moving Ballson Ott, mas diminui quando você muda para o DTH. No geral, é uma boa compra a esse preço. Acho que estou recebendo uma qualidade e som de imagem bastante melhor. Estou satisfeito com o produto., O produto tem uma boa qualidade de imagem. Bom produto a esse preço com som de 25W. Aplicativos funcionando sem problemas. 3 meses mais velho e sem problemas ainda. Está funcionando sem problemas., Você obtém recursos decentes pelo preço que paga. A resolução da tela pode ser. Volte como você pode encontrar pixalação. No geral, é bom, fico impressionado com a qualidade da imagem desta TV 720p (pronta para HD). É realmente um painel incrível. Achei adequado para uma distância de visualização entre 6 e 10 pés. Qualquer um mais próximo pode não parecer muito nítido e mais longe, parecerá um tamanho muito pequeno. Os alto -falantes também são muito bons para o preço e podem ficar muito altos sem distorções. No entanto, como o alto -falante está disparando para baixo, a experiência varia de acordo com se a TV está montada na parede ou mantida em um estande. O controle remoto é bom, a pesquisa de voz funciona bem para mim. A TV Start Up leva muito tempo na minha opinião, mas não a comparei com nenhuma outra TV de 32 polegadas e, portanto, não sei onde está entre os colegas. O único aspecto negativo que enfrentei é a experiência de usar meus fones de ouvido Bluetooth. Em primeiro lugar, a conexão às vezes não acontece automaticamente após uma reinicialização - o que significa que eu tenho que remover e redescobrir o dispositivo através do menu que não é simples. Em segundo lugar, o sinal em si parece ser muito fraco e, mesmo a uma distância de 8 pés na frente da TV, o sinal quebra, mesmo se você mover a cabeça em 2-3 polegadas. No entanto, ainda estou super feliz com esta TV. Eu o recebi por 8k durante a oferta de lançamento e vale totalmente a pena e é recomendado do meu lado., Nesta faixa de preço (₹ 11499/-), é um produto de boa qualidade neste mercado ... o acerto só deve funcionar com a qualidade do som melhoria, caso contrário, a qualidade da picture é realmente impressionante, conectividade Wi -Fi boa, fácil de instalar, o design da tela sem corpo é premium e também o suporte ao Google Voice é bom (às vezes atrasado). Não há grandes questões encontradas nesta TV. Apenas vá em frente., Vellu por dinheiro. Bom produto, dinheiro muito bom de produtos</v>
      </c>
    </row>
    <row r="27">
      <c r="A27" s="9" t="s">
        <v>133</v>
      </c>
      <c r="B27" s="29" t="str">
        <f>VLOOKUP(dados!A27, reviews!A:G, 5, FALSE)</f>
        <v>Cheap product and same is the performance but does the job,Good,No Box!!!,Good,Value for money,A very good quality cable with rubust built, and it does the work.,Value money,Good product.</v>
      </c>
      <c r="C27" s="29" t="str">
        <f>VLOOKUP(dados!A27, reviews!A:G, 6, FALSE)</f>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v>
      </c>
      <c r="D27" s="29" t="str">
        <f>IFERROR(__xludf.DUMMYFUNCTION("GOOGLETRANSLATE(B27, ""en"", ""pt-br"")"),"Produto barato e o mesmo é o desempenho, mas faz o trabalho, bom, sem caixa !!!, bom, valor ao dinheiro, um cabo de muito boa qualidade com a RyChust Built e faz o trabalho., Valorize dinheiro, bom produto.")</f>
        <v>Produto barato e o mesmo é o desempenho, mas faz o trabalho, bom, sem caixa !!!, bom, valor ao dinheiro, um cabo de muito boa qualidade com a RyChust Built e faz o trabalho., Valorize dinheiro, bom produto.</v>
      </c>
      <c r="E27" s="29" t="str">
        <f>IFERROR(__xludf.DUMMYFUNCTION("GOOGLETRANSLATE(C27, ""en"", ""pt-br"")"),"O sinal é muito instável, uma vez que você precisa de um pouco de ajuste desconectando ou movendo o fio para obter um sinal adequado. Mas faz o trabalho. Vá para isso se quiser experimentar o HDMI, pois eu não tinha certeza de que funcionaria para mim ou "&amp;"não. Caso contrário, opte por um cabo à milanesa de boa qualidade., Bom produto, o cabo não veio em uma caixa. Não há caixa. Se isso deveria ser enviado sem nenhuma embalagem ou marca, o mesmo deveria ter sido mencionado. Quando pagamos por produtos de qu"&amp;"alidade, esperamos uma certa qualidade! Eu ainda não tenho idéia se este é um cabo 4k de alta velocidade ou não., Bom, comprado para conectar meu monitor CP (CCTV) à TV Android Mi .. .. Ok Qualidade a esse preço, eu dou um 5 em 5, Razões como abaixo .. 1."&amp;" Entrega da Amazon - super rápida, entrega no mesmo dia dentro de 4-5 horas.2. O entregador era bom. Qualidade robusta construída, looks &amp; parece premium. Está funcionando excelente, estou usando o Lapptop para conectividade de TV de tela grande e pude ve"&amp;"r a imagem e o som não distorcidos, fazendo seu trabalho bem. Parece um pouco difícil de ajustar e dobrar conforme a exigência, menos flexível. Mas isso pode não ser uma preocupação séria. No geral, uma boa experiência até agora., Bom trabalho, como.")</f>
        <v>O sinal é muito instável, uma vez que você precisa de um pouco de ajuste desconectando ou movendo o fio para obter um sinal adequado. Mas faz o trabalho. Vá para isso se quiser experimentar o HDMI, pois eu não tinha certeza de que funcionaria para mim ou não. Caso contrário, opte por um cabo à milanesa de boa qualidade., Bom produto, o cabo não veio em uma caixa. Não há caixa. Se isso deveria ser enviado sem nenhuma embalagem ou marca, o mesmo deveria ter sido mencionado. Quando pagamos por produtos de qualidade, esperamos uma certa qualidade! Eu ainda não tenho idéia se este é um cabo 4k de alta velocidade ou não., Bom, comprado para conectar meu monitor CP (CCTV) à TV Android Mi .. .. Ok Qualidade a esse preço, eu dou um 5 em 5, Razões como abaixo .. 1. Entrega da Amazon - super rápida, entrega no mesmo dia dentro de 4-5 horas.2. O entregador era bom. Qualidade robusta construída, looks &amp; parece premium. Está funcionando excelente, estou usando o Lapptop para conectividade de TV de tela grande e pude ver a imagem e o som não distorcidos, fazendo seu trabalho bem. Parece um pouco difícil de ajustar e dobrar conforme a exigência, menos flexível. Mas isso pode não ser uma preocupação séria. No geral, uma boa experiência até agora., Bom trabalho, como.</v>
      </c>
    </row>
    <row r="28">
      <c r="A28" s="9" t="s">
        <v>137</v>
      </c>
      <c r="B28" s="29" t="str">
        <f>VLOOKUP(dados!A28, reviews!A:G, 5, FALSE)</f>
        <v>Worthy and most affordable - Great TV,Good product,It's really worth the money but,Better product in this budget,Product review,nice tv,Best product,Budget friendly TV</v>
      </c>
      <c r="C28" s="29" t="str">
        <f>VLOOKUP(dados!A28, reviews!A:G, 6, FALSE)</f>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v>
      </c>
      <c r="D28" s="29" t="str">
        <f>IFERROR(__xludf.DUMMYFUNCTION("GOOGLETRANSLATE(B28, ""en"", ""pt-br"")"),"Digno e mais acessível - ótima TV, bom produto, vale a pena o dinheiro, mas, melhor produto nesse orçamento, revisão de produtos, boa TV, melhor produto, TV amigável ao orçamento")</f>
        <v>Digno e mais acessível - ótima TV, bom produto, vale a pena o dinheiro, mas, melhor produto nesse orçamento, revisão de produtos, boa TV, melhor produto, TV amigável ao orçamento</v>
      </c>
      <c r="E28" s="29" t="str">
        <f>IFERROR(__xludf.DUMMYFUNCTION("GOOGLETRANSLATE(C28, ""en"", ""pt-br"")"),"Esta TV OnePlus é ótima se você quiser uma gama acessível e intermediária apresenta TV. Consegui isso na oferta e valeu totalmente a pena.Pros: -1. O som é incrível - 100% satisfeito com a qualidade do som. Os alto -falantes Dolby Audio 20W são realmente "&amp;"ótimos para TV com certeza. Tamanho e Slim - é magro e parece elegante. Muito leve e útil para instalar. Fácil de instalar e montar na parede. A instalação e configuração do software TYE é muito fácil e qualquer um pode fazê -lo em casa. Ele é integrado a"&amp;" aplicativos móveis, redes remotas e wifi com muita rapidez e facilidade. O processo geral de inscrição e as instalações de aplicativos são rápidas e automáticas. Ele suporta todos os recursos inteligentes, como Netflix, Prime e YouTube. É facilmente inst"&amp;"alável e login para começar a usar rapidamente. Também é fácil digitalizar os canais da caixa de instalação e começar a visualizá-los. A qualidade da imagem é 776p. É médio e não muito claro. Mas vale a pena a faixa de preço. Não vou reclamar, pois o cust"&amp;"o da TV é muito acessível e essa qualidade é justificada. A conexão Bluetooth e WiFi às vezes podem se desconectar e causar alguns problemas. Encontrei esse problema de desconexão e tive que redefinir o dispositivo completo e fazer a inscrição completa no"&amp;"vamente. O restante é muito bom e adorei este produto. Eu sinto que valeu a pena pedir. Se você está procurando, algo é de médio alcance e só precisa para seus pais antigos e não tem uso inteligente extenso, basta 100%. Em seguida, escolha uma versão melh"&amp;"or com a qualidade Full HD e 4K. Esta TV não dará uma boa experiência para o esporte devido à menos qualidade de imagem, mas é muito bom para programas familiares diários e canais de TV. Uma última coisa que eu quero expressar e estou desapontado é isso. "&amp;"Eu recebi meu pedido entregue na sexta -feira E eu agendei minha instalação para sábado. Mas ninguém apareceu naquele dia e eu tive que reagir na terça -feira de manhã, e ainda hoje ninguém apareceu. Recebi uma ligação da Amazon para reagir para a noite d"&amp;"e terça -feira e ainda assim, ninguém apareceu. Esse é um serviço muito ruim e irresponsável da OnePlus e da Amazon. Estou muito decepcionado com o serviço e criticar muito esse comportamento. Uma empresa sempre deve cuidar da satisfação do cliente e você"&amp;" falhou em fazer isso. O que vocês esperam que façamos? Aguarde 5 a 6 dias para instalar minha TV mesmo quando for entregue e espere que vocês venham depois de tantos dias. Mesmo quando estou entregue minha TV inteligente em minha casa, tenho que esperar "&amp;"e não gostar, porque vocês não fizeram seu trabalho corretamente. Pelo menos mantém alguma decência e respeita os clientes que estão pagando uma grande quantia e pedindo um Grande item da sua empresa. Você deve tomar cuidado para que o dinheiro que gastei"&amp;" tenha valido a pena e não enfrentar nenhum problema. Muito desapontado com esse comportamento e serviço., Bom produto, a conectividade é mais rápida, mas o desempenho é um pouco mais lento, o maior problema que enfrento é que não tem um cabo auxiliar, pa"&amp;"ra que não seja capaz de conectar minha barra de som. ..... a porta HDMI é inútil, não funciona. Então, eu a conecto via Bluetooth, mas o problema é que ela não se conectará automaticamente, sempre que eu na TV, preciso conectá -la manualmente, é um recur"&amp;"so básico O que não é fornecido nesta TV, então outra desvantagem é que foi rápido no começo agora já se passaram 4 meses e é super lotado ..... mesmo depois da atualização é da mesma forma ..... sim, mas neste preço RANGE A qualidade da imagem é excelent"&amp;"e ...... Isso é tudo, boa qualidade em figura e volume é um pouco baixo, além desse produto, é bom. Friendia ao orçamento, fico feliz com isso., Depois de alguns dias, a TV se apresentará lentamente e o controle remoto é muito, graças, obrigado Amazon e O"&amp;"nePlus, 1. O som é bom2. Instalação fácil3. Muito fino e menos peso4. O reconhecimento de voz é bom, como a faixa de conectividade comobiliza e amigável, é pobre. Muitos tempos são desconectados. A profundidade corporal não é tão boa.")</f>
        <v>Esta TV OnePlus é ótima se você quiser uma gama acessível e intermediária apresenta TV. Consegui isso na oferta e valeu totalmente a pena.Pros: -1. O som é incrível - 100% satisfeito com a qualidade do som. Os alto -falantes Dolby Audio 20W são realmente ótimos para TV com certeza. Tamanho e Slim - é magro e parece elegante. Muito leve e útil para instalar. Fácil de instalar e montar na parede. A instalação e configuração do software TYE é muito fácil e qualquer um pode fazê -lo em casa. Ele é integrado a aplicativos móveis, redes remotas e wifi com muita rapidez e facilidade. O processo geral de inscrição e as instalações de aplicativos são rápidas e automáticas. Ele suporta todos os recursos inteligentes, como Netflix, Prime e YouTube. É facilmente instalável e login para começar a usar rapidamente. Também é fácil digitalizar os canais da caixa de instalação e começar a visualizá-los. A qualidade da imagem é 776p. É médio e não muito claro. Mas vale a pena a faixa de preço. Não vou reclamar, pois o custo da TV é muito acessível e essa qualidade é justificada. A conexão Bluetooth e WiFi às vezes podem se desconectar e causar alguns problemas. Encontrei esse problema de desconexão e tive que redefinir o dispositivo completo e fazer a inscrição completa novamente. O restante é muito bom e adorei este produto. Eu sinto que valeu a pena pedir. Se você está procurando, algo é de médio alcance e só precisa para seus pais antigos e não tem uso inteligente extenso, basta 100%. Em seguida, escolha uma versão melhor com a qualidade Full HD e 4K. Esta TV não dará uma boa experiência para o esporte devido à menos qualidade de imagem, mas é muito bom para programas familiares diários e canais de TV. Uma última coisa que eu quero expressar e estou desapontado é isso. Eu recebi meu pedido entregue na sexta -feira E eu agendei minha instalação para sábado. Mas ninguém apareceu naquele dia e eu tive que reagir na terça -feira de manhã, e ainda hoje ninguém apareceu. Recebi uma ligação da Amazon para reagir para a noite de terça -feira e ainda assim, ninguém apareceu. Esse é um serviço muito ruim e irresponsável da OnePlus e da Amazon. Estou muito decepcionado com o serviço e criticar muito esse comportamento. Uma empresa sempre deve cuidar da satisfação do cliente e você falhou em fazer isso. O que vocês esperam que façamos? Aguarde 5 a 6 dias para instalar minha TV mesmo quando for entregue e espere que vocês venham depois de tantos dias. Mesmo quando estou entregue minha TV inteligente em minha casa, tenho que esperar e não gostar, porque vocês não fizeram seu trabalho corretamente. Pelo menos mantém alguma decência e respeita os clientes que estão pagando uma grande quantia e pedindo um Grande item da sua empresa. Você deve tomar cuidado para que o dinheiro que gastei tenha valido a pena e não enfrentar nenhum problema. Muito desapontado com esse comportamento e serviço., Bom produto, a conectividade é mais rápida, mas o desempenho é um pouco mais lento, o maior problema que enfrento é que não tem um cabo auxiliar, para que não seja capaz de conectar minha barra de som. ..... a porta HDMI é inútil, não funciona. Então, eu a conecto via Bluetooth, mas o problema é que ela não se conectará automaticamente, sempre que eu na TV, preciso conectá -la manualmente, é um recurso básico O que não é fornecido nesta TV, então outra desvantagem é que foi rápido no começo agora já se passaram 4 meses e é super lotado ..... mesmo depois da atualização é da mesma forma ..... sim, mas neste preço RANGE A qualidade da imagem é excelente ...... Isso é tudo, boa qualidade em figura e volume é um pouco baixo, além desse produto, é bom. Friendia ao orçamento, fico feliz com isso., Depois de alguns dias, a TV se apresentará lentamente e o controle remoto é muito, graças, obrigado Amazon e OnePlus, 1. O som é bom2. Instalação fácil3. Muito fino e menos peso4. O reconhecimento de voz é bom, como a faixa de conectividade comobiliza e amigável, é pobre. Muitos tempos são desconectados. A profundidade corporal não é tão boa.</v>
      </c>
    </row>
    <row r="29">
      <c r="A29" s="9" t="s">
        <v>141</v>
      </c>
      <c r="B29" s="29" t="str">
        <f>VLOOKUP(dados!A29, reviews!A:G, 5, FALSE)</f>
        <v>Ok cable,three pin with hybrid wire,Sturdy,Nice,Good.,So good,CarPlay Not supported,पैसा वसूल 🙂</v>
      </c>
      <c r="C29" s="29" t="str">
        <f>VLOOKUP(dados!A29, reviews!A:G, 6, FALSE)</f>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v>
      </c>
      <c r="D29" s="29" t="str">
        <f>IFERROR(__xludf.DUMMYFUNCTION("GOOGLETRANSLATE(B29, ""en"", ""pt-br"")"),"Ok cabo, três pinos com fio híbrido, resistente, bom, bom., Tão bom, carplay não suportado, पैसा वसूल 🙂")</f>
        <v>Ok cabo, três pinos com fio híbrido, resistente, bom, bom., Tão bom, carplay não suportado, पैसा वसूल 🙂</v>
      </c>
      <c r="E29" s="29" t="str">
        <f>IFERROR(__xludf.DUMMYFUNCTION("GOOGLETRANSLATE(C29, ""en"", ""pt-br"")"),"O produto parece e funciona bem, mas não é um cabo de carregamento rápido, como deve ser e quando todas as três portas estão conectadas, mais lentamente, estou carregando apenas um bom cabo, todas as três portas estão lá, então é um produto OK apenas se s"&amp;"e Você está procurando um carregamento rápido, então eu diria pensar duas vezes antes de você usar o inimigo há um tempo agora isso é com certeza um cabo de carregamento rápido e, nesse carregador de raios TGE, não está funcionando corretamente de vez em "&amp;"quando eu tenho que verificar seu Ele carregava meu iPhone e eu tive que desconectar e responder por carregar está sendo desconectado. Não entendo como esse cabo não está bem, usei esse tipo C mais comumente, dependendo do meu poder de poder, e também etc"&amp;". O carregamento é um pouco lento quando você conecta vários dispositivos. Mas não é adequado para mim, pois não suporta a Apple Car Play,")</f>
        <v>O produto parece e funciona bem, mas não é um cabo de carregamento rápido, como deve ser e quando todas as três portas estão conectadas, mais lentamente, estou carregando apenas um bom cabo, todas as três portas estão lá, então é um produto OK apenas se se Você está procurando um carregamento rápido, então eu diria pensar duas vezes antes de você usar o inimigo há um tempo agora isso é com certeza um cabo de carregamento rápido e, nesse carregador de raios TGE, não está funcionando corretamente de vez em quando eu tenho que verificar seu Ele carregava meu iPhone e eu tive que desconectar e responder por carregar está sendo desconectado. Não entendo como esse cabo não está bem, usei esse tipo C mais comumente, dependendo do meu poder de poder, e também etc. O carregamento é um pouco lento quando você conecta vários dispositivos. Mas não é adequado para mim, pois não suporta a Apple Car Play,</v>
      </c>
    </row>
    <row r="30">
      <c r="A30" s="9" t="s">
        <v>145</v>
      </c>
      <c r="B30" s="29" t="str">
        <f>VLOOKUP(dados!A30, reviews!A:G, 5, FALSE)</f>
        <v>Very good product.,Using as a spare cable in car,Sturdy, Durable, Fast Charging!,Good brand,It’s like original apple cable,One of the best wire ..,Super well build. Quality product worth the money,Good product</v>
      </c>
      <c r="C30" s="29" t="str">
        <f>VLOOKUP(dados!A30, reviews!A:G, 6, FALSE)</f>
        <v>Fast charging.,Cable seems to be of good quality, not used much as I keep it as backup in my car.,It’s good, sturdy &amp; durable!It supports fast charging!Only thing is it’s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v>
      </c>
      <c r="D30" s="29" t="str">
        <f>IFERROR(__xludf.DUMMYFUNCTION("GOOGLETRANSLATE(B30, ""en"", ""pt-br"")"),"Produto muito bom., Usando como um cabo sobressalente em carro, carregamento robusto, durável e rápido!, Boa marca, é como o cabo de maçã original, um dos melhores fios .., super bem construir. Produto de qualidade que vale o dinheiro, bom produto")</f>
        <v>Produto muito bom., Usando como um cabo sobressalente em carro, carregamento robusto, durável e rápido!, Boa marca, é como o cabo de maçã original, um dos melhores fios .., super bem construir. Produto de qualidade que vale o dinheiro, bom produto</v>
      </c>
      <c r="E30" s="29" t="str">
        <f>IFERROR(__xludf.DUMMYFUNCTION("GOOGLETRANSLATE(C30, ""en"", ""pt-br"")"),"Carregamento rápido., O cabo parece ser de boa qualidade, não é usado muito, pois eu o mantenho como backup no meu carro., É bom, robusto e durável! Ele suporta carregamento rápido! Estou escrevendo esta resenha após 10 dias de uso deste produto e achei m"&amp;"uito durável e resistente. Também é bom para viajar, onde você deve mantê -lo nas sacolas sem qualquer tipo de caixa. Eu recomendaria a todos., Melhor fio de fio C para conector de iluminação GO Compra de dinheiro, valor ao dinheiro, estou feliz com o pro"&amp;"duto. A qualidade é boa. Durável.")</f>
        <v>Carregamento rápido., O cabo parece ser de boa qualidade, não é usado muito, pois eu o mantenho como backup no meu carro., É bom, robusto e durável! Ele suporta carregamento rápido! Estou escrevendo esta resenha após 10 dias de uso deste produto e achei muito durável e resistente. Também é bom para viajar, onde você deve mantê -lo nas sacolas sem qualquer tipo de caixa. Eu recomendaria a todos., Melhor fio de fio C para conector de iluminação GO Compra de dinheiro, valor ao dinheiro, estou feliz com o produto. A qualidade é boa. Durável.</v>
      </c>
    </row>
    <row r="31">
      <c r="A31" s="9" t="s">
        <v>149</v>
      </c>
      <c r="B31" s="29" t="str">
        <f>VLOOKUP(dados!A31, reviews!A:G, 5, FALSE)</f>
        <v>Just buy it dont even 2nd guess it,Quality is good,Nylon braided quiet sturdy,Amazing,Feels like steel harnessed wire - strong,Sturdy and durable. Useful for charging Power Banks,good,Nice quality</v>
      </c>
      <c r="C31" s="29" t="str">
        <f>VLOOKUP(dados!A31, reviews!A:G, 6, FALSE)</f>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v>
      </c>
      <c r="D31" s="29" t="str">
        <f>IFERROR(__xludf.DUMMYFUNCTION("GOOGLETRANSLATE(B31, ""en"", ""pt-br"")"),"Basta comprar, nem o segundo adivinhe, a qualidade é boa, nylon trançado silencioso robusto, incrível, parece um fio de aço - forte, forte e durável. Útil para cobrar bancos de energia, boa, boa qualidade")</f>
        <v>Basta comprar, nem o segundo adivinhe, a qualidade é boa, nylon trançado silencioso robusto, incrível, parece um fio de aço - forte, forte e durável. Útil para cobrar bancos de energia, boa, boa qualidade</v>
      </c>
      <c r="E31" s="29" t="str">
        <f>IFERROR(__xludf.DUMMYFUNCTION("GOOGLETRANSLATE(C31, ""en"", ""pt-br"")"),"Um cabo incrível por 300 dólares, ok de carregamento. Parece muito resistente e durável., Charagem rápida de até 25watts 2m de comprimento e realmente durável. Procurei como a 4ª vez passou por meus cabos mais antigos para os membros da família ainda em e"&amp;"stado de trabalho. Comprei em 2019 e quase os últimos três anos Publique um uso pesado ... vou comprar de novo! Cabo de carregamento USB C de boa qualidade, de boa qualidade, que permite o carregamento rápido para os telefones Samsung M21, bem como M33 5G"&amp;" 24 W, buscando telefones. Comprimento do cabo de 2 metros útil para manter o telefone na mesa enquanto carrega o adaptador conectado à saída elétrica. Melhor valor. Custos de 2 m semelhantes custam 3x ou 4x no mercado de varejo. Este é o melhor preço, ót"&amp;"imo produto. Quer isso, pois minha bateria portátil possui slot USB e iPad e Kindle Reader possui portas USB-C. Se encaixa perfeitamente na minha necessidade. Cobra muito rápido., Bom, muito bom no geral")</f>
        <v>Um cabo incrível por 300 dólares, ok de carregamento. Parece muito resistente e durável., Charagem rápida de até 25watts 2m de comprimento e realmente durável. Procurei como a 4ª vez passou por meus cabos mais antigos para os membros da família ainda em estado de trabalho. Comprei em 2019 e quase os últimos três anos Publique um uso pesado ... vou comprar de novo! Cabo de carregamento USB C de boa qualidade, de boa qualidade, que permite o carregamento rápido para os telefones Samsung M21, bem como M33 5G 24 W, buscando telefones. Comprimento do cabo de 2 metros útil para manter o telefone na mesa enquanto carrega o adaptador conectado à saída elétrica. Melhor valor. Custos de 2 m semelhantes custam 3x ou 4x no mercado de varejo. Este é o melhor preço, ótimo produto. Quer isso, pois minha bateria portátil possui slot USB e iPad e Kindle Reader possui portas USB-C. Se encaixa perfeitamente na minha necessidade. Cobra muito rápido., Bom, muito bom no geral</v>
      </c>
    </row>
    <row r="32">
      <c r="A32" s="9" t="s">
        <v>153</v>
      </c>
      <c r="B32" s="29" t="str">
        <f>VLOOKUP(dados!A32, reviews!A:G, 5, FALSE)</f>
        <v>Nice,good,Paisa vassol,Sturdy and long.,Good for the price and great quality.,Works as expected,Good,Good</v>
      </c>
      <c r="C32" s="29" t="str">
        <f>VLOOKUP(dados!A32, reviews!A:G, 6, FALSE)</f>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v>
      </c>
      <c r="D32" s="29" t="str">
        <f>IFERROR(__xludf.DUMMYFUNCTION("GOOGLETRANSLATE(B32, ""en"", ""pt-br"")"),"Bom, bom, Paisa Vassol, resistente e longo., Bom para o preço e a ótima qualidade., Funciona como esperado, bom, bom")</f>
        <v>Bom, bom, Paisa Vassol, resistente e longo., Bom para o preço e a ótima qualidade., Funciona como esperado, bom, bom</v>
      </c>
      <c r="E32" s="29" t="str">
        <f>IFERROR(__xludf.DUMMYFUNCTION("GOOGLETRANSLATE(C32, ""en"", ""pt-br"")"),"Comprimento suficiente, excelente qualidade de construção, boa alternativa aos cabos genéricos, cabo forte, as extremidades do cabo são quase como borracha. Ouro revestido. O cabo também é de alta espessura., Por que eu comprei isso? Eu tenho DVR Rack, pa"&amp;"ra DVR, que está muito acima do limite de alcance, portanto, preciso que um mouse seja conectado à porta USB do DVR, que está no rack acima, alterações de alcance ? Mouse sem fio não funcionou bem com meu DVR em particular, tinha muito atraso, portanto, e"&amp;"u tive que recorrer a um extensor de porta USB com amplo comprimento: o cabo muito robusto capaz de se conectar ao meu dvr e a conexão é estável. Amazon Basics é muito confiável., Este cabo é bom para qualquer dispositivo que precise de extensão sobre imp"&amp;"ressoras USB 2.0, como impressoras, TVs, consoles de jogos, teclados etc. A qualidade de construção é boa. O material do cabo é macio para que não quebre. Os conectores são banhados a ouro e não enferrujam. Mas lembre -se, este cabo não fornecerá velocida"&amp;"des USB 3.0, mesmo se você o conectar a uma porta USB 3.0., Para USB 2.0, qualquer USB 3.0 se usado será se comportar como USB 2.0TYPE: Adirection: Fêmea a Malefunção: Extensão do comprimento do USBBuilt: Média Not Pano/Fibra BraiderLength: Como mencionad"&amp;"o obras para todas as conexões: Sim [incluindo PC \ Printer \ Console Pen Drive etc], o produto é conforme descrição, bom como o esperado.")</f>
        <v>Comprimento suficiente, excelente qualidade de construção, boa alternativa aos cabos genéricos, cabo forte, as extremidades do cabo são quase como borracha. Ouro revestido. O cabo também é de alta espessura., Por que eu comprei isso? Eu tenho DVR Rack, para DVR, que está muito acima do limite de alcance, portanto, preciso que um mouse seja conectado à porta USB do DVR, que está no rack acima, alterações de alcance ? Mouse sem fio não funcionou bem com meu DVR em particular, tinha muito atraso, portanto, eu tive que recorrer a um extensor de porta USB com amplo comprimento: o cabo muito robusto capaz de se conectar ao meu dvr e a conexão é estável. Amazon Basics é muito confiável., Este cabo é bom para qualquer dispositivo que precise de extensão sobre impressoras USB 2.0, como impressoras, TVs, consoles de jogos, teclados etc. A qualidade de construção é boa. O material do cabo é macio para que não quebre. Os conectores são banhados a ouro e não enferrujam. Mas lembre -se, este cabo não fornecerá velocidades USB 3.0, mesmo se você o conectar a uma porta USB 3.0., Para USB 2.0, qualquer USB 3.0 se usado será se comportar como USB 2.0TYPE: Adirection: Fêmea a Malefunção: Extensão do comprimento do USBBuilt: Média Not Pano/Fibra BraiderLength: Como mencionado obras para todas as conexões: Sim [incluindo PC \ Printer \ Console Pen Drive etc], o produto é conforme descrição, bom como o esperado.</v>
      </c>
    </row>
    <row r="33">
      <c r="A33" s="9" t="s">
        <v>157</v>
      </c>
      <c r="B33" s="29" t="str">
        <f>VLOOKUP(dados!A33, reviews!A:G, 5, FALSE)</f>
        <v>Good product,Good for charging, bad for data transfer,Wait  to get mexmum discount.,The cable quality is best and charging pin is at right position to stand 👍🏻,So far super,Good,Good but issues with design,Maine ₹99 me liya hai offer me or ye worth hai.</v>
      </c>
      <c r="C33" s="29" t="str">
        <f>VLOOKUP(dados!A33, reviews!A:G, 6, FALSE)</f>
        <v>The cable build quality is good for normal charging its great cable but doesn’t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v>
      </c>
      <c r="D33" s="29" t="str">
        <f>IFERROR(__xludf.DUMMYFUNCTION("GOOGLETRANSLATE(B33, ""en"", ""pt-br"")"),"Bom produto, bom para carregar, ruim para transferência de dados, aguarde para obter desconto mexmum., A qualidade do cabo é a melhor e o pino de carregamento está na posição correta de ficar 👍🏻, até agora super, bom, bom, mas problemas com o design, Ma"&amp;"ine ₹ 99 Me liya hai me oferece ou você vale a pena.")</f>
        <v>Bom produto, bom para carregar, ruim para transferência de dados, aguarde para obter desconto mexmum., A qualidade do cabo é a melhor e o pino de carregamento está na posição correta de ficar 👍🏻, até agora super, bom, bom, mas problemas com o design, Maine ₹ 99 Me liya hai me oferece ou você vale a pena.</v>
      </c>
      <c r="E33" s="29" t="str">
        <f>IFERROR(__xludf.DUMMYFUNCTION("GOOGLETRANSLATE(C33, ""en"", ""pt-br"")"),"A qualidade da construção de cabos é boa para carregar normal seu ótimo cabo, mas não suporta carregamento rápido, funciona para carregar, mas outras aplicações são atingidas ou erradas. Exemplo meu teclado externo não funciona com ele!, A melhor qualidad"&amp;"e e o comprimento do fio foram Qute bom e durabilidade também bom., o cabo é incrível e não é um problema de carregamento até agora ... porque é um cabo trançado ... a chance de danos é muito menor ... no geral ... eu gosto do produto 🤞 🏻, usando este c"&amp;"abo dos últimos 40 dias para carregar LG G7THINQ e Samsung S21FE. Até agora, super, bom, parece durável, mas há um problema com o design de que o pino não é longo o suficiente / base do pino é muito grosso que eu não consegui inseri -lo na porta de carreg"&amp;"amento do meu telefone sem remover o estojo!, Sobre Toda a qualidade Bht Achhi Hai BS Jo Romada Material Use Hua Hai Wo Nylon nhi Hai algodão tipo ka hai lekin ₹ 99 Me 1,5m cabo k hisAab se bht achhi hai majboot hai ou cobrando bhi thik hai. Maine chapti "&amp;"wali comprar ki thi jo foto me dikh rhi hai lekin deLever ye gol wali hui jo ki jada melhor parecer deti hai. Agar ₹ 150 me milha para mt lena utne layak nhi hai.")</f>
        <v>A qualidade da construção de cabos é boa para carregar normal seu ótimo cabo, mas não suporta carregamento rápido, funciona para carregar, mas outras aplicações são atingidas ou erradas. Exemplo meu teclado externo não funciona com ele!, A melhor qualidade e o comprimento do fio foram Qute bom e durabilidade também bom., o cabo é incrível e não é um problema de carregamento até agora ... porque é um cabo trançado ... a chance de danos é muito menor ... no geral ... eu gosto do produto 🤞 🏻, usando este cabo dos últimos 40 dias para carregar LG G7THINQ e Samsung S21FE. Até agora, super, bom, parece durável, mas há um problema com o design de que o pino não é longo o suficiente / base do pino é muito grosso que eu não consegui inseri -lo na porta de carregamento do meu telefone sem remover o estojo!, Sobre Toda a qualidade Bht Achhi Hai BS Jo Romada Material Use Hua Hai Wo Nylon nhi Hai algodão tipo ka hai lekin ₹ 99 Me 1,5m cabo k hisAab se bht achhi hai majboot hai ou cobrando bhi thik hai. Maine chapti wali comprar ki thi jo foto me dikh rhi hai lekin deLever ye gol wali hui jo ki jada melhor parecer deti hai. Agar ₹ 150 me milha para mt lena utne layak nhi hai.</v>
      </c>
    </row>
    <row r="34">
      <c r="A34" s="9" t="s">
        <v>161</v>
      </c>
      <c r="B34" s="29" t="str">
        <f>VLOOKUP(dados!A34, reviews!A:G, 5, FALSE)</f>
        <v>Great Cable, Charging Speeds Could Be Better,Good,A good cable.,One of the best type c cable,Works as intended.,A good buy. The extra length helps a lot.,Good,Ok</v>
      </c>
      <c r="C34" s="29" t="str">
        <f>VLOOKUP(dados!A34, reviews!A:G, 6, FALSE)</f>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v>
      </c>
      <c r="D34" s="29" t="str">
        <f>IFERROR(__xludf.DUMMYFUNCTION("GOOGLETRANSLATE(B34, ""en"", ""pt-br"")"),"Ótimo cabo, as velocidades de carregamento podem ser melhores, boas, um bom cabo., Um dos melhores cabos do tipo C, funciona como pretendido., Uma boa compra. O comprimento extra ajuda muito., Bom, ok")</f>
        <v>Ótimo cabo, as velocidades de carregamento podem ser melhores, boas, um bom cabo., Um dos melhores cabos do tipo C, funciona como pretendido., Uma boa compra. O comprimento extra ajuda muito., Bom, ok</v>
      </c>
      <c r="E34" s="29" t="str">
        <f>IFERROR(__xludf.DUMMYFUNCTION("GOOGLETRANSLATE(C34, ""en"", ""pt-br"")"),"Não carregando tão rápido quanto eu esperava. Talvez algo errado com minha unidade. No entanto, o cabo em geral é realmente bastante decente. O material é ótimo, não se dobra de forma com muita facilidade e parece (e parece) o prêmio. O comprimento é defi"&amp;"nitivamente uma vantagem!, Bom, um cabo resistente para carregamento móvel., Faz 1 mês que estou usando este cabo de carregamento, funciona muito bem com o S20 FE 5G. Polegar para cima., O cabo trançado é resistente e bem construído. O cabo longo adiciona"&amp;" alcance extra e está livre de emaranhado., Uma boa compra. O comprimento extra ajuda muito., Bom produto, ok")</f>
        <v>Não carregando tão rápido quanto eu esperava. Talvez algo errado com minha unidade. No entanto, o cabo em geral é realmente bastante decente. O material é ótimo, não se dobra de forma com muita facilidade e parece (e parece) o prêmio. O comprimento é definitivamente uma vantagem!, Bom, um cabo resistente para carregamento móvel., Faz 1 mês que estou usando este cabo de carregamento, funciona muito bem com o S20 FE 5G. Polegar para cima., O cabo trançado é resistente e bem construído. O cabo longo adiciona alcance extra e está livre de emaranhado., Uma boa compra. O comprimento extra ajuda muito., Bom produto, ok</v>
      </c>
    </row>
    <row r="35">
      <c r="A35" s="9" t="s">
        <v>165</v>
      </c>
      <c r="B35" s="29" t="str">
        <f>VLOOKUP(dados!A35, reviews!A:G, 5, FALSE)</f>
        <v>Good,Genuine product,Not first charge this cabil,,Nice cable but known durability,Got a used type c to c cable and the xable was damaged,The product is Genuine and Good,Abdul kadir,Good</v>
      </c>
      <c r="C35" s="29" t="str">
        <f>VLOOKUP(dados!A35, reviews!A:G, 6, FALSE)</f>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v>
      </c>
      <c r="D35" s="29" t="str">
        <f>IFERROR(__xludf.DUMMYFUNCTION("GOOGLETRANSLATE(B35, ""en"", ""pt-br"")"),"Produto bom e genuíno, não carrega primeiro este cabil, um cabo agradável, mas conhecido durante a durabilidade, obteve um cabo usado do tipo C e o Xable foi danificado, o produto é genuíno e bom, Abdul Kadir, bom")</f>
        <v>Produto bom e genuíno, não carrega primeiro este cabil, um cabo agradável, mas conhecido durante a durabilidade, obteve um cabo usado do tipo C e o Xable foi danificado, o produto é genuíno e bom, Abdul Kadir, bom</v>
      </c>
      <c r="E35" s="29" t="str">
        <f>IFERROR(__xludf.DUMMYFUNCTION("GOOGLETRANSLATE(C35, ""en"", ""pt-br"")"),"Compre, recebido em boas condições e está funcionando corretamente, este preço não é bom e também curto, estou usando de 2 meses e carregando o telefone de bom sentido e é realmente uma relação custo / benefício. Eu recomendo este cabo. : //m.media-amazon"&amp;".com/images/w/webp_402378-t1/images/i/71cei3g+bll._sy88.jpg, o cabo é perfeito para dispositivos de carregamento 3A. Apoie o carregamento super rápido e pode ser usado em carregadores e adaptadores de veículos. Resistente e durável para uso diário, melhor"&amp;" cabo que já usei pela Amazon. Worth It. Caras apenas aceitam, boa qualidade. Mas o mais custa")</f>
        <v>Compre, recebido em boas condições e está funcionando corretamente, este preço não é bom e também curto, estou usando de 2 meses e carregando o telefone de bom sentido e é realmente uma relação custo / benefício. Eu recomendo este cabo. : //m.media-amazon.com/images/w/webp_402378-t1/images/i/71cei3g+bll._sy88.jpg, o cabo é perfeito para dispositivos de carregamento 3A. Apoie o carregamento super rápido e pode ser usado em carregadores e adaptadores de veículos. Resistente e durável para uso diário, melhor cabo que já usei pela Amazon. Worth It. Caras apenas aceitam, boa qualidade. Mas o mais custa</v>
      </c>
    </row>
    <row r="36">
      <c r="A36" s="9" t="s">
        <v>169</v>
      </c>
      <c r="B36" s="29" t="str">
        <f>VLOOKUP(dados!A36, reviews!A:G, 5, FALSE)</f>
        <v>The metal pin is losing it's strength,Sahi h bs 44 rupe ki and dilivery charge 40,Good Charging cable,Good sturdy micro usb cable with good charging speeds,Cheapest micro USB cable in the market,boat is better than this,I bought this for 199rs best charging cable for all mobiles,Good</v>
      </c>
      <c r="C36" s="29" t="str">
        <f>VLOOKUP(dados!A36, reviews!A:G, 6, FALSE)</f>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v>
      </c>
      <c r="D36" s="29" t="str">
        <f>IFERROR(__xludf.DUMMYFUNCTION("GOOGLETRANSLATE(B36, ""en"", ""pt-br"")"),"O pino de metal está perdendo a força, Sahi H BS 44 Rupe Ki e Dilivery Charge 40, bom cabo de carregamento, bom cabo robusto micro USB com boas velocidades de carregamento, cabo micro USB mais barato do mercado, o barco é melhor do que isso, comprei isso "&amp;"Para o melhor cabo de carregamento de 199Rs para todos os celulares, bom")</f>
        <v>O pino de metal está perdendo a força, Sahi H BS 44 Rupe Ki e Dilivery Charge 40, bom cabo de carregamento, bom cabo robusto micro USB com boas velocidades de carregamento, cabo micro USB mais barato do mercado, o barco é melhor do que isso, comprei isso Para o melhor cabo de carregamento de 199Rs para todos os celulares, bom</v>
      </c>
      <c r="E36" s="29" t="str">
        <f>IFERROR(__xludf.DUMMYFUNCTION("GOOGLETRANSLATE(C36, ""en"", ""pt-br"")"),"É um bom cabo de dados e eu recomendo a compra, o único problema foi que o pino de metal não é fixo firmemente, por isso ficou solto, caso contrário, nenhum problema deve comprar, https: //m.media-amazon.com/images/ I/615SGNWV1ML._SY88.JPG, Cabo de carreg"&amp;"amento, que é resistente, não é um cabo de carregamento rápido, mas os três pontos de venda fazem o trabalho., Bom cabo Micro USB com boas velocidades de carregamento. Por favor, não aumente os preços, bom produto, um cabo simplico microUSB, 😂, melhor pa"&amp;"ra este preço, bom")</f>
        <v>É um bom cabo de dados e eu recomendo a compra, o único problema foi que o pino de metal não é fixo firmemente, por isso ficou solto, caso contrário, nenhum problema deve comprar, https: //m.media-amazon.com/images/ I/615SGNWV1ML._SY88.JPG, Cabo de carregamento, que é resistente, não é um cabo de carregamento rápido, mas os três pontos de venda fazem o trabalho., Bom cabo Micro USB com boas velocidades de carregamento. Por favor, não aumente os preços, bom produto, um cabo simplico microUSB, 😂, melhor para este preço, bom</v>
      </c>
    </row>
    <row r="37">
      <c r="A37" s="9" t="s">
        <v>173</v>
      </c>
      <c r="B37" s="29" t="str">
        <f>VLOOKUP(dados!A37, reviews!A:G, 5, FALSE)</f>
        <v>It's pretty good,Average quality,very good and useful usb cable,Good USB cable. My experience was very good it is long lasting,Good,Nice product and useful,-,Sturdy but does not support 33w charging</v>
      </c>
      <c r="C37" s="29" t="str">
        <f>VLOOKUP(dados!A37, reviews!A:G, 6, FALSE)</f>
        <v>It's a good product.,Like,Very good item strong and useful USB cableValue for moneyThanks to amazon and producer,https://m.media-amazon.com/images/W/WEBP_402378-T1/images/I/51112ZRE-1L._SY88.jpg,Good,Nice product and useful product,-,Sturdy but does not support 33w charging</v>
      </c>
      <c r="D37" s="29" t="str">
        <f>IFERROR(__xludf.DUMMYFUNCTION("GOOGLETRANSLATE(B37, ""en"", ""pt-br"")"),"É muito bom, qualidade média, cabo USB muito bom e útil, bom cabo USB. Minha experiência foi muito boa, é duradouro, bom, bom produto e útil,-, resistente, mas não suporta carregamento de 33w")</f>
        <v>É muito bom, qualidade média, cabo USB muito bom e útil, bom cabo USB. Minha experiência foi muito boa, é duradouro, bom, bom produto e útil,-, resistente, mas não suporta carregamento de 33w</v>
      </c>
      <c r="E37" s="29" t="str">
        <f>IFERROR(__xludf.DUMMYFUNCTION("GOOGLETRANSLATE(C37, ""en"", ""pt-br"")"),"É um bom produto., Tipo, um item muito bom forte e útil USB CableValue for Moneythanks para a Amazon e produtor, https: //m.media-amazon.com/images/w/webp_402378-t1/images/i/51112zre-1l ._Sy88.jpg, bom, bom produto e produto útil,-, robusto, mas não supor"&amp;"ta carregamento de 33w")</f>
        <v>É um bom produto., Tipo, um item muito bom forte e útil USB CableValue for Moneythanks para a Amazon e produtor, https: //m.media-amazon.com/images/w/webp_402378-t1/images/i/51112zre-1l ._Sy88.jpg, bom, bom produto e produto útil,-, robusto, mas não suporta carregamento de 33w</v>
      </c>
    </row>
    <row r="38">
      <c r="A38" s="9" t="s">
        <v>177</v>
      </c>
      <c r="B38" s="29" t="str">
        <f>VLOOKUP(dados!A38, reviews!A:G, 5, FALSE)</f>
        <v>Good,Worth to buy,Great value for price,Good product,Nice product.,Reliable and worth it!,Much more sturdy and durable than Apple cable,Good</v>
      </c>
      <c r="C38" s="29" t="str">
        <f>VLOOKUP(dados!A38, reviews!A:G, 6, FALSE)</f>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v>
      </c>
      <c r="D38" s="29" t="str">
        <f>IFERROR(__xludf.DUMMYFUNCTION("GOOGLETRANSLATE(B38, ""en"", ""pt-br"")"),"Bom, vale a pena comprar, ótimo valor pelo preço, bom produto, bom produto., Confiável e vale a pena!, Muito mais resistente e durável que o cabo de maçã, bom")</f>
        <v>Bom, vale a pena comprar, ótimo valor pelo preço, bom produto, bom produto., Confiável e vale a pena!, Muito mais resistente e durável que o cabo de maçã, bom</v>
      </c>
      <c r="E38" s="29" t="str">
        <f>IFERROR(__xludf.DUMMYFUNCTION("GOOGLETRANSLATE(C38, ""en"", ""pt-br"")"),"Bom orçamento MFI certificado levemente cabo por esse preço. Atualize a revisão do uso após 3 a 5 meses., Melhor que o original em matéria de robustez e durabilidade. Melhor na perspectiva de cobrança. É muito melhor na durabilidade do fio da Apple origin"&amp;"al. Não pense mais que você pode comprar cegamente para comprar e é certificado MFI para que o dispositivo iOS não esteja danificado. Mas o pequeno ponto negativo é a qualidade da embalagem do produto., O carregador é um ótimo acessório de transporte enqu"&amp;"anto viaja sem arriscar o carregador original. O preço também é muito acessível e a velocidade de carregamento é muito boa com um bom adaptador ou banco de energia., Bom produto, um bom produto, Pode recomendar tudo, a única coisa que vejo como problema é"&amp;" o material, as roscas dos cabos retiram quando aderem a um materiais de velcro. Outro produto bom bom, carrega muito bem como original, agradável, confiável e vale a pena, o cabo enviado em caixa feita pela Apple parecia menos resistente e confiável depo"&amp;"is de usar uma ou duas vezes e sentiu que se quebraria mais rapidamente na porta de iluminação e teve Para encomendar o Amazon Basics Cable, que é melhor Miles e a Apple Mifi Certified,")</f>
        <v>Bom orçamento MFI certificado levemente cabo por esse preço. Atualize a revisão do uso após 3 a 5 meses., Melhor que o original em matéria de robustez e durabilidade. Melhor na perspectiva de cobrança. É muito melhor na durabilidade do fio da Apple original. Não pense mais que você pode comprar cegamente para comprar e é certificado MFI para que o dispositivo iOS não esteja danificado. Mas o pequeno ponto negativo é a qualidade da embalagem do produto., O carregador é um ótimo acessório de transporte enquanto viaja sem arriscar o carregador original. O preço também é muito acessível e a velocidade de carregamento é muito boa com um bom adaptador ou banco de energia., Bom produto, um bom produto, Pode recomendar tudo, a única coisa que vejo como problema é o material, as roscas dos cabos retiram quando aderem a um materiais de velcro. Outro produto bom bom, carrega muito bem como original, agradável, confiável e vale a pena, o cabo enviado em caixa feita pela Apple parecia menos resistente e confiável depois de usar uma ou duas vezes e sentiu que se quebraria mais rapidamente na porta de iluminação e teve Para encomendar o Amazon Basics Cable, que é melhor Miles e a Apple Mifi Certified,</v>
      </c>
    </row>
    <row r="39">
      <c r="A39" s="9" t="s">
        <v>181</v>
      </c>
      <c r="B39" s="29" t="str">
        <f>VLOOKUP(dados!A39, reviews!A:G, 5, FALSE)</f>
        <v>Worth it!,Good one,Robust and effective.,Good,Good,It's a good product under 199 rupees It's neatly packed and has good quality built,Nice product,Worth the price</v>
      </c>
      <c r="C39" s="29" t="str">
        <f>VLOOKUP(dados!A39, reviews!A:G, 6, FALSE)</f>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“c”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it’s is not 6 foot long so this the only point to think otherwise it is the best cable,Good,Everything is good including connectivity and stuff,Nice product..im using this for my car,This product is nice and worth the amount...I recommend it to anyone who are looking for this kind of cable</v>
      </c>
      <c r="D39" s="29" t="str">
        <f>IFERROR(__xludf.DUMMYFUNCTION("GOOGLETRANSLATE(B39, ""en"", ""pt-br"")"),"Vale a pena!, Bom, robusto e eficaz., Bom, bom, é um bom produto com menos de 199 rúpias, está bem embalado e possui boa qualidade construída, produto agradável, vale o preço")</f>
        <v>Vale a pena!, Bom, robusto e eficaz., Bom, bom, é um bom produto com menos de 199 rúpias, está bem embalado e possui boa qualidade construída, produto agradável, vale o preço</v>
      </c>
      <c r="E39" s="29" t="str">
        <f>IFERROR(__xludf.DUMMYFUNCTION("GOOGLETRANSLATE(C39, ""en"", ""pt-br"")"),"Faz o trabalho muito bem. Não há queixas sobre o poder de cobrança. A um preço de Rs. 199/-, vale cada dinheiro. Embora esse cabo seja um pouco mais curto que o original, mas o cabo OnePlus original está em torno de Rs.900/-. Portanto, há uma enorme difer"&amp;"ença de preço e faz o mesmo trabalho que o original., Útil para o carregamento do tipo ""C"". Mas não é adequado com todos os adaptadores ou pontos USB. Serve o propósito., Construído de forma resistente. Faz bem o seu trabalho. Carregou meu Samsung Galax"&amp;"y M51 mais rápido que o cabo original. Espero que permaneça o mesmo em avanço., Gostou da velocidade de carregamento não gostou do comprimento. Nos iPads, isso é incrível, mas não tem 1,80m de comprimento, então este é o único ponto a pensar que de outra "&amp;"forma é o melhor cabo, bom, tudo é bom, incluindo conectividade e outras coisas, bom produto ... no uso disso para o meu carro, este produto é bom e vale a pena ... eu recomendo para quem procura esse tipo de cabo")</f>
        <v>Faz o trabalho muito bem. Não há queixas sobre o poder de cobrança. A um preço de Rs. 199/-, vale cada dinheiro. Embora esse cabo seja um pouco mais curto que o original, mas o cabo OnePlus original está em torno de Rs.900/-. Portanto, há uma enorme diferença de preço e faz o mesmo trabalho que o original., Útil para o carregamento do tipo "C". Mas não é adequado com todos os adaptadores ou pontos USB. Serve o propósito., Construído de forma resistente. Faz bem o seu trabalho. Carregou meu Samsung Galaxy M51 mais rápido que o cabo original. Espero que permaneça o mesmo em avanço., Gostou da velocidade de carregamento não gostou do comprimento. Nos iPads, isso é incrível, mas não tem 1,80m de comprimento, então este é o único ponto a pensar que de outra forma é o melhor cabo, bom, tudo é bom, incluindo conectividade e outras coisas, bom produto ... no uso disso para o meu carro, este produto é bom e vale a pena ... eu recomendo para quem procura esse tipo de cabo</v>
      </c>
    </row>
    <row r="40">
      <c r="A40" s="9" t="s">
        <v>185</v>
      </c>
      <c r="B40" s="29" t="str">
        <f>VLOOKUP(dados!A40, reviews!A:G, 5, FALSE)</f>
        <v>Decent product. Value for money.,Value for money,Improvements Needed,Everything thing good except the installation experience,Overall taking all aspects TV is good within the price point,Tv installation services,One among the good TVs in the market.,Picture</v>
      </c>
      <c r="C40" s="29" t="str">
        <f>VLOOKUP(dados!A40, reviews!A:G, 6, FALSE)</f>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It’s like you are hungry and food is in front of you but you can’t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didn’t arrive at very first day that was scheduled, even after rescheduling he didn’t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didn’t got the replacement for the product and it’s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 for picture quality, 3⭐ for both sound and remote quality,Good quality picture but it hangs on home screen</v>
      </c>
      <c r="D40" s="29" t="str">
        <f>IFERROR(__xludf.DUMMYFUNCTION("GOOGLETRANSLATE(B40, ""en"", ""pt-br"")"),"Produto decente. Valor pelo dinheiro., Recurso pelo dinheiro, melhorias necessárias, tudo de bom, exceto a experiência de instalação, em geral, tomando todos os aspectos que a TV é boa dentro do preço, os serviços de instalação da TV, um entre as boas TVs"&amp;" do mercado., Imagem")</f>
        <v>Produto decente. Valor pelo dinheiro., Recurso pelo dinheiro, melhorias necessárias, tudo de bom, exceto a experiência de instalação, em geral, tomando todos os aspectos que a TV é boa dentro do preço, os serviços de instalação da TV, um entre as boas TVs do mercado., Imagem</v>
      </c>
      <c r="E40" s="29" t="str">
        <f>IFERROR(__xludf.DUMMYFUNCTION("GOOGLETRANSLATE(C40, ""en"", ""pt-br"")"),"Estou postando isso depois de algumas semanas usando o produto. A instalação foi simples e a instalação assistida pela Amazon foi suave, oportuna e sem complicações. Picture: A qualidade da imagem não é ótima quando comparada com a suavidade de uma Sony, "&amp;"LG e Samsung com esse tipo de especificação. Os filmes e especialmente a experiência de série de TV de alta resolução foram um pouco diluídos como na maioria das vezes, a produção, enquanto em alta resolução, não pareceria uma qualidade de filme com a qua"&amp;"l estamos acostumados a assistir como Sony, Samsung LG etc. No entanto, com o tempo, você se acostuma e apenas percebe a diferença quando vê o mesmo filme na melhor TV de outra pessoa. Você não precisaria de suporte adicional para aprimorar o volume como "&amp;"tal.Remote: elegante, sensível e fácil de usar. É exatamente como o Amazon's Remote.OS: o mesmo que qualquer TV Android inteligente. Funciona sem problemas sem muitos atrasos ou soluços. A troca de aplicativos de um para outro leva alguns segundos a mais "&amp;"que a Sony, mas, a menos que você tenha acostumado com essas performances, parece muito bom. Gostaria de alta resolução desde o início. É um ótimo valor para o produto, sem dúvida. Esse preço não enfrentou nenhum atraso na interface do usuário e navegando"&amp;" em outros aplicativos. Somente negativo será o áudio, definitivamente precisará de uma barra de som se você for um observador de filmes frequentes. Valor geral por dinheiro que você gasta. Mas o processo de instalação é horrível, a Amazon alegando que um"&amp;" profissional treinado visitará para a instalação, mas nem é treinado nem profissionais, basta ler os manuais de instalação e instalar o suporte de parede, que levou 4 horas para eles comprarem o montamento da parede após cobrar dinheiro. Nenhuma demonstr"&amp;"ação dada na TV, pois eles não têm idéia do produto, essas coisas que fazem para pensar duas ou três vezes para comprar uma TV on -line. A tela parece incrível, mas o problema é com o processador, acredito. Se o conteúdo 4K estiver sendo transmitido no di"&amp;"spositivo, podemos observar os pisadores de tela verde (não com tanta frequência, mas o problema existe), mesmo o controle remoto não é bom, pois é necessário pelo menos 2 segundos para reagir para a ação do usuário. é ruim porque eu faço jogos em 4K usan"&amp;"do o PS5 e nunca encontrei problemas com a tela., Se você comprar TV em uma pequena loja da cidade, ela será entregue e instalada imediatamente em algumas horas. Quando você deseja comprar uma TV na Amazon, precisa esperar que ela seja entregue por alguns"&amp;" dias e é compreensível. O problema é com a instalação, eles levam tanto tempo para instalar que você se arrepende de comprar o produto. É como se você estivesse com fome e a comida estivesse na sua frente, mas você não pode comer. Então eu pedi minha TV "&amp;"na segunda -feira, foi entregue na sexta -feira e será instalada na segunda -feira por causa do fim de semana, onde não há conceito de fim de semana em pequenas cidades. Se tivéssemos os detalhes do técnico, poderíamos alcançá -lo, mas isso também será co"&amp;"mpartilhado 4 horas antes. Os jogos pesados, como jogos e uso contínuo em alguma loja, serão desafiadores, eu acho., Esta TV fornece bons resultados dentro do orçamento, definitivamente deve comprar se o orçamento for 30k, mas o ponto mais importante como"&amp;" mencionar é o serviço pós -venda e também a instalação parte.1) O cara da instalação não chegou ao primeiro dia que foi agendado, mesmo depois de remarcar que ele não veio para fins de instalação. Tão rigorosamente estar ciente desse ponto.2) A TV que re"&amp;"cebi em oferta com desconto de 3k no Card ICICI, mas, embora o produto saiu com defeito, ele tinha um pixel morto na tela que é muito ruim após o período.3) mesmo depois de A falha era do vendedor, pois era uma peça defeituosa, não recebi o substituto do "&amp;"produto e é totalmente injusto pela Amazon e pelo vendedor. O Got foi muito ruim, eu era o principal membro. O vendedor DawnTech Electronics Private Limited oferece um serviço muito ruim e se sente mal por que, nesses casos, a Amazon não o ajude. Obrigado"&amp;", equipe, também para serem adicionados serviços de instalação de TV com o produto enquanto entregam e unalvendo. Não há necessidade de outro sub-fornecedor para obter instalação e demonstração. Também a dependência do envolvimento de terceiros deve ser m"&amp;"enor. Qualidade do som não até minhas 3 vezes. Não é possível encontrar o verdadeiro efeito estéreo Dolby. Remoto não até a marca.4 ⭐ Para qualidade de imagem, 3⭐ para a qualidade do som e de qualidade remota, de boa qualidade, mas está na tela inicial")</f>
        <v>Estou postando isso depois de algumas semanas usando o produto. A instalação foi simples e a instalação assistida pela Amazon foi suave, oportuna e sem complicações. Picture: A qualidade da imagem não é ótima quando comparada com a suavidade de uma Sony, LG e Samsung com esse tipo de especificação. Os filmes e especialmente a experiência de série de TV de alta resolução foram um pouco diluídos como na maioria das vezes, a produção, enquanto em alta resolução, não pareceria uma qualidade de filme com a qual estamos acostumados a assistir como Sony, Samsung LG etc. No entanto, com o tempo, você se acostuma e apenas percebe a diferença quando vê o mesmo filme na melhor TV de outra pessoa. Você não precisaria de suporte adicional para aprimorar o volume como tal.Remote: elegante, sensível e fácil de usar. É exatamente como o Amazon's Remote.OS: o mesmo que qualquer TV Android inteligente. Funciona sem problemas sem muitos atrasos ou soluços. A troca de aplicativos de um para outro leva alguns segundos a mais que a Sony, mas, a menos que você tenha acostumado com essas performances, parece muito bom. Gostaria de alta resolução desde o início. É um ótimo valor para o produto, sem dúvida. Esse preço não enfrentou nenhum atraso na interface do usuário e navegando em outros aplicativos. Somente negativo será o áudio, definitivamente precisará de uma barra de som se você for um observador de filmes frequentes. Valor geral por dinheiro que você gasta. Mas o processo de instalação é horrível, a Amazon alegando que um profissional treinado visitará para a instalação, mas nem é treinado nem profissionais, basta ler os manuais de instalação e instalar o suporte de parede, que levou 4 horas para eles comprarem o montamento da parede após cobrar dinheiro. Nenhuma demonstração dada na TV, pois eles não têm idéia do produto, essas coisas que fazem para pensar duas ou três vezes para comprar uma TV on -line. A tela parece incrível, mas o problema é com o processador, acredito. Se o conteúdo 4K estiver sendo transmitido no dispositivo, podemos observar os pisadores de tela verde (não com tanta frequência, mas o problema existe), mesmo o controle remoto não é bom, pois é necessário pelo menos 2 segundos para reagir para a ação do usuário. é ruim porque eu faço jogos em 4K usando o PS5 e nunca encontrei problemas com a tela., Se você comprar TV em uma pequena loja da cidade, ela será entregue e instalada imediatamente em algumas horas. Quando você deseja comprar uma TV na Amazon, precisa esperar que ela seja entregue por alguns dias e é compreensível. O problema é com a instalação, eles levam tanto tempo para instalar que você se arrepende de comprar o produto. É como se você estivesse com fome e a comida estivesse na sua frente, mas você não pode comer. Então eu pedi minha TV na segunda -feira, foi entregue na sexta -feira e será instalada na segunda -feira por causa do fim de semana, onde não há conceito de fim de semana em pequenas cidades. Se tivéssemos os detalhes do técnico, poderíamos alcançá -lo, mas isso também será compartilhado 4 horas antes. Os jogos pesados, como jogos e uso contínuo em alguma loja, serão desafiadores, eu acho., Esta TV fornece bons resultados dentro do orçamento, definitivamente deve comprar se o orçamento for 30k, mas o ponto mais importante como mencionar é o serviço pós -venda e também a instalação parte.1) O cara da instalação não chegou ao primeiro dia que foi agendado, mesmo depois de remarcar que ele não veio para fins de instalação. Tão rigorosamente estar ciente desse ponto.2) A TV que recebi em oferta com desconto de 3k no Card ICICI, mas, embora o produto saiu com defeito, ele tinha um pixel morto na tela que é muito ruim após o período.3) mesmo depois de A falha era do vendedor, pois era uma peça defeituosa, não recebi o substituto do produto e é totalmente injusto pela Amazon e pelo vendedor. O Got foi muito ruim, eu era o principal membro. O vendedor DawnTech Electronics Private Limited oferece um serviço muito ruim e se sente mal por que, nesses casos, a Amazon não o ajude. Obrigado, equipe, também para serem adicionados serviços de instalação de TV com o produto enquanto entregam e unalvendo. Não há necessidade de outro sub-fornecedor para obter instalação e demonstração. Também a dependência do envolvimento de terceiros deve ser menor. Qualidade do som não até minhas 3 vezes. Não é possível encontrar o verdadeiro efeito estéreo Dolby. Remoto não até a marca.4 ⭐ Para qualidade de imagem, 3⭐ para a qualidade do som e de qualidade remota, de boa qualidade, mas está na tela inicial</v>
      </c>
    </row>
    <row r="41">
      <c r="A41" s="9" t="s">
        <v>189</v>
      </c>
      <c r="B41" s="29" t="str">
        <f>VLOOKUP(dados!A41, reviews!A:G, 5, FALSE)</f>
        <v>Product is as expected,Cable has problem with samsung galaxy s8 ultra tablet,Quality and service is good.,It's perfect, definitely what i needed,Worth buying this cable,Just awesome 👌,fast charge, sturdy build quality, absolute value for money product, 2yrs warranty, just go for it,Good</v>
      </c>
      <c r="C41" s="29" t="str">
        <f>VLOOKUP(dados!A41, reviews!A:G, 6, FALSE)</f>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v>
      </c>
      <c r="D41" s="29" t="str">
        <f>IFERROR(__xludf.DUMMYFUNCTION("GOOGLETRANSLATE(B41, ""en"", ""pt-br"")"),"O produto é o esperado, o Cable tem problemas com o Samsung Galaxy S8 Ultra Tablet, a qualidade e o serviço são bons., É perfeito, definitivamente o que eu precisava, que vale a pena comprar este cabo, apenas incrível 👌, carga rápida, qualidade de constr"&amp;"ução robusta, valor absoluto pelo dinheiro Produto, garantia de 2 anos, basta ir em frente, bom")</f>
        <v>O produto é o esperado, o Cable tem problemas com o Samsung Galaxy S8 Ultra Tablet, a qualidade e o serviço são bons., É perfeito, definitivamente o que eu precisava, que vale a pena comprar este cabo, apenas incrível 👌, carga rápida, qualidade de construção robusta, valor absoluto pelo dinheiro Produto, garantia de 2 anos, basta ir em frente, bom</v>
      </c>
      <c r="E41" s="29" t="str">
        <f>IFERROR(__xludf.DUMMYFUNCTION("GOOGLETRANSLATE(C41, ""en"", ""pt-br"")"),"O mesmo tipo está disponível em meio prêmio em outra marca na Amazon, o cabo é bom e bem construído. Ele suporta todo tipo de protocolos de carregamento. Mas o Samsung Galaxy S8 Ultra parece ter alguns problemas. Ele volta ao carregamento mais lento após "&amp;"um segundo ou dois de carregamento ultra rápido quando conectado. Funciona bem com outros dispositivos bem., A qualidade do cabo YHE é boa. Meu cabo não está funcionando após 8 meses. A equipe de Duracell é muito receptiva. Eles substituíram o item imedia"&amp;"tamente. O serviço é bom. Mas apenas um problema é a espessura do alfinete deve ser melhorada., O produto é de minhas expectativas, vale o preço, travar é realmente bom, talvez eu não tenha a necessidade de comprar outro cabo novamente, que vale a pena co"&amp;"mprar este cabo, muito durável, É material muito difícil e muito durável também., Carregamento super rápido ... duradouro devido à robustez e forte qualidade de construção ... valor absoluto para o produto ... mais garantia de 2 anos ... algum tempo um po"&amp;"uco difícil de dobrar o cabo Devido à sua construção robusta, mas está bem olhando para sua vantagem ... basta seguir em frente .... um valor real pelo dinheiro., muito robusto, mas com preços mais altos")</f>
        <v>O mesmo tipo está disponível em meio prêmio em outra marca na Amazon, o cabo é bom e bem construído. Ele suporta todo tipo de protocolos de carregamento. Mas o Samsung Galaxy S8 Ultra parece ter alguns problemas. Ele volta ao carregamento mais lento após um segundo ou dois de carregamento ultra rápido quando conectado. Funciona bem com outros dispositivos bem., A qualidade do cabo YHE é boa. Meu cabo não está funcionando após 8 meses. A equipe de Duracell é muito receptiva. Eles substituíram o item imediatamente. O serviço é bom. Mas apenas um problema é a espessura do alfinete deve ser melhorada., O produto é de minhas expectativas, vale o preço, travar é realmente bom, talvez eu não tenha a necessidade de comprar outro cabo novamente, que vale a pena comprar este cabo, muito durável, É material muito difícil e muito durável também., Carregamento super rápido ... duradouro devido à robustez e forte qualidade de construção ... valor absoluto para o produto ... mais garantia de 2 anos ... algum tempo um pouco difícil de dobrar o cabo Devido à sua construção robusta, mas está bem olhando para sua vantagem ... basta seguir em frente .... um valor real pelo dinheiro., muito robusto, mas com preços mais altos</v>
      </c>
    </row>
    <row r="42">
      <c r="A42" s="9" t="s">
        <v>193</v>
      </c>
      <c r="B42" s="29" t="str">
        <f>VLOOKUP(dados!A42, reviews!A:G, 5, FALSE)</f>
        <v>Functionality as described,Working,Great USB in budget,Good,Good,It just works,Works with my Casio ct-x700 well,Still working after 3 months</v>
      </c>
      <c r="C42" s="29" t="str">
        <f>VLOOKUP(dados!A42, reviews!A:G, 6, FALSE)</f>
        <v>Using it and satisfactory.,Working good also not so expensive,Using this for an audio transition from Yamaha mgxu20 sound mixer to the laptop for live purpose excellent quality.,Bought it before one and a half month.... Works well.. Satisfied...🙂,Good quality, and cheap price,Great for the price works with my usb mic fantastically well. Just I find the usb b side is a bit loose when compared to my original OEM cables.. I have ordered several pairs but all are same. At least for my mic. But it’s not too loose to be called unusable,Works with my Casio ct-x700 well,</v>
      </c>
      <c r="D42" s="29" t="str">
        <f>IFERROR(__xludf.DUMMYFUNCTION("GOOGLETRANSLATE(B42, ""en"", ""pt-br"")"),"Funcionalidade como descrito, funcionando, ótimo USB em orçamento, bom, bom, apenas funciona, funciona com o meu bem o Casio CT-X700, ainda trabalhando após 3 meses")</f>
        <v>Funcionalidade como descrito, funcionando, ótimo USB em orçamento, bom, bom, apenas funciona, funciona com o meu bem o Casio CT-X700, ainda trabalhando após 3 meses</v>
      </c>
      <c r="E42" s="29" t="str">
        <f>IFERROR(__xludf.DUMMYFUNCTION("GOOGLETRANSLATE(C42, ""en"", ""pt-br"")"),"Usando -o e satisfatório., Trabalhando bem também não é tão caro, usando isso para uma transição de áudio do mixer de som Yamaha Mgxu20 para o laptop para obter uma qualidade excelente para propósito ao vivo. Comprei antes de um mês e meio .... funciona b"&amp;"em .. Satisfeito ... 🙂, boa qualidade e preço barato, ótimo para o preço funciona com meu microfone USB de maneira fantástica. Só acho que o lado USB B está um pouco solto quando comparado aos meus cabos OEM originais. Eu pedi vários pares, mas todos são"&amp;" iguais. Pelo menos para o meu microfone. Mas não está muito solto para ser chamado de inutilização, funciona com meu bem Casio CT-X700,")</f>
        <v>Usando -o e satisfatório., Trabalhando bem também não é tão caro, usando isso para uma transição de áudio do mixer de som Yamaha Mgxu20 para o laptop para obter uma qualidade excelente para propósito ao vivo. Comprei antes de um mês e meio .... funciona bem .. Satisfeito ... 🙂, boa qualidade e preço barato, ótimo para o preço funciona com meu microfone USB de maneira fantástica. Só acho que o lado USB B está um pouco solto quando comparado aos meus cabos OEM originais. Eu pedi vários pares, mas todos são iguais. Pelo menos para o meu microfone. Mas não está muito solto para ser chamado de inutilização, funciona com meu bem Casio CT-X700,</v>
      </c>
    </row>
    <row r="43">
      <c r="A43" s="9" t="s">
        <v>197</v>
      </c>
      <c r="B43" s="29" t="str">
        <f>VLOOKUP(dados!A43, reviews!A:G, 5, FALSE)</f>
        <v>DETAILED REVIEW after 3 WEEKS of Usage !!!,Priceworthy.,It's a good product,Good,Vivid picture quality is stunning,SUPER DEAL,Value for money,Very nice</v>
      </c>
      <c r="C43" s="29" t="str">
        <f>VLOOKUP(dados!A43, reviews!A:G, 6, FALSE)</f>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 If you want to get quick overview of the device, then read below else scroll down for Detailed Review ●●#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⭐⭐⭐⭐⭐-----------------------The processor in this Smart TV is powerful enough to play 4K 10bit HEVC videos right out of the box. VLC or MX player can be installed for enhanced media support.Picture Quality ⭐⭐⭐⭐⭐--------------------------Many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⭐⭐⭐⭐-----------------------------Minimalism is great. But minimalism with less functionality is not so great. Addition ofMute,TV Settings and Video input selection buttons would 've made the remote more functional.App support ⭐⭐⭐⭐⭐(Update)-----------------------When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🙁,Build quality good.sound and bass excellent.,Product is very good. Sound quality is crisp. Worth buying. I brought it 2 years back. Still working fine,Good quality</v>
      </c>
      <c r="D43" s="29" t="str">
        <f>IFERROR(__xludf.DUMMYFUNCTION("GOOGLETRANSLATE(B43, ""en"", ""pt-br"")"),"Revisão detalhada após 3 semanas de uso !!!, digno de preço., É um bom produto, boa e vívida qualidade de imagem é impressionante, super negócio, valor ao dinheiro, muito bom")</f>
        <v>Revisão detalhada após 3 semanas de uso !!!, digno de preço., É um bom produto, boa e vívida qualidade de imagem é impressionante, super negócio, valor ao dinheiro, muito bom</v>
      </c>
      <c r="E43" s="29" t="str">
        <f>IFERROR(__xludf.DUMMYFUNCTION("GOOGLETRANSLATE(C43, ""en"", ""pt-br"")"),"NOTA:@ Se você selecionar a instalação da TV autorizada por marca, não une a TV até que o representante do MI chegue. Em seguida, basta gravar o vídeo do Unboxing sozinho, para evitar qualquer aborrecimento, caso seja necessária. Precisa comprar o cabo Mi"&amp;" Ir e configurá -lo.* Ou então conecte diretamente a caixa de configuração via porta AV ou HDMI, para usá -la convencionalmente. anexado) Existem centenas de revisão nesta TV aqui e no YouTube, mas nenhuma explica completamente o potencial da TV e quais s"&amp;"ão suas falhas reais. Aqui está um fato rápido para o usuário reclamar sobre a relação menor de custo / benefícios, pessoal, se você comprar uma caixa de TV Android sozinha, que possui capacidade de processamento semelhante a essa TV, então isso custaria "&amp;"mais de 5k rúpias e aqui você recebe esta TV Com essa configuração do Android com vários outros recursos abaixo de 15k. Então, verifique uma vez, que opções você tem antes de reclamar. Agora, depois de usar esta TV por mais de 3 semanas, estou afirmando m"&amp;"inha experiência detalhada do usuário. É uma revisão detalhada e enorme, mas leia -a, se você quiser investir tanto valor. ●● Se você deseja obter uma visão geral rápida do dispositivo, leia abaixo mais role para baixo para obter uma revisão detalhada ●●#"&amp;" Em primeiro lugar, seu orçamento amigável &amp; Somente TV inteligente abaixo de 15k no mercado atual. Patchwall &amp; Android TV (eu prefiro principalmente a interface de TV Android)# Remote possui Bluetooth &amp; Voice Search com perfil elegante. O cabo IR para us"&amp;"ar a caixa superior definida com interface Android.# Amazon Prime &amp; Netflix não é pré -carregado, mas pode ser carregado lateral.# Exibição nativa é apenas HD, embora os vídeos 1080p e até 4K do YouTube funcionem bem (verifique as imagens anexadas).# Pode"&amp;" instalar e jogar toneladas de jogos de alta qualidade, como o RR3, etc (verifique as imagens em anexo).# Finalmente, o espelhamento do smartphone funciona bem na maioria das vezes. Revisão detalhada: ----&gt; Qualidade construída: -------- ----------# tem c"&amp;"ombinação de plástico e alumínio para o corpo principal. Não é ótimo, mas acima da média.# Top Top Stands parece um pouco frágil, mas é viável. Perfil, não o mais fino do mercado.# A colocação do alto -falante é inconveniente. Como eles são colocados na p"&amp;"arte inferior, então, quando você o mantém na parte superior da mesa, o som tende a amortecer e protelar. --------------- Simonicamente também.# O ângulo de visualização é bom em comparação com o preço. (Verifique as imagens anexadas)# O contraste está ac"&amp;"ima da média, o brilho é bom e as cores são bastante vívidas.# A qualidade da exibição também está acima da média, não muito boa. ---------# É muito elegante e compacto.# Possui apenas 7 botões e é fácil de operar.# Felizmente, ele possui botões de volume"&amp;", o que é útil. (Eu tenho algumas caixas de TV Android sem o botão de volume no controle remoto, por isso conheço a dor de usar o mouse para ajustar o volume: p)# posicionamento do botão de pesquisa de voz é impróprio. Está logo abaixo do botão liga / des"&amp;"liga e acabo pressionando muito o botão liga / desliga. ------# Tem interface dupla, ou seja, Patchwall e Android TV. Tem toneladas de conteúdo.# Muitos jogos podem ser instalados (até que você tenha a memória restante), incluindo jogos multiplayer.# A pe"&amp;"squisa de voz do Google é muito útil, se você não quiser usar o teclado.# A velocidade de processamento é rápida e eu não tenho '' t detectou qualquer atraso ainda. (Lags no streaming podem ser devidos à velocidade lenta da Internet, não devido ao hardwar"&amp;"e)# A conectividade Bluetooth e Wi-Fi funciona perfeitamente.CONS: ------# Saída do alto-falante embora a classificação de 20W, não está atualizada com a marca. Meus alto -falantes 16W JBL tem som melhor e mais alto.# A colocação do alto -falante é inconv"&amp;"eniente, como na posição superior da mesa, os alto -falantes enfrentam a mesa e o som amordaçado.# Memória interna é muito menor.# Sem Netflix e Amazon Prime pré -carregado, embora você possa Carregue -os laterais.# Miracast não suportado. Mesmo o espelha"&amp;"mento normal do smartphone às vezes. .Customer Care: --------------------# Em primeiro lugar, a instalação é uma piada. Minha instalação foi agendada 16 dias após a entrega do meu produto e a parte divertida é que há apenas 10 dias de substituição para es"&amp;"te produto: a empresa P# só substitui se o produto for aberto por seu representante, portanto não há como ponto de retorno que o quadro da janela .# MI possui críticas mistas para reparos e serviços. Embora eu ainda não tenha encontrado nenhum problema co"&amp;"m nenhuma TV do MI, tive problemas com outros produtos Mi e centro de serviço perto de mim é sempre muito útil.Verdict: ------------- Considerando todos os fatos, se Você está bem com a qualidade da exibição acima da média, deseja uma TV inteligente e, se"&amp;" tiver um orçamento apertado, então é isso a TV que certamente deve procurar. Confie em mim, você não terá nenhum acordo melhor do que isso menos para os próximos meses. Se você tem um orçamento mais alto, certamente explora marcas como Sony, Samsung, etc"&amp;". Esta não é uma TV inteligente perfeita, mas pelo preço dado e 2 anos de garantia, não é um acéfalo escolher isso, certamente vale o investimento., Esta televisão é definitivamente um equilíbrio perfeito entre preço e desempenho, especialmente durante a "&amp;"venda de flash a um preço excepcional de ₹ 12500.Permance ⭐⭐⭐⭐⭐ ----------------------- -O processador nesta TV inteligente é poderoso o suficiente para reproduzir vídeos de HEVC em 4K 10bits imediatamente. Player VLC ou MX pode ser instalado para suporte"&amp;" aprimorado à mídia. tela Overbright. Mas pode ser compensado ajustando as configurações da tela. Essas são minhas configurações preferidas.backlight: 1 a 20 ***************** 1 é brilhante o suficiente e pode observar o conteúdo sem ferir os olhos. Duran"&amp;"te o dia, ajuste -o conforme sua exigência, dependendo das suas condições de iluminação ambiente. Um máximo de 20 seria suficiente. A definição de luz de fundo para o mínimo melhora os níveis de preto, reduz o consumo de energia, aumenta a vida LED e redu"&amp;"z a tensão ocular especialmente durante a noite. *A configuração do brilho controla o nível de preto. A escuridão reduz os níveis de preto e, portanto, reduz o contraste. Uma configuração ideal para meus olhos com bons negros e não tão falta de detalhes.C"&amp;"ontrast: 40 a 45 ********************* ser definido entre 40 e 45. O aumento do contraste demais pode causar áreas de destaque em uma imagem, como céu brilhante ou objetos brilhantes, podem parecer superexpostos. Como a tela em si é muito brilhante, o aum"&amp;"ento do contraste faz com que os brancos pareçam brilhantes. Além disso, as cores são lavadas durante o aumento do contraste. 45 cores parecem mais naturais. Com 50 cores, parece um pouco forte. Mas ainda é uma preferência pessoal. Nas configurações acima"&amp;", os níveis e cores pretos estavam agradáveis ​​enquanto assistia a vídeos de demonstração de TVs OLED no YouTube a 1080p. Os seguintes vídeos do YouTube ajudam você a verificar a qualidade do nível preto da TV.lg 4K OLED ALENTE DO DEMOLG OLED ECLIPSE 2 D"&amp;"emolg HD Demo Art Nouveaufull HD e Videos 4K parecem nítidos nesta TV. Baixou um exemplo de vídeo 4K HEVC chamado 'Life Intouched' e também uma amostra 4K HEVC do filme Elysium. Ambos tocaram bem na TV com detalhes muito bons. Qualidade da tela ⭐⭐⭐⭐ -----"&amp;"----------------------- eu acho Painel VA, cuja qualidade fica bem entre os painéis TN e IPS. A tela é brilhante e, portanto, reflexiva. Isso pode ser um problema se a TV for colocada em uma sala com janelas voltadas para ela. Como todos os outros painéis"&amp;" de LCD, isso também tem uniformidade desigual de tela, mas isso só é notado em fundo cinza escuro liso. Enquanto assiste a filmes ou outro conteúdo, não é um problema. A não uniformidade da tela é uma questão comum, mesmo com TVs de ponta de grandes marc"&amp;"as como LG Samsung etc., não há sangramento na luz de fundo na unidade que recebi. Visualizar os ângulos são médios com alguma perda de contraste, mesmo em ângulos baixos, mas esse é um painel VA comum característica. Os painéis IPS com bons ângulos de vi"&amp;"sualização não podem ser esperados a esse preço. Todas as tecnologias de painel LCD têm seus pontos fortes e fracos. Os painéis IPS têm bons ângulos de visualização, mas têm níveis negros ruins. Os painéis VA se destacam em profundidade negra, apesar dos "&amp;"ângulos médios de visualização e esta TV tem níveis pretos muito impressionantes. ---- Bass é um pouco fraco (acho que o baixo melhorou após algumas atualizações. Portanto, dando 5 estrelas de 4.) É muito alto, mesmo em baixo volume. Midrange e Treble são"&amp;" muito bons. Mesmo minuto minuto de clique e march os sons de filmes podem ser ouvidos de maneira muito clara.Edit: Em uma revisão anterior, mencionei que essas configurações de EQ parecem boas. Mas não é.100Hz: 7300Hz: 81000Hz: 43500 Hz: 610000 Hz: 5a al"&amp;"to valor de 8 por 300 Hz realmente deixa o som enlameado e abafado. As seguintes configurações parecem muito melhores e aqui está o motivo.100 Hz: 8 - 8 - 8 - 8 - as seguintes configurações parecem muito melhores e aqui está o motivo. Configuração do Bass"&amp;"Frequency para vocais masculinos e instrumentos do Bass Deep Bass, como bumbo, toms, armadilha etc.300 Hz: 4 - Low MidRangeenHances Bass e profundidade dos vocais masculinos. Aumentar 300Hz demais torna os sons enlameados e abafados, reduzindo a clareza d"&amp;"e sons de alta frequência1000 Hz: 3 - MidrangeMarts um tom metálico. Aumentar faz com que pareça tipno e desagradável. Um valor de 5 aumenta a qualidade vocal. Aumentar demais torna os vocais severos. Aprimora os sons de tilintar de instrumentos metálicos"&amp;". A orelha humana é sensível às frequências de médio porte e superior aqui são 1000 e 3500 Hz. Definir esses valores muito alto pode causar fadiga auditiva. Mesmo o aumento de 300Hz é perturbador. A performance de som de excesso de baixo nem sequer é espe"&amp;"rada de uma televisão nesse orçamento. Mas considerando sua frequência média, agudos claros e volume, ele merece 4 estrelas.Remote Control ⭐⭐⭐⭐ -------------------------------- -Minimalismo é ótimo. Mas o minimalismo com menos funcionalidade não é tão gra"&amp;"nde. Adição de AMUTO, Configurações de TV e botões de seleção de entrada de vídeo tornariam o controle remoto mais funcional.App Support ⭐⭐⭐⭐⭐ (Update) ----------------------- -Quando a TV foi lançada, não havia apoio para a Netflix e o Amazon Prime. Mas "&amp;"agora com a atualização da torta, ele suporta o Netflix e o Amazon Prime. Agora a TV merece 5 estrelas para suporte a aplicativos.Pros e Contras --------------------------- Prós: 1. Processador poderoso para reprodução de mídia 4K.2. Instalação do aplicat"&amp;"ivo via USB3. Construído em Chromecast4. Bluetooth Remote5. Voice CommandCons: (Update) Anteriormente, os principais problemas com a TV foram a falta de função automática e a opção de espera. Mas na atualização mais recente ambos os problemas são resolvid"&amp;"os. Agora, quando a TV estiver ativada automaticamente para a entrada anterior Sourceto Ativá -lo, acesse as instalações&gt; inable 'Atable' Stay na fonte anterior 'Opção.Screen Off O recurso também é adicionado na nova atualização. O botão liga / desliga po"&amp;"r muito tempo mostrará a opção de tela. A única desvantagem deixada na TV foi a falta de milagast. Mas em uma última atualização, Build PI.4316 Miracast está incluído e agora é perfeito. Para resumir: -------------------- em geral, considerando a qualidad"&amp;"e da imagem, hardware poderoso e O preço, a TV definitivamente merece 5 estrelas desprovidas de sua qualidade média de áudio e a tela brilhante, porque não há outras TVs no mercado com esses recursos a esse preço. Além disso, a Xiaomi agora tem suporte de"&amp;" serviço muito forte em toda a Índia. Mas quando se trata de centros de serviço, é um beco sem saída. Estou muito satisfeito com a compra., É bom produto, bom, se você gosta de uma TV melhor no seu orçamento, recomendo que você seja uma qualidade de image"&amp;"m impressionante e DTS em torno é OSM, mas houve alguns problemas de atraso e o Miracast não é bom 🙁, construir qualidade de qualidade. Sol e graves excelentes., o produto é muito bom. A qualidade do som é nítida. Vale a pena comprar. Eu trouxe 2 anos de"&amp;" volta. Ainda funcionando bem, de boa qualidade")</f>
        <v>NOTA:@ Se você selecionar a instalação da TV autorizada por marca, não une a TV até que o representante do MI chegue. Em seguida, basta gravar o vídeo do Unboxing sozinho, para evitar qualquer aborrecimento, caso seja necessária. Precisa comprar o cabo Mi Ir e configurá -lo.* Ou então conecte diretamente a caixa de configuração via porta AV ou HDMI, para usá -la convencionalmente. anexado) Existem centenas de revisão nesta TV aqui e no YouTube, mas nenhuma explica completamente o potencial da TV e quais são suas falhas reais. Aqui está um fato rápido para o usuário reclamar sobre a relação menor de custo / benefícios, pessoal, se você comprar uma caixa de TV Android sozinha, que possui capacidade de processamento semelhante a essa TV, então isso custaria mais de 5k rúpias e aqui você recebe esta TV Com essa configuração do Android com vários outros recursos abaixo de 15k. Então, verifique uma vez, que opções você tem antes de reclamar. Agora, depois de usar esta TV por mais de 3 semanas, estou afirmando minha experiência detalhada do usuário. É uma revisão detalhada e enorme, mas leia -a, se você quiser investir tanto valor. ●● Se você deseja obter uma visão geral rápida do dispositivo, leia abaixo mais role para baixo para obter uma revisão detalhada ●●# Em primeiro lugar, seu orçamento amigável &amp; Somente TV inteligente abaixo de 15k no mercado atual. Patchwall &amp; Android TV (eu prefiro principalmente a interface de TV Android)# Remote possui Bluetooth &amp; Voice Search com perfil elegante. O cabo IR para usar a caixa superior definida com interface Android.# Amazon Prime &amp; Netflix não é pré -carregado, mas pode ser carregado lateral.# Exibição nativa é apenas HD, embora os vídeos 1080p e até 4K do YouTube funcionem bem (verifique as imagens anexadas).# Pode instalar e jogar toneladas de jogos de alta qualidade, como o RR3, etc (verifique as imagens em anexo).# Finalmente, o espelhamento do smartphone funciona bem na maioria das vezes. Revisão detalhada: ----&gt; Qualidade construída: -------- ----------# tem combinação de plástico e alumínio para o corpo principal. Não é ótimo, mas acima da média.# Top Top Stands parece um pouco frágil, mas é viável. Perfil, não o mais fino do mercado.# A colocação do alto -falante é inconveniente. Como eles são colocados na parte inferior, então, quando você o mantém na parte superior da mesa, o som tende a amortecer e protelar. --------------- Simonicamente também.# O ângulo de visualização é bom em comparação com o preço. (Verifique as imagens anexadas)# O contraste está acima da média, o brilho é bom e as cores são bastante vívidas.# A qualidade da exibição também está acima da média, não muito boa. ---------# É muito elegante e compacto.# Possui apenas 7 botões e é fácil de operar.# Felizmente, ele possui botões de volume, o que é útil. (Eu tenho algumas caixas de TV Android sem o botão de volume no controle remoto, por isso conheço a dor de usar o mouse para ajustar o volume: p)# posicionamento do botão de pesquisa de voz é impróprio. Está logo abaixo do botão liga / desliga e acabo pressionando muito o botão liga / desliga. ------# Tem interface dupla, ou seja, Patchwall e Android TV. Tem toneladas de conteúdo.# Muitos jogos podem ser instalados (até que você tenha a memória restante), incluindo jogos multiplayer.# A pesquisa de voz do Google é muito útil, se você não quiser usar o teclado.# A velocidade de processamento é rápida e eu não tenho '' t detectou qualquer atraso ainda. (Lags no streaming podem ser devidos à velocidade lenta da Internet, não devido ao hardware)# A conectividade Bluetooth e Wi-Fi funciona perfeitamente.CONS: ------# Saída do alto-falante embora a classificação de 20W, não está atualizada com a marca. Meus alto -falantes 16W JBL tem som melhor e mais alto.# A colocação do alto -falante é inconveniente, como na posição superior da mesa, os alto -falantes enfrentam a mesa e o som amordaçado.# Memória interna é muito menor.# Sem Netflix e Amazon Prime pré -carregado, embora você possa Carregue -os laterais.# Miracast não suportado. Mesmo o espelhamento normal do smartphone às vezes. .Customer Care: --------------------# Em primeiro lugar, a instalação é uma piada. Minha instalação foi agendada 16 dias após a entrega do meu produto e a parte divertida é que há apenas 10 dias de substituição para este produto: a empresa P# só substitui se o produto for aberto por seu representante, portanto não há como ponto de retorno que o quadro da janela .# MI possui críticas mistas para reparos e serviços. Embora eu ainda não tenha encontrado nenhum problema com nenhuma TV do MI, tive problemas com outros produtos Mi e centro de serviço perto de mim é sempre muito útil.Verdict: ------------- Considerando todos os fatos, se Você está bem com a qualidade da exibição acima da média, deseja uma TV inteligente e, se tiver um orçamento apertado, então é isso a TV que certamente deve procurar. Confie em mim, você não terá nenhum acordo melhor do que isso menos para os próximos meses. Se você tem um orçamento mais alto, certamente explora marcas como Sony, Samsung, etc. Esta não é uma TV inteligente perfeita, mas pelo preço dado e 2 anos de garantia, não é um acéfalo escolher isso, certamente vale o investimento., Esta televisão é definitivamente um equilíbrio perfeito entre preço e desempenho, especialmente durante a venda de flash a um preço excepcional de ₹ 12500.Permance ⭐⭐⭐⭐⭐ ----------------------- -O processador nesta TV inteligente é poderoso o suficiente para reproduzir vídeos de HEVC em 4K 10bits imediatamente. Player VLC ou MX pode ser instalado para suporte aprimorado à mídia. tela Overbright. Mas pode ser compensado ajustando as configurações da tela. Essas são minhas configurações preferidas.backlight: 1 a 20 ***************** 1 é brilhante o suficiente e pode observar o conteúdo sem ferir os olhos. Durante o dia, ajuste -o conforme sua exigência, dependendo das suas condições de iluminação ambiente. Um máximo de 20 seria suficiente. A definição de luz de fundo para o mínimo melhora os níveis de preto, reduz o consumo de energia, aumenta a vida LED e reduz a tensão ocular especialmente durante a noite. *A configuração do brilho controla o nível de preto. A escuridão reduz os níveis de preto e, portanto, reduz o contraste. Uma configuração ideal para meus olhos com bons negros e não tão falta de detalhes.Contrast: 40 a 45 ********************* ser definido entre 40 e 45. O aumento do contraste demais pode causar áreas de destaque em uma imagem, como céu brilhante ou objetos brilhantes, podem parecer superexpostos. Como a tela em si é muito brilhante, o aumento do contraste faz com que os brancos pareçam brilhantes. Além disso, as cores são lavadas durante o aumento do contraste. 45 cores parecem mais naturais. Com 50 cores, parece um pouco forte. Mas ainda é uma preferência pessoal. Nas configurações acima, os níveis e cores pretos estavam agradáveis ​​enquanto assistia a vídeos de demonstração de TVs OLED no YouTube a 1080p. Os seguintes vídeos do YouTube ajudam você a verificar a qualidade do nível preto da TV.lg 4K OLED ALENTE DO DEMOLG OLED ECLIPSE 2 Demolg HD Demo Art Nouveaufull HD e Videos 4K parecem nítidos nesta TV. Baixou um exemplo de vídeo 4K HEVC chamado 'Life Intouched' e também uma amostra 4K HEVC do filme Elysium. Ambos tocaram bem na TV com detalhes muito bons. Qualidade da tela ⭐⭐⭐⭐ ---------------------------- eu acho Painel VA, cuja qualidade fica bem entre os painéis TN e IPS. A tela é brilhante e, portanto, reflexiva. Isso pode ser um problema se a TV for colocada em uma sala com janelas voltadas para ela. Como todos os outros painéis de LCD, isso também tem uniformidade desigual de tela, mas isso só é notado em fundo cinza escuro liso. Enquanto assiste a filmes ou outro conteúdo, não é um problema. A não uniformidade da tela é uma questão comum, mesmo com TVs de ponta de grandes marcas como LG Samsung etc., não há sangramento na luz de fundo na unidade que recebi. Visualizar os ângulos são médios com alguma perda de contraste, mesmo em ângulos baixos, mas esse é um painel VA comum característica. Os painéis IPS com bons ângulos de visualização não podem ser esperados a esse preço. Todas as tecnologias de painel LCD têm seus pontos fortes e fracos. Os painéis IPS têm bons ângulos de visualização, mas têm níveis negros ruins. Os painéis VA se destacam em profundidade negra, apesar dos ângulos médios de visualização e esta TV tem níveis pretos muito impressionantes. ---- Bass é um pouco fraco (acho que o baixo melhorou após algumas atualizações. Portanto, dando 5 estrelas de 4.) É muito alto, mesmo em baixo volume. Midrange e Treble são muito bons. Mesmo minuto minuto de clique e march os sons de filmes podem ser ouvidos de maneira muito clara.Edit: Em uma revisão anterior, mencionei que essas configurações de EQ parecem boas. Mas não é.100Hz: 7300Hz: 81000Hz: 43500 Hz: 610000 Hz: 5a alto valor de 8 por 300 Hz realmente deixa o som enlameado e abafado. As seguintes configurações parecem muito melhores e aqui está o motivo.100 Hz: 8 - 8 - 8 - 8 - as seguintes configurações parecem muito melhores e aqui está o motivo. Configuração do BassFrequency para vocais masculinos e instrumentos do Bass Deep Bass, como bumbo, toms, armadilha etc.300 Hz: 4 - Low MidRangeenHances Bass e profundidade dos vocais masculinos. Aumentar 300Hz demais torna os sons enlameados e abafados, reduzindo a clareza de sons de alta frequência1000 Hz: 3 - MidrangeMarts um tom metálico. Aumentar faz com que pareça tipno e desagradável. Um valor de 5 aumenta a qualidade vocal. Aumentar demais torna os vocais severos. Aprimora os sons de tilintar de instrumentos metálicos. A orelha humana é sensível às frequências de médio porte e superior aqui são 1000 e 3500 Hz. Definir esses valores muito alto pode causar fadiga auditiva. Mesmo o aumento de 300Hz é perturbador. A performance de som de excesso de baixo nem sequer é esperada de uma televisão nesse orçamento. Mas considerando sua frequência média, agudos claros e volume, ele merece 4 estrelas.Remote Control ⭐⭐⭐⭐ -------------------------------- -Minimalismo é ótimo. Mas o minimalismo com menos funcionalidade não é tão grande. Adição de AMUTO, Configurações de TV e botões de seleção de entrada de vídeo tornariam o controle remoto mais funcional.App Support ⭐⭐⭐⭐⭐ (Update) ----------------------- -Quando a TV foi lançada, não havia apoio para a Netflix e o Amazon Prime. Mas agora com a atualização da torta, ele suporta o Netflix e o Amazon Prime. Agora a TV merece 5 estrelas para suporte a aplicativos.Pros e Contras --------------------------- Prós: 1. Processador poderoso para reprodução de mídia 4K.2. Instalação do aplicativo via USB3. Construído em Chromecast4. Bluetooth Remote5. Voice CommandCons: (Update) Anteriormente, os principais problemas com a TV foram a falta de função automática e a opção de espera. Mas na atualização mais recente ambos os problemas são resolvidos. Agora, quando a TV estiver ativada automaticamente para a entrada anterior Sourceto Ativá -lo, acesse as instalações&gt; inable 'Atable' Stay na fonte anterior 'Opção.Screen Off O recurso também é adicionado na nova atualização. O botão liga / desliga por muito tempo mostrará a opção de tela. A única desvantagem deixada na TV foi a falta de milagast. Mas em uma última atualização, Build PI.4316 Miracast está incluído e agora é perfeito. Para resumir: -------------------- em geral, considerando a qualidade da imagem, hardware poderoso e O preço, a TV definitivamente merece 5 estrelas desprovidas de sua qualidade média de áudio e a tela brilhante, porque não há outras TVs no mercado com esses recursos a esse preço. Além disso, a Xiaomi agora tem suporte de serviço muito forte em toda a Índia. Mas quando se trata de centros de serviço, é um beco sem saída. Estou muito satisfeito com a compra., É bom produto, bom, se você gosta de uma TV melhor no seu orçamento, recomendo que você seja uma qualidade de imagem impressionante e DTS em torno é OSM, mas houve alguns problemas de atraso e o Miracast não é bom 🙁, construir qualidade de qualidade. Sol e graves excelentes., o produto é muito bom. A qualidade do som é nítida. Vale a pena comprar. Eu trouxe 2 anos de volta. Ainda funcionando bem, de boa qualidade</v>
      </c>
    </row>
    <row r="44">
      <c r="A44" s="9" t="s">
        <v>201</v>
      </c>
      <c r="B44" s="29" t="str">
        <f>VLOOKUP(dados!A44, reviews!A:G, 5, FALSE)</f>
        <v>Satisfied,Charging is really fast,Value for money,Product review,Good quality,Good product,Good Product,As of now seems good</v>
      </c>
      <c r="C44" s="29" t="str">
        <f>VLOOKUP(dados!A44, reviews!A:G, 6, FALSE)</f>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v>
      </c>
      <c r="D44" s="29" t="str">
        <f>IFERROR(__xludf.DUMMYFUNCTION("GOOGLETRANSLATE(B44, ""en"", ""pt-br"")"),"Satisfeito, cobrar é muito rápido, valor ao dinheiro, revisão de produtos, boa qualidade, bom produto, bom produto, a partir de agora parece bom")</f>
        <v>Satisfeito, cobrar é muito rápido, valor ao dinheiro, revisão de produtos, boa qualidade, bom produto, bom produto, a partir de agora parece bom</v>
      </c>
      <c r="E44" s="29" t="str">
        <f>IFERROR(__xludf.DUMMYFUNCTION("GOOGLETRANSLATE(C44, ""en"", ""pt-br"")"),"Parece que o carregamento durável é bom que reclama, o carregamento é muito rápido, bom produto., Até agora, satisfeito com a qualidade., Este é um bom produto. A velocidade de carregamento é mais lenta que o cabo original do iPhone, de boa qualidade, rec"&amp;"omendaria https: //m.media-amazon.com/images/w/webp_402378-t1/images/i/81---f1zghl._sy88.jpg , O produto funcionou bem até a data e não estava tendo nenhum problema. A CABLE também é robusta o suficiente ... pediu substituição e a empresa está fazendo o m"&amp;"esmo ..., valor ao dinheiro")</f>
        <v>Parece que o carregamento durável é bom que reclama, o carregamento é muito rápido, bom produto., Até agora, satisfeito com a qualidade., Este é um bom produto. A velocidade de carregamento é mais lenta que o cabo original do iPhone, de boa qualidade, recomendaria https: //m.media-amazon.com/images/w/webp_402378-t1/images/i/81---f1zghl._sy88.jpg , O produto funcionou bem até a data e não estava tendo nenhum problema. A CABLE também é robusta o suficiente ... pediu substituição e a empresa está fazendo o mesmo ..., valor ao dinheiro</v>
      </c>
    </row>
    <row r="45">
      <c r="A45" s="9" t="s">
        <v>205</v>
      </c>
      <c r="B45" s="29" t="str">
        <f>VLOOKUP(dados!A45, reviews!A:G, 5, FALSE)</f>
        <v>Dual Bandwidth,It's good,Simple and effective,Easy plug and play,Only 200mbps support,Great Device for Old Laptops,Good device but be careful for a defective one.,Excellent Speeds and Coverage!</v>
      </c>
      <c r="C45" s="29" t="str">
        <f>VLOOKUP(dados!A45, reviews!A:G, 6, FALSE)</f>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v>
      </c>
      <c r="D45" s="29" t="str">
        <f>IFERROR(__xludf.DUMMYFUNCTION("GOOGLETRANSLATE(B45, ""en"", ""pt-br"")"),"Largura de banda dupla, é boa, simples e eficaz, plug and play, apenas suporte de 200 Mbps, ótimo dispositivo para laptops antigos, bom dispositivo, mas tenha cuidado com um defeituoso., Excelentes velocidades e cobertura!")</f>
        <v>Largura de banda dupla, é boa, simples e eficaz, plug and play, apenas suporte de 200 Mbps, ótimo dispositivo para laptops antigos, bom dispositivo, mas tenha cuidado com um defeituoso., Excelentes velocidades e cobertura!</v>
      </c>
      <c r="E45" s="29" t="str">
        <f>IFERROR(__xludf.DUMMYFUNCTION("GOOGLETRANSLATE(C45, ""en"", ""pt-br"")"),"Fácil de usar, é bom e útil, usava isso há algum tempo. Suporta bandas duplas. A cobertura do sinal ainda é como outros. Bom uso. Fácil de instalar e usar, excelente produto revivido pelo laptop antigo., Recebi este produto porque, por algum motivo, o Wi "&amp;"-Fi interno do meu laptop e o Bluetooth pararam de funcionar. Agora, existem opções para comprar dois dispositivos separados, mas isso resolve meu propósito e não se destaca. 2,4 GHz., É um bom dispositivo, boa força, plugue e reprodução, para que não sej"&amp;"a necessária instalação, mas conseguiu um dispositivo defeituoso primeiro, o mau funcionamento imediatamente ao conectar, substituí -lo por um novo e está funcionando bem., Usando -o para um casal de meses agora. Este provou ser o adaptador muito útil que"&amp;" eu precisava quando movi meu PC de Wired para Wireless em uma sala diferente. Obtendo velocidades de 148-149mbps nas minhas velocidades de assinatura de 150 Mbps.")</f>
        <v>Fácil de usar, é bom e útil, usava isso há algum tempo. Suporta bandas duplas. A cobertura do sinal ainda é como outros. Bom uso. Fácil de instalar e usar, excelente produto revivido pelo laptop antigo., Recebi este produto porque, por algum motivo, o Wi -Fi interno do meu laptop e o Bluetooth pararam de funcionar. Agora, existem opções para comprar dois dispositivos separados, mas isso resolve meu propósito e não se destaca. 2,4 GHz., É um bom dispositivo, boa força, plugue e reprodução, para que não seja necessária instalação, mas conseguiu um dispositivo defeituoso primeiro, o mau funcionamento imediatamente ao conectar, substituí -lo por um novo e está funcionando bem., Usando -o para um casal de meses agora. Este provou ser o adaptador muito útil que eu precisava quando movi meu PC de Wired para Wireless em uma sala diferente. Obtendo velocidades de 148-149mbps nas minhas velocidades de assinatura de 150 Mbps.</v>
      </c>
    </row>
    <row r="46">
      <c r="A46" s="9" t="s">
        <v>209</v>
      </c>
      <c r="B46" s="29" t="str">
        <f>VLOOKUP(dados!A46, reviews!A:G, 5, FALSE)</f>
        <v>Worked on iPhone 7 and didn’t work on XR,Good one,Dull Physical Looks,Just Buy it,Go for it,About the product,Get charging cable at the price,Working well.</v>
      </c>
      <c r="C46" s="29" t="str">
        <f>VLOOKUP(dados!A46, reviews!A:G, 6, FALSE)</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D46" s="29" t="str">
        <f>IFERROR(__xludf.DUMMYFUNCTION("GOOGLETRANSLATE(B46, ""en"", ""pt-br"")"),"Trabalhou no iPhone 7 e não trabalhou no XR, bom, looks físicos sem graça, basta comprá -lo, seguir em frente, sobre o produto, obter o cabo de carregamento pelo preço, funcionando bem.")</f>
        <v>Trabalhou no iPhone 7 e não trabalhou no XR, bom, looks físicos sem graça, basta comprá -lo, seguir em frente, sobre o produto, obter o cabo de carregamento pelo preço, funcionando bem.</v>
      </c>
      <c r="E46" s="29" t="str">
        <f>IFERROR(__xludf.DUMMYFUNCTION("GOOGLETRANSLATE(C46, ""en"", ""pt-br"")"),"Trabalhei no iPhone 7 e não trabalhou no iPhone XR, https: //m.media-amazon.com/images/i/71qffalv9zl._sy88.jpg.look-wise, eu não gostei. Ainda assim, eu o uso para o meu trabalho., O produto é muito bom e está carregando rapidamente. Parece o último longo"&amp;"., A robustez dependerá da maneira de seu uso. Mas sua velocidade de carregamento é ótima. Produto muito bom para o grupo de renda média., É ótimo para carregar dispositivos com vários tipos de portas. Mas funciona melhor ao carregar um dispositivo de cad"&amp;"a vez., Bom item.")</f>
        <v>Trabalhei no iPhone 7 e não trabalhou no iPhone XR, https: //m.media-amazon.com/images/i/71qffalv9zl._sy88.jpg.look-wise, eu não gostei. Ainda assim, eu o uso para o meu trabalho., O produto é muito bom e está carregando rapidamente. Parece o último longo., A robustez dependerá da maneira de seu uso. Mas sua velocidade de carregamento é ótima. Produto muito bom para o grupo de renda média., É ótimo para carregar dispositivos com vários tipos de portas. Mas funciona melhor ao carregar um dispositivo de cada vez., Bom item.</v>
      </c>
    </row>
    <row r="47">
      <c r="A47" s="9" t="s">
        <v>213</v>
      </c>
      <c r="B47" s="29" t="str">
        <f>VLOOKUP(dados!A47, reviews!A:G, 5, FALSE)</f>
        <v>Its slow in charging,Ok product,Looks good, but charges slow,very slow charing.,Poor quality, iPhone part will last for two months only, other two are ok,Charger,Product ok,Slow charging</v>
      </c>
      <c r="C47" s="29" t="str">
        <f>VLOOKUP(dados!A47, reviews!A:G, 6, FALSE)</f>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v>
      </c>
      <c r="D47" s="29" t="str">
        <f>IFERROR(__xludf.DUMMYFUNCTION("GOOGLETRANSLATE(B47, ""en"", ""pt-br"")"),"É lento no carregamento, o OK Product, parece bom, mas cargas lentas, muito lentas.")</f>
        <v>É lento no carregamento, o OK Product, parece bom, mas cargas lentas, muito lentas.</v>
      </c>
      <c r="E47" s="29" t="str">
        <f>IFERROR(__xludf.DUMMYFUNCTION("GOOGLETRANSLATE(C47, ""en"", ""pt-br"")"),"O poder de carregamento é muito menor. Leva horas para carregar até um único telefone., OK Tipo de produto. Não é muito resistente, embora esteja escrito de carregamento rápido. No entanto, ele cobra bastante lento em comparação com os carregadores origin"&amp;"ais, mesmo quando um celular é cobrado ao mesmo tempo. Ao usar este cabo para o mesmo soquete e carregador, mostrando 10 horas, carregador de iPhone duram apenas dois meses, carregando não rápido e lento carregamento4500amh bateria18 watt carregador 4 kha"&amp;"nt carga completa, velocidade de carregamento lento")</f>
        <v>O poder de carregamento é muito menor. Leva horas para carregar até um único telefone., OK Tipo de produto. Não é muito resistente, embora esteja escrito de carregamento rápido. No entanto, ele cobra bastante lento em comparação com os carregadores originais, mesmo quando um celular é cobrado ao mesmo tempo. Ao usar este cabo para o mesmo soquete e carregador, mostrando 10 horas, carregador de iPhone duram apenas dois meses, carregando não rápido e lento carregamento4500amh bateria18 watt carregador 4 khant carga completa, velocidade de carregamento lento</v>
      </c>
    </row>
    <row r="48">
      <c r="A48" s="9" t="s">
        <v>217</v>
      </c>
      <c r="B48" s="29" t="str">
        <f>VLOOKUP(dados!A48, reviews!A:G, 5, FALSE)</f>
        <v>good tool to use for,Brand is always good,Overall good and a better experience,It is useful to me.,Works well with cpplus dvr,Good,Its not plug an play u need to install the driver and will support till 2.4 Ghz not above that,Surveillance Camera In My House</v>
      </c>
      <c r="C48" s="29" t="str">
        <f>VLOOKUP(dados!A48, reviews!A:G, 6, FALSE)</f>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v>
      </c>
      <c r="D48" s="29" t="str">
        <f>IFERROR(__xludf.DUMMYFUNCTION("GOOGLETRANSLATE(B48, ""en"", ""pt-br"")"),"Boa ferramenta a ser usada, a marca é sempre boa, em geral, boa e melhor experiência, é útil para mim., funciona bem com o CPPLUS DVR, bom, não está plugue uma reprodução que você precisa para instalar o driver e suportar até 2,4 GHz Não acima disso, câme"&amp;"ra de vigilância em minha casa")</f>
        <v>Boa ferramenta a ser usada, a marca é sempre boa, em geral, boa e melhor experiência, é útil para mim., funciona bem com o CPPLUS DVR, bom, não está plugue uma reprodução que você precisa para instalar o driver e suportar até 2,4 GHz Não acima disso, câmera de vigilância em minha casa</v>
      </c>
      <c r="E48" s="29" t="str">
        <f>IFERROR(__xludf.DUMMYFUNCTION("GOOGLETRANSLATE(C48, ""en"", ""pt-br"")"),"Ferramenta de boa qualidade do sinal d linkwifi é bom, bom produto, em geral, bom e melhor experiência, ele funciona de maneira adequada e útil para mim., Eu quero comprá -lo para CP Plus Orange DVR, funciona., Nice, não é plugue uma reprodução U precisa "&amp;"instalar o driver e suportará até 2,4 GHz não acima disso. Estou usando no Jio WiFi, então não suporta a conectividade 5G como 3.0, a primeira razão pela qual comprei este item foi ter uma câmera de vigilância em minha casa. Para visualizá -lo no meu celu"&amp;"lar usado, etc ....")</f>
        <v>Ferramenta de boa qualidade do sinal d linkwifi é bom, bom produto, em geral, bom e melhor experiência, ele funciona de maneira adequada e útil para mim., Eu quero comprá -lo para CP Plus Orange DVR, funciona., Nice, não é plugue uma reprodução U precisa instalar o driver e suportará até 2,4 GHz não acima disso. Estou usando no Jio WiFi, então não suporta a conectividade 5G como 3.0, a primeira razão pela qual comprei este item foi ter uma câmera de vigilância em minha casa. Para visualizá -lo no meu celular usado, etc ....</v>
      </c>
    </row>
    <row r="49">
      <c r="A49" s="9" t="s">
        <v>221</v>
      </c>
      <c r="B49" s="29" t="str">
        <f>VLOOKUP(dados!A49, reviews!A:G, 5, FALSE)</f>
        <v>It's quite good and value for money,Works well,Hdmi cable,Value for money,All good,Gets the job done,Delivery was good,This one was my need to purchase</v>
      </c>
      <c r="C49" s="29" t="str">
        <f>VLOOKUP(dados!A49, reviews!A:G, 6, FALSE)</f>
        <v>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v>
      </c>
      <c r="D49" s="29" t="str">
        <f>IFERROR(__xludf.DUMMYFUNCTION("GOOGLETRANSLATE(B49, ""en"", ""pt-br"")"),"É muito bom e uma relação custo")</f>
        <v>É muito bom e uma relação custo</v>
      </c>
      <c r="E49" s="29" t="str">
        <f>IFERROR(__xludf.DUMMYFUNCTION("GOOGLETRANSLATE(C49, ""en"", ""pt-br"")"),"Estou usando isso há 14 dias agora. A experiência é muito boa a partir de agora. A qualidade da imagem também não é ruim. Não espere algo fora do mundo a esse preço. Mas você pode fazer isso se tiver um orçamento apertado., Impressões iniciais: funciona c"&amp;"omo dito, feliz por não ter opções mais baratas (não que seja muito caro), basta plug e reproduzir. Atualizará se isso estragar, o cabo HDMI é bom assistir a filmes, esportes e sua melhor qualidade enquanto conecta seu laptop à TV e reproduzi. Eu adorei, "&amp;"funciona como esperado. O comprimento do cabo é curto e foi mencionado também satisfeito com o meu requisito. Se você precisar de mais comprimento, é melhor procurar outras opções., Tudo de bom, é o melhor cabo HDMI nessa faixa de preço. Ainda não há prob"&amp;"lemas. Basta ir em frente !!, eu esperava que isso fosse entregue no prazo e foi entregue a tempo. O produto é bom, pois já experimentei outros cabos e fios da marca Amazon BasicA., Bom")</f>
        <v>Estou usando isso há 14 dias agora. A experiência é muito boa a partir de agora. A qualidade da imagem também não é ruim. Não espere algo fora do mundo a esse preço. Mas você pode fazer isso se tiver um orçamento apertado., Impressões iniciais: funciona como dito, feliz por não ter opções mais baratas (não que seja muito caro), basta plug e reproduzir. Atualizará se isso estragar, o cabo HDMI é bom assistir a filmes, esportes e sua melhor qualidade enquanto conecta seu laptop à TV e reproduzi. Eu adorei, funciona como esperado. O comprimento do cabo é curto e foi mencionado também satisfeito com o meu requisito. Se você precisar de mais comprimento, é melhor procurar outras opções., Tudo de bom, é o melhor cabo HDMI nessa faixa de preço. Ainda não há problemas. Basta ir em frente !!, eu esperava que isso fosse entregue no prazo e foi entregue a tempo. O produto é bom, pois já experimentei outros cabos e fios da marca Amazon BasicA., Bom</v>
      </c>
    </row>
    <row r="50">
      <c r="A50" s="9" t="s">
        <v>225</v>
      </c>
      <c r="B50" s="29" t="str">
        <f>VLOOKUP(dados!A50, reviews!A:G, 5, FALSE)</f>
        <v>Overall Good,Works well. Will comment on durability after using it for a few months.,Nice product,Channel button doesn't work,Compatible with every smart tv,functionality at a budget,Number keys not working,It's good to go ahead with this, for Samsung 6 series</v>
      </c>
      <c r="C50" s="29" t="str">
        <f>VLOOKUP(dados!A50, reviews!A:G, 6, FALSE)</f>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v>
      </c>
      <c r="D50" s="29" t="str">
        <f>IFERROR(__xludf.DUMMYFUNCTION("GOOGLETRANSLATE(B50, ""en"", ""pt-br"")"),"No geral, funciona bem. Comentarei sobre durabilidade depois de usá -lo por alguns meses., Produto agradável, o botão de canal não funciona, compatível com todas as TV inteligentes, funcionalidade em um orçamento, chaves numéricas que não estão funcionand"&amp;"o, é bom seguir em frente com isso, para a Samsung 6 Series")</f>
        <v>No geral, funciona bem. Comentarei sobre durabilidade depois de usá -lo por alguns meses., Produto agradável, o botão de canal não funciona, compatível com todas as TV inteligentes, funcionalidade em um orçamento, chaves numéricas que não estão funcionando, é bom seguir em frente com isso, para a Samsung 6 Series</v>
      </c>
      <c r="E50" s="29" t="str">
        <f>IFERROR(__xludf.DUMMYFUNCTION("GOOGLETRANSLATE(C50, ""en"", ""pt-br"")"),"Substituição geral do Samsung Remote original. É compatível facilmente com minha tv Samsung UHD. Mas não há comando de voz no controle remoto., Funciona bem. Comentará sobre durabilidade após usá -lo por alguns meses., Ele usa duas bateria AA. Mas o botão"&amp;" do canal não funciona. Eu voltei e substituí o mesmo produto, mas é o mesmo resultado, o botão do canal não funciona, é bom ir com isso em vez de comprar um original da Samsung, temos uma tv samsung caro.tv é ótimo, mas o remoto original iniciado drenand"&amp;"o a bateria e tivemos que colocar bateria nova a cada 5 dias, o que não era ideal. O substituição do controle remoto original é um caso caro (4K?) Esta é uma boa substituição barata- tem todas as funcionalidades, exceto a voz (que raramente usamos), Tudo "&amp;"funciona bem, exceto as teclas numéricas, o que é muito importante para mudar de canal, que desperdício de dinheiro teve para comprar outro controle remoto, como o design")</f>
        <v>Substituição geral do Samsung Remote original. É compatível facilmente com minha tv Samsung UHD. Mas não há comando de voz no controle remoto., Funciona bem. Comentará sobre durabilidade após usá -lo por alguns meses., Ele usa duas bateria AA. Mas o botão do canal não funciona. Eu voltei e substituí o mesmo produto, mas é o mesmo resultado, o botão do canal não funciona, é bom ir com isso em vez de comprar um original da Samsung, temos uma tv samsung caro.tv é ótimo, mas o remoto original iniciado drenando a bateria e tivemos que colocar bateria nova a cada 5 dias, o que não era ideal. O substituição do controle remoto original é um caso caro (4K?) Esta é uma boa substituição barata- tem todas as funcionalidades, exceto a voz (que raramente usamos), Tudo funciona bem, exceto as teclas numéricas, o que é muito importante para mudar de canal, que desperdício de dinheiro teve para comprar outro controle remoto, como o design</v>
      </c>
    </row>
    <row r="51">
      <c r="A51" s="9" t="s">
        <v>231</v>
      </c>
      <c r="B51" s="29" t="str">
        <f>VLOOKUP(dados!A51, reviews!A:G, 5, FALSE)</f>
        <v>Using it with my QC 3 Charger .So far- So good.A Quality cable with a sturdy construction &amp; troublefree performance.,Awesome product go for buy it 👍,Execellent,Sturdy micro USB cable for Old phones,Super,Product description says 3 feet it's hardly a foot length wire.,Good,Excellent quality cable</v>
      </c>
      <c r="C51" s="29" t="str">
        <f>VLOOKUP(dados!A51, reviews!A:G, 6, FALSE)</f>
        <v>ABOUT  AMAZONBASICS:xxxxxxxxxxxxxxxxxxxxxxxxxxxxxxAmazon Basics was launched in 2009 &amp; is Amazon’s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it’s cable size &amp; flexibility is almost tangle-free.The associated cable was not exactly thick but can’t be termed as thin or delicate too. It’s not the thickest I’ve seen but then thickest doesn’t always means most durable. Given my application it’s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v>
      </c>
      <c r="D51" s="29" t="str">
        <f>IFERROR(__xludf.DUMMYFUNCTION("GOOGLETRANSLATE(B51, ""en"", ""pt-br"")"),"Usando-o com meu carregador QC 3. Então, tão bom. pés é quase um fio de comprimento do pé., Cabo de excelente qualidade, excelente qualidade")</f>
        <v>Usando-o com meu carregador QC 3. Então, tão bom. pés é quase um fio de comprimento do pé., Cabo de excelente qualidade, excelente qualidade</v>
      </c>
      <c r="E51" s="29" t="str">
        <f>IFERROR(__xludf.DUMMYFUNCTION("GOOGLETRANSLATE(C51, ""en"", ""pt-br"")"),"Sobre o AmazonBasics: xxxxxxxxxxxxxxxxxxxxxxxxxxxxxxxxxamazon Os básicos foram lançados em 2009 e é a própria marca interna da Amazon para movimentação rápida de pequenos consumidores eletrônicos. Aqui, a Amazon usa sua coleção maciça de dados de vendas p"&amp;"ara lançar produtos que são em grande demanda e já existem no mercado. preços. Basta colocar uma réplica semelhante para algo bem -sucedido, mas a preços muito acessíveis. Se algo não for um sucesso imediato, a Amazon o puxa e segue em frente. Aamazon, ca"&amp;"so contrário, é como um mercado on -line, onde fornece um portal para vários vendedores venderem seu produto Mas com a AmazonBasics - a Amazon está vendendo seu próprio produto em seu próprio mercado. Aqui ele deriva o benefício de eliminar quaisquer dist"&amp;"ribuidores intermediários ou varejistas e, portanto, os produtos da marca AmazonBasics estão disponíveis por um preço mais baixo que atrai clientes em massa on -line. Como um benefício adicional, produtos AmazonBasics são entregues gratuitamente aos membr"&amp;"os do Prime e são cobertos pela garantia da Amazon para todos e, portanto, qualquer procedimentos de reivindicação ou substituição são altamente simplificados e imediatamente atendidos. estava procurando um cabo com o conector USB A a Micro B. Listei minh"&amp;"as prioridades sob várias cabeças para chegar a uma conclusão e vamos comparar o produto real com base nos meus requisitos iniciais: 1). *********** Como deveria ser usado principalmente para dispositivos móveis rápidos carregando no carro, a capacidade d"&amp;"e troca de dados não era muito preocupada. A preferência, porém, certamente teria sido um USB 3, mas também não me incomodou se eu também pudesse obter um USB 2.0. Seja muito bem. Não capturei nenhum dado de velocidade, mas todos conhecemos a velocidade d"&amp;"a transferência de dados também varia com o tipo de dados que está sendo transferido. Quanto mais variedade de dados sendo transferidos simultaneamente, mais inferior será a velocidade.2.) Comprimento do cabo: ***************************** *********** nov"&amp;"amente, já que eu não podia me dar ao luxo de ter um longo loop de cabo agrupado em torno do meu botão de engrenagem, eu preferia mantê -lo curto e simples, portanto, meu único mirante estava em torno de um metro ou abaixo. Produto real: O cabo veio bem e"&amp;"mbalado em um pacote de papel e tinha exatamente 0,9 metros ou aproximadamente 3 pés de comprimento. O comprimento era suficiente para eu conectar qualquer um dos dispositivos móveis ao meu carregador de carro nos motoristas ou no assento do passageiro la"&amp;"teral.3.) Padrões de flexibilidade/ flexibilidade/ força: ************* **************************************************** ************* Eu não sou particularmente fã daqueles fios trançados teimosos que são tão difíceis que eles mantêm a forma em que s"&amp;"ão dobrados. Eu queria algo que fosse espesso, mas flexível o suficiente para adquirir uma forma circular quando agrupada. Produto de ativação: o cabo recebido parecia exatamente como mostrado sobre o local com boa flexibilidade, espessura razoável e um c"&amp;"abo intermediário robusto. Toda a construção do cabo devido ao tamanho do cabo e da flexibilidade é quase livre de emaranhado. O cabo associado não era exatamente espesso, mas também não pode ser denominado como fino ou delicado. Não é o mais espesso que "&amp;"eu já vi, mas depois mais espessa nem sempre significa mais durável. Dada a minha aplicação, é mais do que apenas adequado. A qualidade geral construída e a qualidade do cabo e o isolamento parece promissor o suficiente para durar alguns anos. Mesmo que s"&amp;"eja usado para que não seja o carregamento do carro, parece durável o suficiente para durar muito. Eu tinha ainda mais o cabo da MANSAA e um cabo de amkette para o mesmo objetivo, mas eles eram muito longos para a minha exigência.4.) Conectores moldados c"&amp;"ompactos: ******* **************************************************** ** Tinha uma inclinação em relação aos conectores moldados para evitar problemas em que os conectores se abrem expondo os PCBs terminais. Produto atual: Não há queixas em relação aos c"&amp;"onectores do cabo real. Os conectores são perfeitamente moldados sem articulações ou riscos de se abrirem. As carcaças do conector são ainda mais compactas nos terminais para se encaixarem confortavelmente em espaços escassos. As portas do conector são re"&amp;"sistentes o suficiente tanto nas portas USB A e Micro B. Os pinos da porta Micro B travam com segurança os dispositivos móveis de carregamento, o que é muito bom. Não há sinais de construção solta. uma resistência à corrosão e ninguém vai usá -los em água"&amp;" do mar salina de qualquer maneira.5.) Disponibilidade de laços/correias de velcro: **************************** ********************************* Eu esperava que uma gravata de cabo incluída ou uma pulseira de velcro fosse um bom complemento para ajustar"&amp;" e organizar corretamente o cabo conforme o requisito. Produto de ação: Isto eu sinto falta no cabo real fornecido, não há disposição de uma pulseira incluída ou gravata do cabo através da qual eu poderia ajustar o comprimento do meu cabo necessário facil"&amp;"mente.6. **********************Indo Até 3,4 amperes em certos casos, portanto, o cabo precisava ter uma capacidade de manuseio de corrente decente. Produto de ação: O cabo real possui uma classificação de placa de identificação de lidar com 2,1 amperes co"&amp;"ntra demandas em novos carregadores QC 3.0 que podem subir de 3,4 amperes. Aqui, deixe -me esclarecer que os mais recentes carregadores de QC variam de volta e índices de corrente para alcançar o carregamento rápido desejado e, portanto, não é como se um "&amp;"fluxo contínuo de 3,4 amperes está lá, ele continua reduzindo as classificações de cabos projetadas para um manuseio contínuo de corrente de Qualquer coisa acima de 2,0 amperes funcionaria suficientemente com os carregadores de QC 3.0. Tentou -o com segur"&amp;"ança várias vezes carregando meu Samsung S7 de 10 % sem que o cabo fique quente.7.) Garantia: **************** ********** vem com uma garantia de 1 ano conforme o esperado. Não é o melhor da indústria, mas razoável. Outras observações: *******************"&amp;"**************** A partir dos recursos listados acima, os outros detalhes do produto real recebido que vale a pena mencionar são: 8.) O cabo é fabricado na China e importado pelos revendedores do Amazon Warehouse sob o nome da marca e a filosofia do Amazo"&amp;"nBasics.9.) O cabo possui uma fabricação Data de outubro de 2017 e foi importada para a Índia em dezembro de 2017.10.) O cabo possui uma etiqueta MRP de 495 dólares, no entanto, eu o comprei on -line por 269 dólares. &amp; email também é impresso sobre o rótu"&amp;"lo para o registro de qualquer queixa do consumidor. Até agora, de construção ao desempenho parece ser convincente o suficiente para recomendá -lo e, por um preço de cerca de 260 Os tempos dão a preços baratos estão além da imaginação. Simplesmente soberb"&amp;"o, o governo não deve impedir os produtos da Amazon, os produtos da Amazon fornecem concorrência a produtos locais sem qualidade, que os consumidores são forçados a comprar porque não têm concorrência de qualidade. Make in Índia é bom, mas se os produtos "&amp;"make in Índia forem cópias simples e baratas de produtos de marca sem nenhum investimento em R e D, sem R e D, na Índia nunca teria sucesso e que empresas como a Amazon só levarão à perda para a perda por para Consumidores, o governo deve incentivar essa "&amp;"concorrência., A Amazon Basics fornece um dos melhores cabos disponíveis para carregar seu telefone ou conectar dispositivos. Como um cliente anterior de muitos cabos da Amazon Este cabo também não decepciona, suporta carregamento rápido para todos os meu"&amp;"s meus Telefones samsung. 6 preços acessíveis. Obrigado Amazoni também usa um cabo USB C para o meu Samsung S20FE., Super, o carregamento do produto está ok .. no entanto, tem apenas 1,80m de duração. O fornecedor poderia ter mencionado a descrição corret"&amp;"a do produto .. não há necessidade de enganar .. também cedo para dizer o desempenho como o recebi hoje., Bom, comprei muitos cabos de micro USB chineses baratos em Rs 50 e Rs 100 de Ubon e de muitas outras empresas locais chinesas, e nenhum deles funcion"&amp;"ou corretamente. vá para isso. E está cobrando também transferindo dados, sem nenhum problema e estou muito feliz com meu conselho de compra: não compre, cabos locais chineses baratos. Você terá que jogá -los no pó após algum tempo. um.")</f>
        <v>Sobre o AmazonBasics: xxxxxxxxxxxxxxxxxxxxxxxxxxxxxxxxxamazon Os básicos foram lançados em 2009 e é a própria marca interna da Amazon para movimentação rápida de pequenos consumidores eletrônicos. Aqui, a Amazon usa sua coleção maciça de dados de vendas para lançar produtos que são em grande demanda e já existem no mercado. preços. Basta colocar uma réplica semelhante para algo bem -sucedido, mas a preços muito acessíveis. Se algo não for um sucesso imediato, a Amazon o puxa e segue em frente. Aamazon, caso contrário, é como um mercado on -line, onde fornece um portal para vários vendedores venderem seu produto Mas com a AmazonBasics - a Amazon está vendendo seu próprio produto em seu próprio mercado. Aqui ele deriva o benefício de eliminar quaisquer distribuidores intermediários ou varejistas e, portanto, os produtos da marca AmazonBasics estão disponíveis por um preço mais baixo que atrai clientes em massa on -line. Como um benefício adicional, produtos AmazonBasics são entregues gratuitamente aos membros do Prime e são cobertos pela garantia da Amazon para todos e, portanto, qualquer procedimentos de reivindicação ou substituição são altamente simplificados e imediatamente atendidos. estava procurando um cabo com o conector USB A a Micro B. Listei minhas prioridades sob várias cabeças para chegar a uma conclusão e vamos comparar o produto real com base nos meus requisitos iniciais: 1). *********** Como deveria ser usado principalmente para dispositivos móveis rápidos carregando no carro, a capacidade de troca de dados não era muito preocupada. A preferência, porém, certamente teria sido um USB 3, mas também não me incomodou se eu também pudesse obter um USB 2.0. Seja muito bem. Não capturei nenhum dado de velocidade, mas todos conhecemos a velocidade da transferência de dados também varia com o tipo de dados que está sendo transferido. Quanto mais variedade de dados sendo transferidos simultaneamente, mais inferior será a velocidade.2.) Comprimento do cabo: ***************************** *********** novamente, já que eu não podia me dar ao luxo de ter um longo loop de cabo agrupado em torno do meu botão de engrenagem, eu preferia mantê -lo curto e simples, portanto, meu único mirante estava em torno de um metro ou abaixo. Produto real: O cabo veio bem embalado em um pacote de papel e tinha exatamente 0,9 metros ou aproximadamente 3 pés de comprimento. O comprimento era suficiente para eu conectar qualquer um dos dispositivos móveis ao meu carregador de carro nos motoristas ou no assento do passageiro lateral.3.) Padrões de flexibilidade/ flexibilidade/ força: ************* **************************************************** ************* Eu não sou particularmente fã daqueles fios trançados teimosos que são tão difíceis que eles mantêm a forma em que são dobrados. Eu queria algo que fosse espesso, mas flexível o suficiente para adquirir uma forma circular quando agrupada. Produto de ativação: o cabo recebido parecia exatamente como mostrado sobre o local com boa flexibilidade, espessura razoável e um cabo intermediário robusto. Toda a construção do cabo devido ao tamanho do cabo e da flexibilidade é quase livre de emaranhado. O cabo associado não era exatamente espesso, mas também não pode ser denominado como fino ou delicado. Não é o mais espesso que eu já vi, mas depois mais espessa nem sempre significa mais durável. Dada a minha aplicação, é mais do que apenas adequado. A qualidade geral construída e a qualidade do cabo e o isolamento parece promissor o suficiente para durar alguns anos. Mesmo que seja usado para que não seja o carregamento do carro, parece durável o suficiente para durar muito. Eu tinha ainda mais o cabo da MANSAA e um cabo de amkette para o mesmo objetivo, mas eles eram muito longos para a minha exigência.4.) Conectores moldados compactos: ******* **************************************************** ** Tinha uma inclinação em relação aos conectores moldados para evitar problemas em que os conectores se abrem expondo os PCBs terminais. Produto atual: Não há queixas em relação aos conectores do cabo real. Os conectores são perfeitamente moldados sem articulações ou riscos de se abrirem. As carcaças do conector são ainda mais compactas nos terminais para se encaixarem confortavelmente em espaços escassos. As portas do conector são resistentes o suficiente tanto nas portas USB A e Micro B. Os pinos da porta Micro B travam com segurança os dispositivos móveis de carregamento, o que é muito bom. Não há sinais de construção solta. uma resistência à corrosão e ninguém vai usá -los em água do mar salina de qualquer maneira.5.) Disponibilidade de laços/correias de velcro: **************************** ********************************* Eu esperava que uma gravata de cabo incluída ou uma pulseira de velcro fosse um bom complemento para ajustar e organizar corretamente o cabo conforme o requisito. Produto de ação: Isto eu sinto falta no cabo real fornecido, não há disposição de uma pulseira incluída ou gravata do cabo através da qual eu poderia ajustar o comprimento do meu cabo necessário facilmente.6. **********************Indo Até 3,4 amperes em certos casos, portanto, o cabo precisava ter uma capacidade de manuseio de corrente decente. Produto de ação: O cabo real possui uma classificação de placa de identificação de lidar com 2,1 amperes contra demandas em novos carregadores QC 3.0 que podem subir de 3,4 amperes. Aqui, deixe -me esclarecer que os mais recentes carregadores de QC variam de volta e índices de corrente para alcançar o carregamento rápido desejado e, portanto, não é como se um fluxo contínuo de 3,4 amperes está lá, ele continua reduzindo as classificações de cabos projetadas para um manuseio contínuo de corrente de Qualquer coisa acima de 2,0 amperes funcionaria suficientemente com os carregadores de QC 3.0. Tentou -o com segurança várias vezes carregando meu Samsung S7 de 10 % sem que o cabo fique quente.7.) Garantia: **************** ********** vem com uma garantia de 1 ano conforme o esperado. Não é o melhor da indústria, mas razoável. Outras observações: *********************************** A partir dos recursos listados acima, os outros detalhes do produto real recebido que vale a pena mencionar são: 8.) O cabo é fabricado na China e importado pelos revendedores do Amazon Warehouse sob o nome da marca e a filosofia do AmazonBasics.9.) O cabo possui uma fabricação Data de outubro de 2017 e foi importada para a Índia em dezembro de 2017.10.) O cabo possui uma etiqueta MRP de 495 dólares, no entanto, eu o comprei on -line por 269 dólares. &amp; email também é impresso sobre o rótulo para o registro de qualquer queixa do consumidor. Até agora, de construção ao desempenho parece ser convincente o suficiente para recomendá -lo e, por um preço de cerca de 260 Os tempos dão a preços baratos estão além da imaginação. Simplesmente soberbo, o governo não deve impedir os produtos da Amazon, os produtos da Amazon fornecem concorrência a produtos locais sem qualidade, que os consumidores são forçados a comprar porque não têm concorrência de qualidade. Make in Índia é bom, mas se os produtos make in Índia forem cópias simples e baratas de produtos de marca sem nenhum investimento em R e D, sem R e D, na Índia nunca teria sucesso e que empresas como a Amazon só levarão à perda para a perda por para Consumidores, o governo deve incentivar essa concorrência., A Amazon Basics fornece um dos melhores cabos disponíveis para carregar seu telefone ou conectar dispositivos. Como um cliente anterior de muitos cabos da Amazon Este cabo também não decepciona, suporta carregamento rápido para todos os meus meus Telefones samsung. 6 preços acessíveis. Obrigado Amazoni também usa um cabo USB C para o meu Samsung S20FE., Super, o carregamento do produto está ok .. no entanto, tem apenas 1,80m de duração. O fornecedor poderia ter mencionado a descrição correta do produto .. não há necessidade de enganar .. também cedo para dizer o desempenho como o recebi hoje., Bom, comprei muitos cabos de micro USB chineses baratos em Rs 50 e Rs 100 de Ubon e de muitas outras empresas locais chinesas, e nenhum deles funcionou corretamente. vá para isso. E está cobrando também transferindo dados, sem nenhum problema e estou muito feliz com meu conselho de compra: não compre, cabos locais chineses baratos. Você terá que jogá -los no pó após algum tempo. um.</v>
      </c>
    </row>
    <row r="52">
      <c r="A52" s="9" t="s">
        <v>235</v>
      </c>
      <c r="B52" s="29" t="str">
        <f>VLOOKUP(dados!A52, reviews!A:G, 5, FALSE)</f>
        <v>Works flawlessly on Ubuntu 22.04 (if installed correctly),Best for kali. Do not read another review.,Nice product,From 0 to 70 …,Good External Wifi Signal Provider,Superb,Awesome and easy to use,Good product</v>
      </c>
      <c r="C52" s="29" t="str">
        <f>VLOOKUP(dados!A52, reviews!A:G, 6, FALSE)</f>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v>
      </c>
      <c r="D52" s="29" t="str">
        <f>IFERROR(__xludf.DUMMYFUNCTION("GOOGLETRANSLATE(B52, ""en"", ""pt-br"")"),"Funciona perfeitamente no Ubuntu 22.04 (se instalado corretamente), melhor para Kali. Não leia outra revisão., Bom produto, de 0 a 70…, bom provedor de sinais de wifi externo, excelente, incrível e fácil de usar, bom produto")</f>
        <v>Funciona perfeitamente no Ubuntu 22.04 (se instalado corretamente), melhor para Kali. Não leia outra revisão., Bom produto, de 0 a 70…, bom provedor de sinais de wifi externo, excelente, incrível e fácil de usar, bom produto</v>
      </c>
      <c r="E52" s="29" t="str">
        <f>IFERROR(__xludf.DUMMYFUNCTION("GOOGLETRANSLATE(C52, ""en"", ""pt-br"")"),"Estou usando isso em um antigo MAC Mini, já que os drivers proprietários da Broadcom não estão disponíveis e os drivers B43 de substituição não permitem velocidades de download suficientes, pelo menos na minha experiência. Eu coloquei este dispositivo em "&amp;"funcionamento com o Ubuntu 22.04 com o Linux 5.15.0-56-generic.google Pesquise ""Morownr/8821au-20210708"" e uso o driver no Github. Estou usando o produto ""TP-Link AC600"" BTW. Se você estiver usando a outra variante vendida na Amazon, use o LSUSB e des"&amp;"cubra para qual interface de rede você precisará instalar drivers. Giyf.I admito, isso provavelmente será difícil para alguém que geralmente não se sente confortável com uma concha, bash, por exemplo. Mas mesmo que eu nunca tivesse usado o DKMS ou IW ante"&amp;"s, o repositório do Github, juntamente com as ferramentas de construção disponíveis no repositório Jammy, facilitou o suficiente para que o dispositivo funcionasse (leia o readme do github). Para garantir que eu tenha trabalhado os drivers a trabalhar Em "&amp;"uma VM Ubuntu local usando adições de hóspedes para conectar -se ao dispositivo USB diretamente do sistema operacional convidado, que também funcionou. Em seguida, recebi a mesma velocidade de download usando este dispositivo que eu estava obtendo anterio"&amp;"rmente nas minhas outras interfaces de rede no Windows e Mac, mas agora no Ubuntu. O próprio dispositivo é um pouco sensível à direção da antena quando se trata do impacto na velocidade de download. Já usa há cerca de um mês sem reclamações., Não opte por"&amp;" críticas que dizem que não suportam Kali. Eu e alguns dos meus amigos o estamos usando para hackers Wi-Fi e funciona muito bem, ele também suporta o modo Monitor. Se você estiver tendo problemas para conectá -lo à sua máquina Kali, basta passar um pouco "&amp;"pelo surf da web e encontrará artigos relevantes sobre como conectar este adaptador de link TP à sua máquina Kali. Há também um motorista do Realtek que você pode precisar instalar para fazê -lo funcionar em sua máquina Kali. Eu dei 4 estrelas apenas porq"&amp;"ue o desempenho se não for bom como os adaptadores alfa, que é razoável para essa faixa de preço, mas neste alcance e, como iniciante, é o melhor adaptador que você pode comprar., bom produto. Trabalhando bem. Meu PC agora é o preço 5G é muito alto, por i"&amp;"sso dando 4 estrelas, conseguiu o Wi-Fi em um dos quartos de 0 a 70%. Está funcionando bem há um mês. Boa alternativa a um repetidor se apenas um único dispositivo precisar acessar o Wi-Fi a partir de um canto., O produto é muito bom e tiver um bom sinal "&amp;"de wifi. Usando isso por mais de um mês agora, não reclame. Mas quando é pela primeira vez, você precisa instalar o driver em sua área de trabalho/laptop no site do TP Link para torná -lo operacional, o que não é muito bem explicado no manual., Este produ"&amp;"to é muito bom, comprei isso Produto porque meu laptop não suporta a banda Wi-Fi 5GHz, em 2,5 GHz, recebo apenas uma velocidade de 30 a 40 Mbps, mas meu plano de banda larga é de 150Mbps.1. Fácil de usar Plug and Play Windows 102. Bom sinal. Estou usando "&amp;"outra sala do roteador sem queda de sinal, recebo sinal completo.3. Um pouco caro, mas vá com isso por causa do bom sinal. Recebo a velocidade de upload de 170 Mbps + e 110 Mbps em 5GHz e meu plano de banda larga é de 150 Mbps.")</f>
        <v>Estou usando isso em um antigo MAC Mini, já que os drivers proprietários da Broadcom não estão disponíveis e os drivers B43 de substituição não permitem velocidades de download suficientes, pelo menos na minha experiência. Eu coloquei este dispositivo em funcionamento com o Ubuntu 22.04 com o Linux 5.15.0-56-generic.google Pesquise "Morownr/8821au-20210708" e uso o driver no Github. Estou usando o produto "TP-Link AC600" BTW. Se você estiver usando a outra variante vendida na Amazon, use o LSUSB e descubra para qual interface de rede você precisará instalar drivers. Giyf.I admito, isso provavelmente será difícil para alguém que geralmente não se sente confortável com uma concha, bash, por exemplo. Mas mesmo que eu nunca tivesse usado o DKMS ou IW antes, o repositório do Github, juntamente com as ferramentas de construção disponíveis no repositório Jammy, facilitou o suficiente para que o dispositivo funcionasse (leia o readme do github). Para garantir que eu tenha trabalhado os drivers a trabalhar Em uma VM Ubuntu local usando adições de hóspedes para conectar -se ao dispositivo USB diretamente do sistema operacional convidado, que também funcionou. Em seguida, recebi a mesma velocidade de download usando este dispositivo que eu estava obtendo anteriormente nas minhas outras interfaces de rede no Windows e Mac, mas agora no Ubuntu. O próprio dispositivo é um pouco sensível à direção da antena quando se trata do impacto na velocidade de download. Já usa há cerca de um mês sem reclamações., Não opte por críticas que dizem que não suportam Kali. Eu e alguns dos meus amigos o estamos usando para hackers Wi-Fi e funciona muito bem, ele também suporta o modo Monitor. Se você estiver tendo problemas para conectá -lo à sua máquina Kali, basta passar um pouco pelo surf da web e encontrará artigos relevantes sobre como conectar este adaptador de link TP à sua máquina Kali. Há também um motorista do Realtek que você pode precisar instalar para fazê -lo funcionar em sua máquina Kali. Eu dei 4 estrelas apenas porque o desempenho se não for bom como os adaptadores alfa, que é razoável para essa faixa de preço, mas neste alcance e, como iniciante, é o melhor adaptador que você pode comprar., bom produto. Trabalhando bem. Meu PC agora é o preço 5G é muito alto, por isso dando 4 estrelas, conseguiu o Wi-Fi em um dos quartos de 0 a 70%. Está funcionando bem há um mês. Boa alternativa a um repetidor se apenas um único dispositivo precisar acessar o Wi-Fi a partir de um canto., O produto é muito bom e tiver um bom sinal de wifi. Usando isso por mais de um mês agora, não reclame. Mas quando é pela primeira vez, você precisa instalar o driver em sua área de trabalho/laptop no site do TP Link para torná -lo operacional, o que não é muito bem explicado no manual., Este produto é muito bom, comprei isso Produto porque meu laptop não suporta a banda Wi-Fi 5GHz, em 2,5 GHz, recebo apenas uma velocidade de 30 a 40 Mbps, mas meu plano de banda larga é de 150Mbps.1. Fácil de usar Plug and Play Windows 102. Bom sinal. Estou usando outra sala do roteador sem queda de sinal, recebo sinal completo.3. Um pouco caro, mas vá com isso por causa do bom sinal. Recebo a velocidade de upload de 170 Mbps + e 110 Mbps em 5GHz e meu plano de banda larga é de 150 Mbps.</v>
      </c>
    </row>
    <row r="53">
      <c r="A53" s="9" t="s">
        <v>239</v>
      </c>
      <c r="B53" s="29" t="str">
        <f>VLOOKUP(dados!A53, reviews!A:G, 5, FALSE)</f>
        <v>Using it with my QC 3 Charger .So far- So good.A Quality cable with a sturdy construction &amp; troublefree performance.,Awesome product go for buy it 👍,Execellent,Sturdy micro USB cable for Old phones,Super,Product description says 3 feet it's hardly a foot length wire.,Good,Excellent quality cable</v>
      </c>
      <c r="C53" s="29" t="str">
        <f>VLOOKUP(dados!A53, reviews!A:G, 6, FALSE)</f>
        <v>ABOUT  AMAZONBASICS:xxxxxxxxxxxxxxxxxxxxxxxxxxxxxxAmazon Basics was launched in 2009 &amp; is Amazon’s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it’s cable size &amp; flexibility is almost tangle-free.The associated cable was not exactly thick but can’t be termed as thin or delicate too. It’s not the thickest I’ve seen but then thickest doesn’t always means most durable. Given my application it’s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v>
      </c>
      <c r="D53" s="29" t="str">
        <f>IFERROR(__xludf.DUMMYFUNCTION("GOOGLETRANSLATE(B53, ""en"", ""pt-br"")"),"Usando-o com meu carregador QC 3. Então, tão bom. pés é quase um fio de comprimento do pé., Cabo de excelente qualidade, excelente qualidade")</f>
        <v>Usando-o com meu carregador QC 3. Então, tão bom. pés é quase um fio de comprimento do pé., Cabo de excelente qualidade, excelente qualidade</v>
      </c>
      <c r="E53" s="29" t="str">
        <f>IFERROR(__xludf.DUMMYFUNCTION("GOOGLETRANSLATE(C53, ""en"", ""pt-br"")"),"Sobre o AmazonBasics: xxxxxxxxxxxxxxxxxxxxxxxxxxxxxxxxxamazon Os básicos foram lançados em 2009 e é a própria marca interna da Amazon para movimentação rápida de pequenos consumidores eletrônicos. Aqui, a Amazon usa sua coleção maciça de dados de vendas p"&amp;"ara lançar produtos que são em grande demanda e já existem no mercado. preços. Basta colocar uma réplica semelhante para algo bem -sucedido, mas a preços muito acessíveis. Se algo não for um sucesso imediato, a Amazon o puxa e segue em frente. Aamazon, ca"&amp;"so contrário, é como um mercado on -line, onde fornece um portal para vários vendedores venderem seu produto Mas com a AmazonBasics - a Amazon está vendendo seu próprio produto em seu próprio mercado. Aqui ele deriva o benefício de eliminar quaisquer dist"&amp;"ribuidores intermediários ou varejistas e, portanto, os produtos da marca AmazonBasics estão disponíveis por um preço mais baixo que atrai clientes em massa on -line. Como um benefício adicional, produtos AmazonBasics são entregues gratuitamente aos membr"&amp;"os do Prime e são cobertos pela garantia da Amazon para todos e, portanto, qualquer procedimentos de reivindicação ou substituição são altamente simplificados e imediatamente atendidos. estava procurando um cabo com o conector USB A a Micro B. Listei minh"&amp;"as prioridades sob várias cabeças para chegar a uma conclusão e vamos comparar o produto real com base nos meus requisitos iniciais: 1). *********** Como deveria ser usado principalmente para dispositivos móveis rápidos carregando no carro, a capacidade d"&amp;"e troca de dados não era muito preocupada. A preferência, porém, certamente teria sido um USB 3, mas também não me incomodou se eu também pudesse obter um USB 2.0. Seja muito bem. Não capturei nenhum dado de velocidade, mas todos conhecemos a velocidade d"&amp;"a transferência de dados também varia com o tipo de dados que está sendo transferido. Quanto mais variedade de dados sendo transferidos simultaneamente, mais inferior será a velocidade.2.) Comprimento do cabo: ***************************** *********** nov"&amp;"amente, já que eu não podia me dar ao luxo de ter um longo loop de cabo agrupado em torno do meu botão de engrenagem, eu preferia mantê -lo curto e simples, portanto, meu único mirante estava em torno de um metro ou abaixo. Produto real: O cabo veio bem e"&amp;"mbalado em um pacote de papel e tinha exatamente 0,9 metros ou aproximadamente 3 pés de comprimento. O comprimento era suficiente para eu conectar qualquer um dos dispositivos móveis ao meu carregador de carro nos motoristas ou no assento do passageiro la"&amp;"teral.3.) Padrões de flexibilidade/ flexibilidade/ força: ************* **************************************************** ************* Eu não sou particularmente fã daqueles fios trançados teimosos que são tão difíceis que eles mantêm a forma em que s"&amp;"ão dobrados. Eu queria algo que fosse espesso, mas flexível o suficiente para adquirir uma forma circular quando agrupada. Produto de ativação: o cabo recebido parecia exatamente como mostrado sobre o local com boa flexibilidade, espessura razoável e um c"&amp;"abo intermediário robusto. Toda a construção do cabo devido ao tamanho do cabo e da flexibilidade é quase livre de emaranhado. O cabo associado não era exatamente espesso, mas também não pode ser denominado como fino ou delicado. Não é o mais espesso que "&amp;"eu já vi, mas depois mais espessa nem sempre significa mais durável. Dada a minha aplicação, é mais do que apenas adequado. A qualidade geral construída e a qualidade do cabo e o isolamento parece promissor o suficiente para durar alguns anos. Mesmo que s"&amp;"eja usado para que não seja o carregamento do carro, parece durável o suficiente para durar muito. Eu tinha ainda mais o cabo da MANSAA e um cabo de amkette para o mesmo objetivo, mas eles eram muito longos para a minha exigência.4.) Conectores moldados c"&amp;"ompactos: ******* **************************************************** ** Tinha uma inclinação em relação aos conectores moldados para evitar problemas em que os conectores se abrem expondo os PCBs terminais. Produto atual: Não há queixas em relação aos c"&amp;"onectores do cabo real. Os conectores são perfeitamente moldados sem articulações ou riscos de se abrirem. As carcaças do conector são ainda mais compactas nos terminais para se encaixarem confortavelmente em espaços escassos. As portas do conector são re"&amp;"sistentes o suficiente tanto nas portas USB A e Micro B. Os pinos da porta Micro B travam com segurança os dispositivos móveis de carregamento, o que é muito bom. Não há sinais de construção solta. uma resistência à corrosão e ninguém vai usá -los em água"&amp;" do mar salina de qualquer maneira.5.) Disponibilidade de laços/correias de velcro: **************************** ********************************* Eu esperava que uma gravata de cabo incluída ou uma pulseira de velcro fosse um bom complemento para ajustar"&amp;" e organizar corretamente o cabo conforme o requisito. Produto de ação: Isto eu sinto falta no cabo real fornecido, não há disposição de uma pulseira incluída ou gravata do cabo através da qual eu poderia ajustar o comprimento do meu cabo necessário facil"&amp;"mente.6. **********************Indo Até 3,4 amperes em certos casos, portanto, o cabo precisava ter uma capacidade de manuseio de corrente decente. Produto de ação: O cabo real possui uma classificação de placa de identificação de lidar com 2,1 amperes co"&amp;"ntra demandas em novos carregadores QC 3.0 que podem subir de 3,4 amperes. Aqui, deixe -me esclarecer que os mais recentes carregadores de QC variam de volta e índices de corrente para alcançar o carregamento rápido desejado e, portanto, não é como se um "&amp;"fluxo contínuo de 3,4 amperes está lá, ele continua reduzindo as classificações de cabos projetadas para um manuseio contínuo de corrente de Qualquer coisa acima de 2,0 amperes funcionaria suficientemente com os carregadores de QC 3.0. Tentou -o com segur"&amp;"ança várias vezes carregando meu Samsung S7 de 10 % sem que o cabo fique quente.7.) Garantia: **************** ********** vem com uma garantia de 1 ano conforme o esperado. Não é o melhor da indústria, mas razoável. Outras observações: *******************"&amp;"**************** A partir dos recursos listados acima, os outros detalhes do produto real recebido que vale a pena mencionar são: 8.) O cabo é fabricado na China e importado pelos revendedores do Amazon Warehouse sob o nome da marca e a filosofia do Amazo"&amp;"nBasics.9.) O cabo possui uma fabricação Data de outubro de 2017 e foi importada para a Índia em dezembro de 2017.10.) O cabo possui uma etiqueta MRP de 495 dólares, no entanto, eu o comprei on -line por 269 dólares. &amp; email também é impresso sobre o rótu"&amp;"lo para o registro de qualquer queixa do consumidor. Até agora, de construção ao desempenho parece ser convincente o suficiente para recomendá -lo e, por um preço de cerca de 260 Os tempos dão a preços baratos estão além da imaginação. Simplesmente soberb"&amp;"o, o governo não deve impedir os produtos da Amazon, os produtos da Amazon fornecem concorrência a produtos locais sem qualidade, que os consumidores são forçados a comprar porque não têm concorrência de qualidade. Make in Índia é bom, mas se os produtos "&amp;"make in Índia forem cópias simples e baratas de produtos de marca sem nenhum investimento em R e D, sem R e D, na Índia nunca teria sucesso e que empresas como a Amazon só levarão à perda para a perda por para Consumidores, o governo deve incentivar essa "&amp;"concorrência., A Amazon Basics fornece um dos melhores cabos disponíveis para carregar seu telefone ou conectar dispositivos. Como um cliente anterior de muitos cabos da Amazon Este cabo também não decepciona, suporta carregamento rápido para todos os meu"&amp;"s meus Telefones samsung. 6 preços acessíveis. Obrigado Amazoni também usa um cabo USB C para o meu Samsung S20FE., Super, o carregamento do produto está ok .. no entanto, tem apenas 1,80m de duração. O fornecedor poderia ter mencionado a descrição corret"&amp;"a do produto .. não há necessidade de enganar .. também cedo para dizer o desempenho como o recebi hoje., Bom, comprei muitos cabos de micro USB chineses baratos em Rs 50 e Rs 100 de Ubon e de muitas outras empresas locais chinesas, e nenhum deles funcion"&amp;"ou corretamente. vá para isso. E está cobrando também transferindo dados, sem nenhum problema e estou muito feliz com meu conselho de compra: não compre, cabos locais chineses baratos. Você terá que jogá -los no pó após algum tempo. um.")</f>
        <v>Sobre o AmazonBasics: xxxxxxxxxxxxxxxxxxxxxxxxxxxxxxxxxamazon Os básicos foram lançados em 2009 e é a própria marca interna da Amazon para movimentação rápida de pequenos consumidores eletrônicos. Aqui, a Amazon usa sua coleção maciça de dados de vendas para lançar produtos que são em grande demanda e já existem no mercado. preços. Basta colocar uma réplica semelhante para algo bem -sucedido, mas a preços muito acessíveis. Se algo não for um sucesso imediato, a Amazon o puxa e segue em frente. Aamazon, caso contrário, é como um mercado on -line, onde fornece um portal para vários vendedores venderem seu produto Mas com a AmazonBasics - a Amazon está vendendo seu próprio produto em seu próprio mercado. Aqui ele deriva o benefício de eliminar quaisquer distribuidores intermediários ou varejistas e, portanto, os produtos da marca AmazonBasics estão disponíveis por um preço mais baixo que atrai clientes em massa on -line. Como um benefício adicional, produtos AmazonBasics são entregues gratuitamente aos membros do Prime e são cobertos pela garantia da Amazon para todos e, portanto, qualquer procedimentos de reivindicação ou substituição são altamente simplificados e imediatamente atendidos. estava procurando um cabo com o conector USB A a Micro B. Listei minhas prioridades sob várias cabeças para chegar a uma conclusão e vamos comparar o produto real com base nos meus requisitos iniciais: 1). *********** Como deveria ser usado principalmente para dispositivos móveis rápidos carregando no carro, a capacidade de troca de dados não era muito preocupada. A preferência, porém, certamente teria sido um USB 3, mas também não me incomodou se eu também pudesse obter um USB 2.0. Seja muito bem. Não capturei nenhum dado de velocidade, mas todos conhecemos a velocidade da transferência de dados também varia com o tipo de dados que está sendo transferido. Quanto mais variedade de dados sendo transferidos simultaneamente, mais inferior será a velocidade.2.) Comprimento do cabo: ***************************** *********** novamente, já que eu não podia me dar ao luxo de ter um longo loop de cabo agrupado em torno do meu botão de engrenagem, eu preferia mantê -lo curto e simples, portanto, meu único mirante estava em torno de um metro ou abaixo. Produto real: O cabo veio bem embalado em um pacote de papel e tinha exatamente 0,9 metros ou aproximadamente 3 pés de comprimento. O comprimento era suficiente para eu conectar qualquer um dos dispositivos móveis ao meu carregador de carro nos motoristas ou no assento do passageiro lateral.3.) Padrões de flexibilidade/ flexibilidade/ força: ************* **************************************************** ************* Eu não sou particularmente fã daqueles fios trançados teimosos que são tão difíceis que eles mantêm a forma em que são dobrados. Eu queria algo que fosse espesso, mas flexível o suficiente para adquirir uma forma circular quando agrupada. Produto de ativação: o cabo recebido parecia exatamente como mostrado sobre o local com boa flexibilidade, espessura razoável e um cabo intermediário robusto. Toda a construção do cabo devido ao tamanho do cabo e da flexibilidade é quase livre de emaranhado. O cabo associado não era exatamente espesso, mas também não pode ser denominado como fino ou delicado. Não é o mais espesso que eu já vi, mas depois mais espessa nem sempre significa mais durável. Dada a minha aplicação, é mais do que apenas adequado. A qualidade geral construída e a qualidade do cabo e o isolamento parece promissor o suficiente para durar alguns anos. Mesmo que seja usado para que não seja o carregamento do carro, parece durável o suficiente para durar muito. Eu tinha ainda mais o cabo da MANSAA e um cabo de amkette para o mesmo objetivo, mas eles eram muito longos para a minha exigência.4.) Conectores moldados compactos: ******* **************************************************** ** Tinha uma inclinação em relação aos conectores moldados para evitar problemas em que os conectores se abrem expondo os PCBs terminais. Produto atual: Não há queixas em relação aos conectores do cabo real. Os conectores são perfeitamente moldados sem articulações ou riscos de se abrirem. As carcaças do conector são ainda mais compactas nos terminais para se encaixarem confortavelmente em espaços escassos. As portas do conector são resistentes o suficiente tanto nas portas USB A e Micro B. Os pinos da porta Micro B travam com segurança os dispositivos móveis de carregamento, o que é muito bom. Não há sinais de construção solta. uma resistência à corrosão e ninguém vai usá -los em água do mar salina de qualquer maneira.5.) Disponibilidade de laços/correias de velcro: **************************** ********************************* Eu esperava que uma gravata de cabo incluída ou uma pulseira de velcro fosse um bom complemento para ajustar e organizar corretamente o cabo conforme o requisito. Produto de ação: Isto eu sinto falta no cabo real fornecido, não há disposição de uma pulseira incluída ou gravata do cabo através da qual eu poderia ajustar o comprimento do meu cabo necessário facilmente.6. **********************Indo Até 3,4 amperes em certos casos, portanto, o cabo precisava ter uma capacidade de manuseio de corrente decente. Produto de ação: O cabo real possui uma classificação de placa de identificação de lidar com 2,1 amperes contra demandas em novos carregadores QC 3.0 que podem subir de 3,4 amperes. Aqui, deixe -me esclarecer que os mais recentes carregadores de QC variam de volta e índices de corrente para alcançar o carregamento rápido desejado e, portanto, não é como se um fluxo contínuo de 3,4 amperes está lá, ele continua reduzindo as classificações de cabos projetadas para um manuseio contínuo de corrente de Qualquer coisa acima de 2,0 amperes funcionaria suficientemente com os carregadores de QC 3.0. Tentou -o com segurança várias vezes carregando meu Samsung S7 de 10 % sem que o cabo fique quente.7.) Garantia: **************** ********** vem com uma garantia de 1 ano conforme o esperado. Não é o melhor da indústria, mas razoável. Outras observações: *********************************** A partir dos recursos listados acima, os outros detalhes do produto real recebido que vale a pena mencionar são: 8.) O cabo é fabricado na China e importado pelos revendedores do Amazon Warehouse sob o nome da marca e a filosofia do AmazonBasics.9.) O cabo possui uma fabricação Data de outubro de 2017 e foi importada para a Índia em dezembro de 2017.10.) O cabo possui uma etiqueta MRP de 495 dólares, no entanto, eu o comprei on -line por 269 dólares. &amp; email também é impresso sobre o rótulo para o registro de qualquer queixa do consumidor. Até agora, de construção ao desempenho parece ser convincente o suficiente para recomendá -lo e, por um preço de cerca de 260 Os tempos dão a preços baratos estão além da imaginação. Simplesmente soberbo, o governo não deve impedir os produtos da Amazon, os produtos da Amazon fornecem concorrência a produtos locais sem qualidade, que os consumidores são forçados a comprar porque não têm concorrência de qualidade. Make in Índia é bom, mas se os produtos make in Índia forem cópias simples e baratas de produtos de marca sem nenhum investimento em R e D, sem R e D, na Índia nunca teria sucesso e que empresas como a Amazon só levarão à perda para a perda por para Consumidores, o governo deve incentivar essa concorrência., A Amazon Basics fornece um dos melhores cabos disponíveis para carregar seu telefone ou conectar dispositivos. Como um cliente anterior de muitos cabos da Amazon Este cabo também não decepciona, suporta carregamento rápido para todos os meus meus Telefones samsung. 6 preços acessíveis. Obrigado Amazoni também usa um cabo USB C para o meu Samsung S20FE., Super, o carregamento do produto está ok .. no entanto, tem apenas 1,80m de duração. O fornecedor poderia ter mencionado a descrição correta do produto .. não há necessidade de enganar .. também cedo para dizer o desempenho como o recebi hoje., Bom, comprei muitos cabos de micro USB chineses baratos em Rs 50 e Rs 100 de Ubon e de muitas outras empresas locais chinesas, e nenhum deles funcionou corretamente. vá para isso. E está cobrando também transferindo dados, sem nenhum problema e estou muito feliz com meu conselho de compra: não compre, cabos locais chineses baratos. Você terá que jogá -los no pó após algum tempo. um.</v>
      </c>
    </row>
    <row r="54">
      <c r="A54" s="9" t="s">
        <v>243</v>
      </c>
      <c r="B54" s="29" t="str">
        <f>VLOOKUP(dados!A54, reviews!A:G, 5, FALSE)</f>
        <v>Good product but costly,It’s really long n sturdy no homo 🔥,Takes longer to charge than the regular cable,Quality is really good,iPhone X pink charging cable long one ☝️,A good purchase,It charges fine for me,Absolutely fantastic USB👍👍👍</v>
      </c>
      <c r="C54" s="29" t="str">
        <f>VLOOKUP(dados!A54, reviews!A:G, 6, FALSE)</f>
        <v>It cost should be under Rs. 500,Buy it,Color is as per the photo but takes longer to charge. Also doesn’t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phone’s color. Although the metal ends of the cable was rose gold, but the whole cable was pink, which I didn’t like. I went for the 2m long cable so that i can use it conveniently even if it is charging. Though it’s kinda bulky, yet serves it’s purpose. Charging speed is fast and efficient just like the original cable had. Also quite durable and sturdy. My Apple’s original lighting cable had some problem while charging so I purchased this one after watching many YouTube videos and reviews. It was indeed a good purchase.,It’s long and good,It’s a superb product in terms of sturdiness, looks, and charging speed.</v>
      </c>
      <c r="D54" s="29" t="str">
        <f>IFERROR(__xludf.DUMMYFUNCTION("GOOGLETRANSLATE(B54, ""en"", ""pt-br"")"),"Bom produto, mas caro, é muito longo e resistente no homo 🔥, leva mais tempo para cobrar do que o cabo comum, a qualidade é realmente boa, o cabo de carregamento rosa do iPhone X Long One ☝️, uma boa compra, ele cobra bem para mim, absolutamente fantásti"&amp;"co USB 👍👍👍")</f>
        <v>Bom produto, mas caro, é muito longo e resistente no homo 🔥, leva mais tempo para cobrar do que o cabo comum, a qualidade é realmente boa, o cabo de carregamento rosa do iPhone X Long One ☝️, uma boa compra, ele cobra bem para mim, absolutamente fantástico USB 👍👍👍</v>
      </c>
      <c r="E54" s="29" t="str">
        <f>IFERROR(__xludf.DUMMYFUNCTION("GOOGLETRANSLATE(C54, ""en"", ""pt-br"")"),"O custo deve estar em Rs. 500, compre, a cor é de acordo com a foto, mas leva mais tempo para carregar. Também não carrega em todos os soquetes. Os pontos de trabalho para funcionar melhor quando conectados diretamente no laptop., O comprimento do cabo é "&amp;"longo, para que você possa usá -lo feliz por uma longa distância e a qualidade é realmente boa, 1 metro de carregamento rosa Fio para iPhone X longo e forte para uso., Eu uso este cabo de iluminação há quase um mês e o cabo acabou exatamente como foi most"&amp;"rado. Peguei o ouro rosa que corresponde à cor do meu telefone. Embora as extremidades de metal do cabo fossem ouro rosa, mas todo o cabo estava rosa, o que eu não gostava. Fui para o cabo de 2m de comprimento para poder usá -lo convenientemente, mesmo qu"&amp;"e esteja carregando. Embora seja meio volumoso, mas serve ao seu propósito. A velocidade de carregamento é rápida e eficiente, assim como o cabo original. Também bastante durável e resistente. O cabo de iluminação original da minha Apple teve algum proble"&amp;"ma ao carregar, então comprei este depois de assistir a muitos vídeos e críticas do YouTube. Foi realmente uma boa compra., É longo e bom, é um produto excelente em termos de robustez, aparência e velocidade de carregamento.")</f>
        <v>O custo deve estar em Rs. 500, compre, a cor é de acordo com a foto, mas leva mais tempo para carregar. Também não carrega em todos os soquetes. Os pontos de trabalho para funcionar melhor quando conectados diretamente no laptop., O comprimento do cabo é longo, para que você possa usá -lo feliz por uma longa distância e a qualidade é realmente boa, 1 metro de carregamento rosa Fio para iPhone X longo e forte para uso., Eu uso este cabo de iluminação há quase um mês e o cabo acabou exatamente como foi mostrado. Peguei o ouro rosa que corresponde à cor do meu telefone. Embora as extremidades de metal do cabo fossem ouro rosa, mas todo o cabo estava rosa, o que eu não gostava. Fui para o cabo de 2m de comprimento para poder usá -lo convenientemente, mesmo que esteja carregando. Embora seja meio volumoso, mas serve ao seu propósito. A velocidade de carregamento é rápida e eficiente, assim como o cabo original. Também bastante durável e resistente. O cabo de iluminação original da minha Apple teve algum problema ao carregar, então comprei este depois de assistir a muitos vídeos e críticas do YouTube. Foi realmente uma boa compra., É longo e bom, é um produto excelente em termos de robustez, aparência e velocidade de carregamento.</v>
      </c>
    </row>
    <row r="55">
      <c r="A55" s="9" t="s">
        <v>247</v>
      </c>
      <c r="B55" s="29" t="str">
        <f>VLOOKUP(dados!A55, reviews!A:G, 5, FALSE)</f>
        <v>Firestick plugging in issue, otherwise a good deal,Cheap &amp; Best Product,Low budget led tv,Nice tv,Very. Good,Why is the installation guy asking for installation charge?,Good Budget Tv,Good TV but after using it for 9 days, has found a flaw</v>
      </c>
      <c r="C55" s="29" t="str">
        <f>VLOOKUP(dados!A55, reviews!A:G, 6, FALSE)</f>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v>
      </c>
      <c r="D55" s="29" t="str">
        <f>IFERROR(__xludf.DUMMYFUNCTION("GOOGLETRANSLATE(B55, ""en"", ""pt-br"")"),"Firestick Pluging em edição, caso contrário, um bom negócio, barato e melhor produto, TV de baixo orçamento, TV agradável, muito. Bom, por que o cara da instalação está pedindo uma taxa de instalação?, Bom orçamento, TV, mas depois de usá -la por 9 dias, "&amp;"encontrou uma falha")</f>
        <v>Firestick Pluging em edição, caso contrário, um bom negócio, barato e melhor produto, TV de baixo orçamento, TV agradável, muito. Bom, por que o cara da instalação está pedindo uma taxa de instalação?, Bom orçamento, TV, mas depois de usá -la por 9 dias, encontrou uma falha</v>
      </c>
      <c r="E55" s="29" t="str">
        <f>IFERROR(__xludf.DUMMYFUNCTION("GOOGLETRANSLATE(C55, ""en"", ""pt-br"")"),"Eu tenho isso por 6k. A esse preço, acredito que a TV oferece qualidade decente. De qualquer forma, você não deve esperar uma qualidade incrível de uma resolução de tela de 1366x768. O áudio também está bem. Além de 50, o áudio começa a rachar. A partir d"&amp;"e uma distância de visualização de 6-8 pés, a qualidade parece boa. Por favor, note: você lutará bastante para adicionar diretamente um Firestick à porta HDMI. Eles deram outras portas ao lado das portas HDMI, por causa das quais o Firestick não tem espaç"&amp;"o adequado para caber corretamente, a menos que você realmente o empurrasse lá. Minha sugestão é obter um extensor HDMI para isso. Além disso, eu diria que, para uma pequena sala, é um valor de 7/10., valor ao dinheiro, satisfeito com o produto até agora,"&amp;" este desempenho de baixo orçamento de TV LED bom 👍 desempenho, mas Picture &amp; Audio não é bom, https: //m.media-amazon.com/images/i/61qvxyp2mcl._sy88.jpg,good,tv é ótimo, mas o cara da instalação me pediu 400 ₹ instalação paga ... informações incorretas,"&amp;" mas Novamente por esse preço, é uma boa TV. Não pague o cara da instalação, você pode fazer isso sozinho, vou dar 4 estrelas em 5. Comprei este VW de 32 polegadas em 6150 após descontos. A qualidade da imagem e a qualidade do som são boas. Eu acrescentei"&amp;" o Firestick a ele e a Voila se tornou TV inteligente. As conexões para anexar esses USBs estão na parte inferior da TV, que é ligeiramente diferente de outras TVs. Isso está acontecendo mais quando assisto à TV por algumas horas e, quando desligo a TV co"&amp;"m o controle remoto do Firestick, o indicador de cores amarelo abaixo não fica vermelho, mas permanece amarelo. No que diz respeito à tela, a tela da TV muda para Black Whitish, parece -me que a TV entra no modo de hibernação ou suspensão. Isso é uma culp"&amp;"a da TV, pois uma TV normal deve se afastar completamente e o indicador deve ficar vermelho. Liguei para o técnico amanhã e se ele verificar e se ele concorda, então eu deveria obter um substituto, pois ainda tenho dois dias para substituí -lo. Apenas uma"&amp;" nota de ajuda para as pessoas que compram esta TV: se você vai conectar o Firestick a ele , como solicita o nome da marca da TV, você pode selecionar a VU e funcionará perfeitamente no seu Firestick. Obrigado e divirta -se!")</f>
        <v>Eu tenho isso por 6k. A esse preço, acredito que a TV oferece qualidade decente. De qualquer forma, você não deve esperar uma qualidade incrível de uma resolução de tela de 1366x768. O áudio também está bem. Além de 50, o áudio começa a rachar. A partir de uma distância de visualização de 6-8 pés, a qualidade parece boa. Por favor, note: você lutará bastante para adicionar diretamente um Firestick à porta HDMI. Eles deram outras portas ao lado das portas HDMI, por causa das quais o Firestick não tem espaço adequado para caber corretamente, a menos que você realmente o empurrasse lá. Minha sugestão é obter um extensor HDMI para isso. Além disso, eu diria que, para uma pequena sala, é um valor de 7/10., valor ao dinheiro, satisfeito com o produto até agora, este desempenho de baixo orçamento de TV LED bom 👍 desempenho, mas Picture &amp; Audio não é bom, https: //m.media-amazon.com/images/i/61qvxyp2mcl._sy88.jpg,good,tv é ótimo, mas o cara da instalação me pediu 400 ₹ instalação paga ... informações incorretas, mas Novamente por esse preço, é uma boa TV. Não pague o cara da instalação, você pode fazer isso sozinho, vou dar 4 estrelas em 5. Comprei este VW de 32 polegadas em 6150 após descontos. A qualidade da imagem e a qualidade do som são boas. Eu acrescentei o Firestick a ele e a Voila se tornou TV inteligente. As conexões para anexar esses USBs estão na parte inferior da TV, que é ligeiramente diferente de outras TVs. Isso está acontecendo mais quando assisto à TV por algumas horas e, quando desligo a TV com o controle remoto do Firestick, o indicador de cores amarelo abaixo não fica vermelho, mas permanece amarelo. No que diz respeito à tela, a tela da TV muda para Black Whitish, parece -me que a TV entra no modo de hibernação ou suspensão. Isso é uma culpa da TV, pois uma TV normal deve se afastar completamente e o indicador deve ficar vermelho. Liguei para o técnico amanhã e se ele verificar e se ele concorda, então eu deveria obter um substituto, pois ainda tenho dois dias para substituí -lo. Apenas uma nota de ajuda para as pessoas que compram esta TV: se você vai conectar o Firestick a ele , como solicita o nome da marca da TV, você pode selecionar a VU e funcionará perfeitamente no seu Firestick. Obrigado e divirta -se!</v>
      </c>
    </row>
    <row r="56">
      <c r="A56" s="9" t="s">
        <v>253</v>
      </c>
      <c r="B56" s="29" t="str">
        <f>VLOOKUP(dados!A56, reviews!A:G, 5, FALSE)</f>
        <v>Good product,Strong and powerful,Useful product.,Very nice 👌 👍 product,Good 👍🏻,Good,USB,Strong buid , study design , charging speed ☹️</v>
      </c>
      <c r="C56" s="29" t="str">
        <f>VLOOKUP(dados!A56, reviews!A:G, 6, FALSE)</f>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v>
      </c>
      <c r="D56" s="29" t="str">
        <f>IFERROR(__xludf.DUMMYFUNCTION("GOOGLETRANSLATE(B56, ""en"", ""pt-br"")"),"Bom produto, produto forte e poderoso e útil., Muito bom 👌 👍 Produto, bom 👍🏻, bom, USB, Buid forte, desenho do estudo, velocidade de carregamento ☹️")</f>
        <v>Bom produto, produto forte e poderoso e útil., Muito bom 👌 👍 Produto, bom 👍🏻, bom, USB, Buid forte, desenho do estudo, velocidade de carregamento ☹️</v>
      </c>
      <c r="E56" s="29" t="str">
        <f>IFERROR(__xludf.DUMMYFUNCTION("GOOGLETRANSLATE(C56, ""en"", ""pt-br"")"),"Qualidade está ok apenas ok, bem, vá em busca de um bom cabo, produto útil nesse preço., muito bom, bom e de carregamento, a velocidade de carregamento suporta até 25V, a quantidade do produto é excelente, mas muito lenta, carregamento, o cabo é absolutam"&amp;"ente bonito, forte, durável . Mas não suponha o carregamento rápido, como eu esperava, verifiquei a velocidade com o StopWatch, estou usando o telefone RealMe, com meu carregador Realme 20W original e o cabo original, o tempo leva para cobrar 68% a 69% é "&amp;"de 34 segundos. Mas com este cabo de ambrária, é necessário 1 min 32 segundos para cobrar de 69% a 70%.")</f>
        <v>Qualidade está ok apenas ok, bem, vá em busca de um bom cabo, produto útil nesse preço., muito bom, bom e de carregamento, a velocidade de carregamento suporta até 25V, a quantidade do produto é excelente, mas muito lenta, carregamento, o cabo é absolutamente bonito, forte, durável . Mas não suponha o carregamento rápido, como eu esperava, verifiquei a velocidade com o StopWatch, estou usando o telefone RealMe, com meu carregador Realme 20W original e o cabo original, o tempo leva para cobrar 68% a 69% é de 34 segundos. Mas com este cabo de ambrária, é necessário 1 min 32 segundos para cobrar de 69% a 70%.</v>
      </c>
    </row>
    <row r="57">
      <c r="A57" s="9" t="s">
        <v>257</v>
      </c>
      <c r="B57" s="29" t="str">
        <f>VLOOKUP(dados!A57, reviews!A:G, 5, FALSE)</f>
        <v>The button contacts are not very good.,Okay for temporary use,Seller: Smart Place Store; Remote Not original,It's below average,Ok,Tata sky remote,Tatasky remote.,Working one, but parts are flimsy.</v>
      </c>
      <c r="C57" s="29" t="str">
        <f>VLOOKUP(dados!A57, reviews!A:G, 6, FALSE)</f>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v>
      </c>
      <c r="D57" s="29" t="str">
        <f>IFERROR(__xludf.DUMMYFUNCTION("GOOGLETRANSLATE(B57, ""en"", ""pt-br"")"),"Os contatos do botão não são muito bons., Ok, para uso temporário, vendedor: loja de lugares inteligentes; Remoto não original, está abaixo da média, OK, Tata Sky Remote, Tatasky Remote., Trabalhando um, mas as partes são frágeis.")</f>
        <v>Os contatos do botão não são muito bons., Ok, para uso temporário, vendedor: loja de lugares inteligentes; Remoto não original, está abaixo da média, OK, Tata Sky Remote, Tatasky Remote., Trabalhando um, mas as partes são frágeis.</v>
      </c>
      <c r="E57" s="29" t="str">
        <f>IFERROR(__xludf.DUMMYFUNCTION("GOOGLETRANSLATE(C57, ""en"", ""pt-br"")"),"Os contatos do botão não são muito bons., Não parece tão padrão e durável quanto o produto original, comprado da Seller: Smart Place Store; obras remotas, mas a baixa qualidade de construção. Não é original., O material é muito médio, funciona como descri"&amp;"to, não atende às expectativas, mas O K., é um bom produto. As peças provavelmente quebram mesmo em caso de queda pequena.")</f>
        <v>Os contatos do botão não são muito bons., Não parece tão padrão e durável quanto o produto original, comprado da Seller: Smart Place Store; obras remotas, mas a baixa qualidade de construção. Não é original., O material é muito médio, funciona como descrito, não atende às expectativas, mas O K., é um bom produto. As peças provavelmente quebram mesmo em caso de queda pequena.</v>
      </c>
    </row>
    <row r="58">
      <c r="A58" s="9" t="s">
        <v>261</v>
      </c>
      <c r="B58" s="29" t="str">
        <f>VLOOKUP(dados!A58, reviews!A:G, 5, FALSE)</f>
        <v>Works on linux for me. Get the model with antenna.,Does what it say but other brands available at lesser price,Easy Handle,Great product,Perfect working,Speed is perfect,Great Design, Build, Connectivity Range, Packaging and other features but no linux support since v2,Very good</v>
      </c>
      <c r="C58" s="29" t="str">
        <f>VLOOKUP(dados!A58, reviews!A:G, 6, FALSE)</f>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 ★ ★ ★ ★Build Quality: ★ ★ ★ ★ ★Packaging:  ★ ★ ★ ★ ★Software:  ★ ★ ★ ★Speed:  ★ ★ ★ ★ ★Connectivity:  ★ ★ ★ ★ ★Experience:  ★ ★ ★ ★ ★Warranty:  ★ ★ ★ ★ ★Size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v>
      </c>
      <c r="D58" s="29" t="str">
        <f>IFERROR(__xludf.DUMMYFUNCTION("GOOGLETRANSLATE(B58, ""en"", ""pt-br"")"),"Funciona no Linux para mim. Obtenha o modelo com antena., Faz o que diz, mas outras marcas disponíveis a menor preço, alça fácil, ótimo produto, trabalho perfeito, velocidade é perfeita, ótimo design, construção, alcance de conectividade, embalagem e outr"&amp;"os recursos, mas sem suporte ao Linux desde V2 ,Muito bom")</f>
        <v>Funciona no Linux para mim. Obtenha o modelo com antena., Faz o que diz, mas outras marcas disponíveis a menor preço, alça fácil, ótimo produto, trabalho perfeito, velocidade é perfeita, ótimo design, construção, alcance de conectividade, embalagem e outros recursos, mas sem suporte ao Linux desde V2 ,Muito bom</v>
      </c>
      <c r="E58" s="29" t="str">
        <f>IFERROR(__xludf.DUMMYFUNCTION("GOOGLETRANSLATE(C58, ""en"", ""pt-br"")"),"Eu uso isso para conectar um PC antigo à Internet. Eu tentei o Lubuntu 20 e o Ubuntu 22, ele funcionou fora da caixa em ambos, não precisava fazer nenhuma configuração. Há um cabo de extensor para que você possa colocar isso em um lugar confortável. Obten"&amp;"ha o modelo com a antena porque, caso contrário, você terá problemas de alcance se não estiver diretamente na linha de visão do seu roteador Wi -Fi., O WiFi Dongle é um dispositivo simples de plug &amp; play, começará a capturar redes disponíveis logo após vo"&amp;"cê conectar Na sua porta USB, nenhuma instalação/ softwares adicional exige. A força do sinal é boa ... apenas me pergunto o que seria diferente em outros adaptadores de marcas menos conhecidas que estão disponíveis a um preço muito mais competitivo, daí "&amp;"uma estrela menos., Prós:*fácil de usar e portátil*pode ser conectado a Hotspot móvel e usado no PC (amigável ao orçamento)*Menos processo de instalação*Não há problemas de aquecimento e boa cobertura*melhor alternativa para a amarração USB (a bateria do "&amp;"telefone pode ser danificada para execução a longo prazo com amarração) Contras:*A velocidade da conexão da Internet varia às vezes, Também depende do seu modem ou conexão celular*Os problemas ocorrem durante a instalação via CD, que está disponível junto"&amp;" com o produto (o driver de instalação pode ser baixado do site TP-Link)*necessário para reconectar o adaptador sempre que o sistema Trabalhe se o seu software tiver alguns problemas, por isso encontrou qualquer apenas atualização do seu sistema (funciono"&amp;"u para mim)*Centro de suporte é pior, as chamadas são desacompanhadas na maioria das vezes ou apenas visitam o storeConclusão nas proximidades: trouxe @499/-ideal para usuários que não Não precisa de uso da Internet de alta velocidade, uma boa alternativa"&amp;" para a amarração USB e está em brotar (os vídeos do YouTube de 1080p podem ser facilmente reproduzidos com isso sem interrupções), a conectividade WiFi é um ótimo resultado para mim. No entanto, alguns problemas de jitter existiram., Este é um dispositiv"&amp;"o perfeito para conectar o WiFi. Go for it.,This wifi adopter is good working,(Pictures attached)Size/Design:  ★ ★ ★ ★ ★Build Quality: ★ ★ ★ ★ ★Packaging:  ★ ★ ★ ★ ★Software:  ★ ★ ★ ★Speed:  ★ ★ ★ ★ ★ Conectividade: ★ ★ ★ ★ ★ Experiência: ★ ★ ★ ★ ★ Garant"&amp;"ia: ★ ★ ★ ★ ★ Tamanho e design: a melhor parte disso é que é muito compacto em tamanho e muito sóbrio e elegante em design. Esta é uma grande vantagem, pois é fácil plug e usar, adicione a ele o bom design sóbrio. Qualidade da construção: a qualidade de c"&amp;"onstrução é sem dúvida excelente. Apenas não há escrúpulos sobre isso. Quando mantido, não emite uma sensação barata e frágil, semelhante a um produto. É bom resistente com sua qualidade de construção. Isso garante que eu, como cliente, tenha recebido alg"&amp;"o que não está danificado internamente. É que nenhum suporte ao Linux foi dado a partir da versão 2 em diante. Isso é ruim, na verdade. Praticamente falando, eu o testei em minha casa e ele suporta facilmente a velocidade líquida de mais de 100-150 Mbps s"&amp;"em um suspiro. metros. Multiplique os medidores x 3 para obter a distância nos pés. Ele se conecta facilmente ao meu laptop ou telefone a 7 metros de uma sala. Então isso é 21 pés. Quero dizer, mesmo nosso antigo Bluetooth usado para se conectar a cerca d"&amp;"e 15 pés. Então, 20-25 pés não é um problema com isso. Esta é a grande vantagem que encontrei com o produto. Experiência: deste ponto de vista, até agora, exceto a questão da não compatibilidade do Linux, não encontrei outras falhas com este produto. Entã"&amp;"o, no geral, é um ótimo produto. Por isso, tenho certeza de que pelo menos por 3 anos eu sou livre de tensão e não apenas 1 ano, ao contrário da maioria dos itens eletrônicos hoje que fornecem apenas uma garantia de 1 ano com seus itens., Melhor adaptador"&amp;" que comprei de todos os tempos. Funciona bem conectividade sem aparência")</f>
        <v>Eu uso isso para conectar um PC antigo à Internet. Eu tentei o Lubuntu 20 e o Ubuntu 22, ele funcionou fora da caixa em ambos, não precisava fazer nenhuma configuração. Há um cabo de extensor para que você possa colocar isso em um lugar confortável. Obtenha o modelo com a antena porque, caso contrário, você terá problemas de alcance se não estiver diretamente na linha de visão do seu roteador Wi -Fi., O WiFi Dongle é um dispositivo simples de plug &amp; play, começará a capturar redes disponíveis logo após você conectar Na sua porta USB, nenhuma instalação/ softwares adicional exige. A força do sinal é boa ... apenas me pergunto o que seria diferente em outros adaptadores de marcas menos conhecidas que estão disponíveis a um preço muito mais competitivo, daí uma estrela menos., Prós:*fácil de usar e portátil*pode ser conectado a Hotspot móvel e usado no PC (amigável ao orçamento)*Menos processo de instalação*Não há problemas de aquecimento e boa cobertura*melhor alternativa para a amarração USB (a bateria do telefone pode ser danificada para execução a longo prazo com amarração) Contras:*A velocidade da conexão da Internet varia às vezes, Também depende do seu modem ou conexão celular*Os problemas ocorrem durante a instalação via CD, que está disponível junto com o produto (o driver de instalação pode ser baixado do site TP-Link)*necessário para reconectar o adaptador sempre que o sistema Trabalhe se o seu software tiver alguns problemas, por isso encontrou qualquer apenas atualização do seu sistema (funcionou para mim)*Centro de suporte é pior, as chamadas são desacompanhadas na maioria das vezes ou apenas visitam o storeConclusão nas proximidades: trouxe @499/-ideal para usuários que não Não precisa de uso da Internet de alta velocidade, uma boa alternativa para a amarração USB e está em brotar (os vídeos do YouTube de 1080p podem ser facilmente reproduzidos com isso sem interrupções), a conectividade WiFi é um ótimo resultado para mim. No entanto, alguns problemas de jitter existiram., Este é um dispositivo perfeito para conectar o WiFi. Go for it.,This wifi adopter is good working,(Pictures attached)Size/Design:  ★ ★ ★ ★ ★Build Quality: ★ ★ ★ ★ ★Packaging:  ★ ★ ★ ★ ★Software:  ★ ★ ★ ★Speed:  ★ ★ ★ ★ ★ Conectividade: ★ ★ ★ ★ ★ Experiência: ★ ★ ★ ★ ★ Garantia: ★ ★ ★ ★ ★ Tamanho e design: a melhor parte disso é que é muito compacto em tamanho e muito sóbrio e elegante em design. Esta é uma grande vantagem, pois é fácil plug e usar, adicione a ele o bom design sóbrio. Qualidade da construção: a qualidade de construção é sem dúvida excelente. Apenas não há escrúpulos sobre isso. Quando mantido, não emite uma sensação barata e frágil, semelhante a um produto. É bom resistente com sua qualidade de construção. Isso garante que eu, como cliente, tenha recebido algo que não está danificado internamente. É que nenhum suporte ao Linux foi dado a partir da versão 2 em diante. Isso é ruim, na verdade. Praticamente falando, eu o testei em minha casa e ele suporta facilmente a velocidade líquida de mais de 100-150 Mbps sem um suspiro. metros. Multiplique os medidores x 3 para obter a distância nos pés. Ele se conecta facilmente ao meu laptop ou telefone a 7 metros de uma sala. Então isso é 21 pés. Quero dizer, mesmo nosso antigo Bluetooth usado para se conectar a cerca de 15 pés. Então, 20-25 pés não é um problema com isso. Esta é a grande vantagem que encontrei com o produto. Experiência: deste ponto de vista, até agora, exceto a questão da não compatibilidade do Linux, não encontrei outras falhas com este produto. Então, no geral, é um ótimo produto. Por isso, tenho certeza de que pelo menos por 3 anos eu sou livre de tensão e não apenas 1 ano, ao contrário da maioria dos itens eletrônicos hoje que fornecem apenas uma garantia de 1 ano com seus itens., Melhor adaptador que comprei de todos os tempos. Funciona bem conectividade sem aparência</v>
      </c>
    </row>
    <row r="59">
      <c r="A59" s="9" t="s">
        <v>265</v>
      </c>
      <c r="B59" s="29" t="str">
        <f>VLOOKUP(dados!A59, reviews!A:G, 5, FALSE)</f>
        <v>Worthy and most affordable - Great TV,Good product,It's really worth the money but,Better product in this budget,Product review,nice tv,Best product,Budget friendly TV</v>
      </c>
      <c r="C59" s="29" t="str">
        <f>VLOOKUP(dados!A59, reviews!A:G, 6, FALSE)</f>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v>
      </c>
      <c r="D59" s="29" t="str">
        <f>IFERROR(__xludf.DUMMYFUNCTION("GOOGLETRANSLATE(B59, ""en"", ""pt-br"")"),"Digno e mais acessível - ótima TV, bom produto, vale a pena o dinheiro, mas, melhor produto nesse orçamento, revisão de produtos, boa TV, melhor produto, TV amigável ao orçamento")</f>
        <v>Digno e mais acessível - ótima TV, bom produto, vale a pena o dinheiro, mas, melhor produto nesse orçamento, revisão de produtos, boa TV, melhor produto, TV amigável ao orçamento</v>
      </c>
      <c r="E59" s="29" t="str">
        <f>IFERROR(__xludf.DUMMYFUNCTION("GOOGLETRANSLATE(C59, ""en"", ""pt-br"")"),"Esta TV OnePlus é ótima se você quiser uma gama acessível e intermediária apresenta TV. Consegui isso na oferta e valeu totalmente a pena.Pros: -1. O som é incrível - 100% satisfeito com a qualidade do som. Os alto -falantes Dolby Audio 20W são realmente "&amp;"ótimos para TV com certeza. Tamanho e Slim - é magro e parece elegante. Muito leve e útil para instalar. Fácil de instalar e montar na parede. A instalação e configuração do software TYE é muito fácil e qualquer um pode fazê -lo em casa. Ele é integrado a"&amp;" aplicativos móveis, redes remotas e wifi com muita rapidez e facilidade. O processo geral de inscrição e as instalações de aplicativos são rápidas e automáticas. Ele suporta todos os recursos inteligentes, como Netflix, Prime e YouTube. É facilmente inst"&amp;"alável e login para começar a usar rapidamente. Também é fácil digitalizar os canais da caixa de instalação e começar a visualizá-los. A qualidade da imagem é 776p. É médio e não muito claro. Mas vale a pena a faixa de preço. Não vou reclamar, pois o cust"&amp;"o da TV é muito acessível e essa qualidade é justificada. A conexão Bluetooth e WiFi às vezes podem se desconectar e causar alguns problemas. Encontrei esse problema de desconexão e tive que redefinir o dispositivo completo e fazer a inscrição completa no"&amp;"vamente. O restante é muito bom e adorei este produto. Eu sinto que valeu a pena pedir. Se você está procurando, algo é de médio alcance e só precisa para seus pais antigos e não tem uso inteligente extenso, basta 100%. Em seguida, escolha uma versão melh"&amp;"or com a qualidade Full HD e 4K. Esta TV não dará uma boa experiência para o esporte devido à menos qualidade de imagem, mas é muito bom para programas familiares diários e canais de TV. Uma última coisa que eu quero expressar e estou desapontado é isso. "&amp;"Eu recebi meu pedido entregue na sexta -feira E eu agendei minha instalação para sábado. Mas ninguém apareceu naquele dia e eu tive que reagir na terça -feira de manhã, e ainda hoje ninguém apareceu. Recebi uma ligação da Amazon para reagir para a noite d"&amp;"e terça -feira e ainda assim, ninguém apareceu. Esse é um serviço muito ruim e irresponsável da OnePlus e da Amazon. Estou muito decepcionado com o serviço e criticar muito esse comportamento. Uma empresa sempre deve cuidar da satisfação do cliente e você"&amp;" falhou em fazer isso. O que vocês esperam que façamos? Aguarde 5 a 6 dias para instalar minha TV mesmo quando for entregue e espere que vocês venham depois de tantos dias. Mesmo quando estou entregue minha TV inteligente em minha casa, tenho que esperar "&amp;"e não gostar, porque vocês não fizeram seu trabalho corretamente. Pelo menos mantém alguma decência e respeita os clientes que estão pagando uma grande quantia e pedindo um Grande item da sua empresa. Você deve tomar cuidado para que o dinheiro que gastei"&amp;" tenha valido a pena e não enfrentar nenhum problema. Muito desapontado com esse comportamento e serviço., Bom produto, a conectividade é mais rápida, mas o desempenho é um pouco mais lento, o maior problema que enfrento é que não tem um cabo auxiliar, pa"&amp;"ra que não seja capaz de conectar minha barra de som. ..... a porta HDMI é inútil, não funciona. Então, eu a conecto via Bluetooth, mas o problema é que ela não se conectará automaticamente, sempre que eu na TV, preciso conectá -la manualmente, é um recur"&amp;"so básico O que não é fornecido nesta TV, então outra desvantagem é que foi rápido no começo agora já se passaram 4 meses e é super lotado ..... mesmo depois da atualização é da mesma forma ..... sim, mas neste preço RANGE A qualidade da imagem é excelent"&amp;"e ...... Isso é tudo, boa qualidade em figura e volume é um pouco baixo, além desse produto, é bom. Friendia ao orçamento, fico feliz com isso., Depois de alguns dias, a TV se apresentará lentamente e o controle remoto é muito, graças, obrigado Amazon e O"&amp;"nePlus, 1. O som é bom2. Instalação fácil3. Muito fino e menos peso4. O reconhecimento de voz é bom, como a faixa de conectividade comobiliza e amigável, é pobre. Muitos tempos são desconectados. A profundidade corporal não é tão boa.")</f>
        <v>Esta TV OnePlus é ótima se você quiser uma gama acessível e intermediária apresenta TV. Consegui isso na oferta e valeu totalmente a pena.Pros: -1. O som é incrível - 100% satisfeito com a qualidade do som. Os alto -falantes Dolby Audio 20W são realmente ótimos para TV com certeza. Tamanho e Slim - é magro e parece elegante. Muito leve e útil para instalar. Fácil de instalar e montar na parede. A instalação e configuração do software TYE é muito fácil e qualquer um pode fazê -lo em casa. Ele é integrado a aplicativos móveis, redes remotas e wifi com muita rapidez e facilidade. O processo geral de inscrição e as instalações de aplicativos são rápidas e automáticas. Ele suporta todos os recursos inteligentes, como Netflix, Prime e YouTube. É facilmente instalável e login para começar a usar rapidamente. Também é fácil digitalizar os canais da caixa de instalação e começar a visualizá-los. A qualidade da imagem é 776p. É médio e não muito claro. Mas vale a pena a faixa de preço. Não vou reclamar, pois o custo da TV é muito acessível e essa qualidade é justificada. A conexão Bluetooth e WiFi às vezes podem se desconectar e causar alguns problemas. Encontrei esse problema de desconexão e tive que redefinir o dispositivo completo e fazer a inscrição completa novamente. O restante é muito bom e adorei este produto. Eu sinto que valeu a pena pedir. Se você está procurando, algo é de médio alcance e só precisa para seus pais antigos e não tem uso inteligente extenso, basta 100%. Em seguida, escolha uma versão melhor com a qualidade Full HD e 4K. Esta TV não dará uma boa experiência para o esporte devido à menos qualidade de imagem, mas é muito bom para programas familiares diários e canais de TV. Uma última coisa que eu quero expressar e estou desapontado é isso. Eu recebi meu pedido entregue na sexta -feira E eu agendei minha instalação para sábado. Mas ninguém apareceu naquele dia e eu tive que reagir na terça -feira de manhã, e ainda hoje ninguém apareceu. Recebi uma ligação da Amazon para reagir para a noite de terça -feira e ainda assim, ninguém apareceu. Esse é um serviço muito ruim e irresponsável da OnePlus e da Amazon. Estou muito decepcionado com o serviço e criticar muito esse comportamento. Uma empresa sempre deve cuidar da satisfação do cliente e você falhou em fazer isso. O que vocês esperam que façamos? Aguarde 5 a 6 dias para instalar minha TV mesmo quando for entregue e espere que vocês venham depois de tantos dias. Mesmo quando estou entregue minha TV inteligente em minha casa, tenho que esperar e não gostar, porque vocês não fizeram seu trabalho corretamente. Pelo menos mantém alguma decência e respeita os clientes que estão pagando uma grande quantia e pedindo um Grande item da sua empresa. Você deve tomar cuidado para que o dinheiro que gastei tenha valido a pena e não enfrentar nenhum problema. Muito desapontado com esse comportamento e serviço., Bom produto, a conectividade é mais rápida, mas o desempenho é um pouco mais lento, o maior problema que enfrento é que não tem um cabo auxiliar, para que não seja capaz de conectar minha barra de som. ..... a porta HDMI é inútil, não funciona. Então, eu a conecto via Bluetooth, mas o problema é que ela não se conectará automaticamente, sempre que eu na TV, preciso conectá -la manualmente, é um recurso básico O que não é fornecido nesta TV, então outra desvantagem é que foi rápido no começo agora já se passaram 4 meses e é super lotado ..... mesmo depois da atualização é da mesma forma ..... sim, mas neste preço RANGE A qualidade da imagem é excelente ...... Isso é tudo, boa qualidade em figura e volume é um pouco baixo, além desse produto, é bom. Friendia ao orçamento, fico feliz com isso., Depois de alguns dias, a TV se apresentará lentamente e o controle remoto é muito, graças, obrigado Amazon e OnePlus, 1. O som é bom2. Instalação fácil3. Muito fino e menos peso4. O reconhecimento de voz é bom, como a faixa de conectividade comobiliza e amigável, é pobre. Muitos tempos são desconectados. A profundidade corporal não é tão boa.</v>
      </c>
    </row>
    <row r="60">
      <c r="A60" s="9" t="s">
        <v>269</v>
      </c>
      <c r="B60" s="29" t="str">
        <f>VLOOKUP(dados!A60, reviews!A:G, 5, FALSE)</f>
        <v>Nice,Awesome,Quick not charger🤏,Expensive at this price,Multiple mobile can’t be charged at a time,THIS IS FAST CHARGING ON BOTH MY SAMSUNG PHONES AND IPHONE TOO. Go for it !!,Excellent quality!,CHARGING CABLE</v>
      </c>
      <c r="C60" s="29" t="str">
        <f>VLOOKUP(dados!A60, reviews!A:G, 6, FALSE)</f>
        <v>Good,Got a nice product,Quick not charger🤏,Cable is very good and looks durable but the pins quality are not good, infact iPhone pin keep coming out even with small movement, You can drive and charge simultaneously. Type C is good and the other pin is very hard to insert but workable.,This not a fast charger and can’t be used for data transfer. Multiple mobile can’t be charged at a time,This works as expected. It is working for both my Samsung phones and the lightning cable also works perfectly..,I loved this product for my car. It's long and quite valuable for charging three mobiles together in one go.,GOOD PRODUCT.</v>
      </c>
      <c r="D60" s="29" t="str">
        <f>IFERROR(__xludf.DUMMYFUNCTION("GOOGLETRANSLATE(B60, ""en"", ""pt-br"")"),"Bom, incrível, rápido, não carregador, caro a esse preço, vários celulares não podem ser cobrados de cada vez, isso também é um carregamento rápido nos meus telefones Samsung e iPhone. Vá em frente !!, excelente qualidade!, Cabo de carregamento")</f>
        <v>Bom, incrível, rápido, não carregador, caro a esse preço, vários celulares não podem ser cobrados de cada vez, isso também é um carregamento rápido nos meus telefones Samsung e iPhone. Vá em frente !!, excelente qualidade!, Cabo de carregamento</v>
      </c>
      <c r="E60" s="29" t="str">
        <f>IFERROR(__xludf.DUMMYFUNCTION("GOOGLETRANSLATE(C60, ""en"", ""pt-br"")"),"Bom, tenho um bom produto, rápido e não carregador, o cabo é muito bom e parece durável, mas a qualidade dos pinos não é boa, de fato, o pino do iPhone continua saindo mesmo com um pequeno movimento, você pode dirigir e carregar simultaneamente. O tipo C "&amp;"é bom e o outro pino é muito difícil de inserir, mas viável., Este não é um carregador rápido e não pode ser usado para transferência de dados. Múltiplo Mobile não pode ser cobrado de cada vez, isso funciona conforme o esperado. Ele está funcionando para "&amp;"os meus telefones Samsung e o cabo Lightning também funciona perfeitamente. Adorei este produto para o meu carro. É longo e bastante valioso para cobrar três celulares de uma só vez., Bom produto.")</f>
        <v>Bom, tenho um bom produto, rápido e não carregador, o cabo é muito bom e parece durável, mas a qualidade dos pinos não é boa, de fato, o pino do iPhone continua saindo mesmo com um pequeno movimento, você pode dirigir e carregar simultaneamente. O tipo C é bom e o outro pino é muito difícil de inserir, mas viável., Este não é um carregador rápido e não pode ser usado para transferência de dados. Múltiplo Mobile não pode ser cobrado de cada vez, isso funciona conforme o esperado. Ele está funcionando para os meus telefones Samsung e o cabo Lightning também funciona perfeitamente. Adorei este produto para o meu carro. É longo e bastante valioso para cobrar três celulares de uma só vez., Bom produto.</v>
      </c>
    </row>
    <row r="61">
      <c r="A61" s="9" t="s">
        <v>273</v>
      </c>
      <c r="B61" s="29" t="str">
        <f>VLOOKUP(dados!A61, reviews!A:G, 5, FALSE)</f>
        <v>It's working,It's gud 😳,Cable quality is good.,Durable and Works Well,Good data cable same as shown in pic,Portronics knonnect L 1.2 mtr Micro USB cable,Ok,Great quality</v>
      </c>
      <c r="C61" s="29" t="str">
        <f>VLOOKUP(dados!A61, reviews!A:G, 6, FALSE)</f>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product...👌👌👌,Better,Seems to fast charge at 2A , not tried anything higher, but its a very sturdy cable should last for a long time</v>
      </c>
      <c r="D61" s="29" t="str">
        <f>IFERROR(__xludf.DUMMYFUNCTION("GOOGLETRANSLATE(B61, ""en"", ""pt-br"")"),"Está funcionando, é Gud 😳, a qualidade do cabo é boa., Durável e funciona bem, bom cabo de dados igual, como mostrado na foto, Knenect Knenect L 1.2 Mtr Micro USB Cable, OK, ótima qualidade")</f>
        <v>Está funcionando, é Gud 😳, a qualidade do cabo é boa., Durável e funciona bem, bom cabo de dados igual, como mostrado na foto, Knenect Knenect L 1.2 Mtr Micro USB Cable, OK, ótima qualidade</v>
      </c>
      <c r="E61" s="29" t="str">
        <f>IFERROR(__xludf.DUMMYFUNCTION("GOOGLETRANSLATE(C61, ""en"", ""pt-br"")"),"Trabalhando bem, muito bom esse cabo de dados, o desempenho deste produto é bom o suficiente., O usa desde um poço. Está fazendo um excelente trabalho. Você também pode aproveitar a garantia apenas mensando com o número de série no WhatsApp. Super feliz c"&amp;"om o desempenho geral., Bom cabo de dados igual, como mostrado na foto. Eu trouxe isso para a minha transferência de fotos da Nikon D5600 para o sistema., Produto excelente ... 👌👌👌, melhor, parece rápido em 2A, não tentei nada mais alto, mas é um cabo "&amp;"muito robusto deve durar muito tempo")</f>
        <v>Trabalhando bem, muito bom esse cabo de dados, o desempenho deste produto é bom o suficiente., O usa desde um poço. Está fazendo um excelente trabalho. Você também pode aproveitar a garantia apenas mensando com o número de série no WhatsApp. Super feliz com o desempenho geral., Bom cabo de dados igual, como mostrado na foto. Eu trouxe isso para a minha transferência de fotos da Nikon D5600 para o sistema., Produto excelente ... 👌👌👌, melhor, parece rápido em 2A, não tentei nada mais alto, mas é um cabo muito robusto deve durar muito tempo</v>
      </c>
    </row>
    <row r="62">
      <c r="A62" s="9" t="s">
        <v>277</v>
      </c>
      <c r="B62" s="29" t="str">
        <f>VLOOKUP(dados!A62, reviews!A:G, 5, FALSE)</f>
        <v>Simple and good,Satisfied!,Good one,Light weight, good working,ok,Poor quality! Stopped working after a month!,Not able to connect,Works well with Airtel DTH</v>
      </c>
      <c r="C62" s="29" t="str">
        <f>VLOOKUP(dados!A62, reviews!A:G, 6, FALSE)</f>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v>
      </c>
      <c r="D62" s="29" t="str">
        <f>IFERROR(__xludf.DUMMYFUNCTION("GOOGLETRANSLATE(B62, ""en"", ""pt-br"")"),"Simples e bom, satisfeito!, Bom, bom peso, bom trabalho, ok, baixa qualidade! Parou de trabalhar depois de um mês!, Não é possível conectar, funciona bem com o Airtel DTH")</f>
        <v>Simples e bom, satisfeito!, Bom, bom peso, bom trabalho, ok, baixa qualidade! Parou de trabalhar depois de um mês!, Não é possível conectar, funciona bem com o Airtel DTH</v>
      </c>
      <c r="E62" s="29" t="str">
        <f>IFERROR(__xludf.DUMMYFUNCTION("GOOGLETRANSLATE(C62, ""en"", ""pt-br"")"),"Bom, funciona muito bem com o Airtel DTH. O emparelhamento é o mesmo que todo controle remoto da Airtel DTH. Todos os botões funcionam corretamente., Nice, bom substituto para o original. Bom produto, OK, baixa qualidade! Parou de funcionar em um mês, ess"&amp;"e controle remoto funcionará apenas para a nova TV e não pode se conectar até seguir todo o procedimento mencionado no guia., Você precisa sincronizar com o controle remoto de TV original para fazer funcionar os botões de volume, energia, mudo e AV. Você "&amp;"pode pesquisar no Google o mesmo é muito fácil.")</f>
        <v>Bom, funciona muito bem com o Airtel DTH. O emparelhamento é o mesmo que todo controle remoto da Airtel DTH. Todos os botões funcionam corretamente., Nice, bom substituto para o original. Bom produto, OK, baixa qualidade! Parou de funcionar em um mês, esse controle remoto funcionará apenas para a nova TV e não pode se conectar até seguir todo o procedimento mencionado no guia., Você precisa sincronizar com o controle remoto de TV original para fazer funcionar os botões de volume, energia, mudo e AV. Você pode pesquisar no Google o mesmo é muito fácil.</v>
      </c>
    </row>
    <row r="63">
      <c r="A63" s="9" t="s">
        <v>281</v>
      </c>
      <c r="B63" s="29" t="str">
        <f>VLOOKUP(dados!A63, reviews!A:G, 5, FALSE)</f>
        <v>Best(Branded) Budget TV,A high-quality 4k Smart TV from Samsung,Received Defective,Got Replacement,Nice product but,Tv is good,Best budget tv,Value for money. Samsung is always good,Value for money product</v>
      </c>
      <c r="C63" s="29" t="str">
        <f>VLOOKUP(dados!A63, reviews!A:G, 6, FALSE)</f>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v>
      </c>
      <c r="D63" s="29" t="str">
        <f>IFERROR(__xludf.DUMMYFUNCTION("GOOGLETRANSLATE(B63, ""en"", ""pt-br"")"),"O Best (com a marca) TV, uma TV inteligente em 4K de alta qualidade da Samsung, recebeu defeituosos, obteve substituição, produto agradável, mas a TV é boa, a melhor TV orçamentária, uma relação custo-benefício. Samsung é sempre bom, produto de valor para"&amp;" dinheiro")</f>
        <v>O Best (com a marca) TV, uma TV inteligente em 4K de alta qualidade da Samsung, recebeu defeituosos, obteve substituição, produto agradável, mas a TV é boa, a melhor TV orçamentária, uma relação custo-benefício. Samsung é sempre bom, produto de valor para dinheiro</v>
      </c>
      <c r="E63" s="29" t="str">
        <f>IFERROR(__xludf.DUMMYFUNCTION("GOOGLETRANSLATE(C63, ""en"", ""pt-br"")"),"Antes de finalizar as vendas da AUE60 55 "", visitei Croma e Vijay para verificar a mesma TV ou modelos similares para obter seus recursos e qualidade de imagem. Disseram-me AUE60 &amp; AUE70 (os modelos listados aqui como Crystal 4K e 4K Pro) são e- Modelos "&amp;"exclusivos do Commerce, não disponíveis offline. Fui mostrado AU7700, que possui o mesmo processador, painel e recursos, mas estava listado a 65k para a versão de 55 "". Gostei da qualidade da imagem e decidi obter o AUE60, pois ele compartilha muito com "&amp;"o AU7700 e economizará ~ 20k.Por que fui para a AUE60 vs. Aue70 - eu sabia que não precisaria de um assistente de voz e queria Para salvar 3k. Eu sabia que, mesmo que quisesse um assistente de voz, poderia conectar a caixa de TV Fire/Mi e obter esses recu"&amp;"rsos mais tarde. A entrega era bastante livre, o executivo de entrega descarregou a TV na sala que pedi e abriu a caixa para inspecionar a TV por qualquer dano físico. Os técnicos da Samsung chegaram algumas horas depois, instalaram e deram uma demonstraç"&amp;"ão: por outras críticas - o som dos alto -falantes é aparentemente ruim, mas no meu caso, achei satisfatório. Eu tenho a parede montada em uma sala de 10x12 pés, e os alto -falantes da TV parecem melhor em comparação com os alto -falantes do Bose Soundlin"&amp;"k para o qual eu o conectei via bluetooth.treture: o painel é ótimo, mas nada que valha a pena irritar. A uniformidade cinza não é ótima (ou seja, tons cinzentos não serão perfeitamente uniformes em todo o painel, haverá zonas mais escuras em direção às b"&amp;"ordas/cantos com base na colocação da luz de fundo). Os negros não são perfeitamente negros - e eles são mais brilhantes do que você esperaria de um painel VA, mas isso não é perceptível quando a sala estiver acesa. Sem sangramento da luz de fundo. As cor"&amp;"es são tão boas quanto eu gostaria que fossem, e o painel fica visivelmente brilhante para o meu gosto, mesmo quando o brilho é reduzido para 40%. O conteúdo 720p é assistível de&gt; 8 pés, 1080p é bom (eu diria melhor do que eu esperava) e 4K está bem, 4K.C"&amp;"onnectivity: eu tenho uma conexão de banda larga de 35 MB/s e todos os fluxos de conteúdo em 4K, quando disponível, sem Grea. A TV possui Bluetooth 5.0 e trabalha com fones de ouvido TWS e Band de pescoço (eu uso o Oppo EncO W51 e o Rockerz 330) - não há "&amp;"latência perceptível e o volume pode ser controlado pelo próprio controle remoto. de aplicativos de streaming que eu precisava - Netflix, Hotstar, Prime, Apple TV+ e YouTube. Todos eles transmitem conteúdo 4K, exceto o Hotstar - que apenas transmitiu 4K a"&amp;"lgumas vezes. 1080p ainda é muito assistível e não é realmente um quebra de negócio. Nenhum suporte à Visão Dolby - com o qual fiz as pazes, considerando o fato de que 99% das TVs orçamentárias no mercado não podem produzir o contraste que você esperaria "&amp;"do conteúdo de DV de qualquer maneira, então por que se importar. Você obtém HDR e o conteúdo HDR é definitivamente mais bonito do que os não-HDR em termos de cores e vibração. Eu planejava usar a TV sem cabo, mas a TV vem com alguns canais como Republic "&amp;"TV, Bloomberg, 9xm, etc., estes transmissões em 1080p, então um ótimo bônus para ter.Remote: RF muito básico remoto, diferentemente dos Bluetooth Na maioria das novas TVs. O controle remoto parece bastante elegante e elegante, mas é isso. Maior reclamação"&amp;"-digitar para procurar coisas nos aplicativos é uma dor no atrás, você precisará usar o D-Pad para navegar em um teclado na tela. Você pode controlar a TV usando o aplicativo SmartThings da Samsung, mas adivinhe - você não pode nem usar o teclado do seu t"&amp;"elefone para digitar ao controlar o aplicativo - isso é algo que pode ser adicionado através de uma atualização, mas ainda não está lá. As imagens são todo o conteúdo 4K. A resolução pode ser reduzida depois de enviar a revisão, mas você ainda pode ter um"&amp;"a idéia do design/aparência da TV, cores e contraste, etc. Eu diria que estou muito feliz - e com a chance, não seria mude minha decisão. É uma TV Samsung, então o final do dia, se produzir uma imagem decente e dura alguns anos a mais do que eu espero, po"&amp;"sso ignorar todos os outros contras. Eu recomendo a TV se você tiver as mesmas expectativas da sua próxima TV., Em 18 de dezembro de 22, recebeu um produto com defeito, atualizado para o serviço da Amazon que eles substituíram por um novo produto hoje (27"&amp;"/12/22) .WILL POST REVISÃO DE LONGO PRONTRATIVO.PROS: Qualidade da imagem, design (fino n moldura menos) contras: som (pouco bem), upse-sacling de canais SD todos satisfeitos., estão usando-o desde o mês agora. 4.5/5-Como o serviço de instalação sempre da"&amp;" Samsung foi sem aparência. Recursos 5/5-Smart são bons Este modelo não tem reconhecimento de voz. Eu não preciso, então está bem. 4/5 de qualidade de Audio não é boa. É claro, mas o volume não é suficiente se instalar no Big Hall. Também não possui base."&amp;"Pear uma barra de som separadamente se comprar esse modelo., Mas a qualidade da imagem é ok-ok., Melhor produto de TV na determinada faixa de preço, valor para dinheiro. Samsung é sempre bom, produto de valor para dinheiro")</f>
        <v>Antes de finalizar as vendas da AUE60 55 ", visitei Croma e Vijay para verificar a mesma TV ou modelos similares para obter seus recursos e qualidade de imagem. Disseram-me AUE60 &amp; AUE70 (os modelos listados aqui como Crystal 4K e 4K Pro) são e- Modelos exclusivos do Commerce, não disponíveis offline. Fui mostrado AU7700, que possui o mesmo processador, painel e recursos, mas estava listado a 65k para a versão de 55 ". Gostei da qualidade da imagem e decidi obter o AUE60, pois ele compartilha muito com o AU7700 e economizará ~ 20k.Por que fui para a AUE60 vs. Aue70 - eu sabia que não precisaria de um assistente de voz e queria Para salvar 3k. Eu sabia que, mesmo que quisesse um assistente de voz, poderia conectar a caixa de TV Fire/Mi e obter esses recursos mais tarde. A entrega era bastante livre, o executivo de entrega descarregou a TV na sala que pedi e abriu a caixa para inspecionar a TV por qualquer dano físico. Os técnicos da Samsung chegaram algumas horas depois, instalaram e deram uma demonstração: por outras críticas - o som dos alto -falantes é aparentemente ruim, mas no meu caso, achei satisfatório. Eu tenho a parede montada em uma sala de 10x12 pés, e os alto -falantes da TV parecem melhor em comparação com os alto -falantes do Bose Soundlink para o qual eu o conectei via bluetooth.treture: o painel é ótimo, mas nada que valha a pena irritar. A uniformidade cinza não é ótima (ou seja, tons cinzentos não serão perfeitamente uniformes em todo o painel, haverá zonas mais escuras em direção às bordas/cantos com base na colocação da luz de fundo). Os negros não são perfeitamente negros - e eles são mais brilhantes do que você esperaria de um painel VA, mas isso não é perceptível quando a sala estiver acesa. Sem sangramento da luz de fundo. As cores são tão boas quanto eu gostaria que fossem, e o painel fica visivelmente brilhante para o meu gosto, mesmo quando o brilho é reduzido para 40%. O conteúdo 720p é assistível de&gt; 8 pés, 1080p é bom (eu diria melhor do que eu esperava) e 4K está bem, 4K.Connectivity: eu tenho uma conexão de banda larga de 35 MB/s e todos os fluxos de conteúdo em 4K, quando disponível, sem Grea. A TV possui Bluetooth 5.0 e trabalha com fones de ouvido TWS e Band de pescoço (eu uso o Oppo EncO W51 e o Rockerz 330) - não há latência perceptível e o volume pode ser controlado pelo próprio controle remoto. de aplicativos de streaming que eu precisava - Netflix, Hotstar, Prime, Apple TV+ e YouTube. Todos eles transmitem conteúdo 4K, exceto o Hotstar - que apenas transmitiu 4K algumas vezes. 1080p ainda é muito assistível e não é realmente um quebra de negócio. Nenhum suporte à Visão Dolby - com o qual fiz as pazes, considerando o fato de que 99% das TVs orçamentárias no mercado não podem produzir o contraste que você esperaria do conteúdo de DV de qualquer maneira, então por que se importar. Você obtém HDR e o conteúdo HDR é definitivamente mais bonito do que os não-HDR em termos de cores e vibração. Eu planejava usar a TV sem cabo, mas a TV vem com alguns canais como Republic TV, Bloomberg, 9xm, etc., estes transmissões em 1080p, então um ótimo bônus para ter.Remote: RF muito básico remoto, diferentemente dos Bluetooth Na maioria das novas TVs. O controle remoto parece bastante elegante e elegante, mas é isso. Maior reclamação-digitar para procurar coisas nos aplicativos é uma dor no atrás, você precisará usar o D-Pad para navegar em um teclado na tela. Você pode controlar a TV usando o aplicativo SmartThings da Samsung, mas adivinhe - você não pode nem usar o teclado do seu telefone para digitar ao controlar o aplicativo - isso é algo que pode ser adicionado através de uma atualização, mas ainda não está lá. As imagens são todo o conteúdo 4K. A resolução pode ser reduzida depois de enviar a revisão, mas você ainda pode ter uma idéia do design/aparência da TV, cores e contraste, etc. Eu diria que estou muito feliz - e com a chance, não seria mude minha decisão. É uma TV Samsung, então o final do dia, se produzir uma imagem decente e dura alguns anos a mais do que eu espero, posso ignorar todos os outros contras. Eu recomendo a TV se você tiver as mesmas expectativas da sua próxima TV., Em 18 de dezembro de 22, recebeu um produto com defeito, atualizado para o serviço da Amazon que eles substituíram por um novo produto hoje (27/12/22) .WILL POST REVISÃO DE LONGO PRONTRATIVO.PROS: Qualidade da imagem, design (fino n moldura menos) contras: som (pouco bem), upse-sacling de canais SD todos satisfeitos., estão usando-o desde o mês agora. 4.5/5-Como o serviço de instalação sempre da Samsung foi sem aparência. Recursos 5/5-Smart são bons Este modelo não tem reconhecimento de voz. Eu não preciso, então está bem. 4/5 de qualidade de Audio não é boa. É claro, mas o volume não é suficiente se instalar no Big Hall. Também não possui base.Pear uma barra de som separadamente se comprar esse modelo., Mas a qualidade da imagem é ok-ok., Melhor produto de TV na determinada faixa de preço, valor para dinheiro. Samsung é sempre bom, produto de valor para dinheiro</v>
      </c>
    </row>
    <row r="64">
      <c r="A64" s="9" t="s">
        <v>285</v>
      </c>
      <c r="B64" s="29" t="str">
        <f>VLOOKUP(dados!A64, reviews!A:G, 5, FALSE)</f>
        <v>A well-priced product.,Lenthy cord.,Product is working as expected.,Lengthy cable, works for car dashcam,Product is okay but they give 50rs for giving 5 stars.,Misleading length (1.2m), rest fine,Good Product,Good</v>
      </c>
      <c r="C64" s="29" t="str">
        <f>VLOOKUP(dados!A64, reviews!A:G, 6, FALSE)</f>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v>
      </c>
      <c r="D64" s="29" t="str">
        <f>IFERROR(__xludf.DUMMYFUNCTION("GOOGLETRANSLATE(B64, ""en"", ""pt-br"")"),"Um produto bem com preços., Lenthy Cord., O produto está funcionando como esperado., Cabo longo, trabalha para o carro, o produto é bom, mas eles dão 50rs para dar 5 estrelas., Comprimento enganoso (1,2m), descanse bem, bom Produto, bom")</f>
        <v>Um produto bem com preços., Lenthy Cord., O produto está funcionando como esperado., Cabo longo, trabalha para o carro, o produto é bom, mas eles dão 50rs para dar 5 estrelas., Comprimento enganoso (1,2m), descanse bem, bom Produto, bom</v>
      </c>
      <c r="E64" s="29" t="str">
        <f>IFERROR(__xludf.DUMMYFUNCTION("GOOGLETRANSLATE(C64, ""en"", ""pt-br"")"),"Estou escrevendo esta resenha após 2 meses, o primeiro cabo teve um corte e teve que ser substituído, o segundo cabo está funcionando bem, sem problemas, usando -o para me cobrar do controlador PS3, funciona bem, a um bom preço, planejando escolher Outro "&amp;"como um sobressalente., Produto OK., Comprei este cabo para carregar meu alto -falante Bluetooth de 10W e seu funcionamento como esperado., É demorado e utilizável para o carro de carro. A qualidade é média e a extremidade micro tipo B fica muito apertada"&amp;". Caso contrário, tudo é bom. Mas continue verificando o preço do Amazon Basics Cable desse tipo, o preço cai muitas vezes. Essa é a melhor qualidade., Este é um dos bons produtos nessa faixa de preço. A qualidade é boa, usá -lo para o meu bloco de refrig"&amp;"eração do laptop. A construção geral parece resistente, mas a longevidade não pode confirmar. Além disso, você não pode conectar 2 PCs usando um USB masculino para masculino. Não é assim que funciona. Pare de escrever críticas negativas depois de usar est"&amp;"e cabo para algo para o qual ele não se destinou. Pode confirmar que é ~ 1,2 m como a maioria dos outros produtos e não 1,5 milhão, como o vendedor reivindica tanto no título quanto em adesivos no produto. esse. Mas eu precisava de um comprimento de 1,5 m"&amp;" para uso perfeito. Tão decepcionado como tenho que girar a almofada de resfriamento e usá -lo (a cabo fica curto em cerca de 15 cm)., Funciona bem. O cabo é macio e flexível. Com toda a probabilidade, também durará muito., Mas a qualidade do pobre")</f>
        <v>Estou escrevendo esta resenha após 2 meses, o primeiro cabo teve um corte e teve que ser substituído, o segundo cabo está funcionando bem, sem problemas, usando -o para me cobrar do controlador PS3, funciona bem, a um bom preço, planejando escolher Outro como um sobressalente., Produto OK., Comprei este cabo para carregar meu alto -falante Bluetooth de 10W e seu funcionamento como esperado., É demorado e utilizável para o carro de carro. A qualidade é média e a extremidade micro tipo B fica muito apertada. Caso contrário, tudo é bom. Mas continue verificando o preço do Amazon Basics Cable desse tipo, o preço cai muitas vezes. Essa é a melhor qualidade., Este é um dos bons produtos nessa faixa de preço. A qualidade é boa, usá -lo para o meu bloco de refrigeração do laptop. A construção geral parece resistente, mas a longevidade não pode confirmar. Além disso, você não pode conectar 2 PCs usando um USB masculino para masculino. Não é assim que funciona. Pare de escrever críticas negativas depois de usar este cabo para algo para o qual ele não se destinou. Pode confirmar que é ~ 1,2 m como a maioria dos outros produtos e não 1,5 milhão, como o vendedor reivindica tanto no título quanto em adesivos no produto. esse. Mas eu precisava de um comprimento de 1,5 m para uso perfeito. Tão decepcionado como tenho que girar a almofada de resfriamento e usá -lo (a cabo fica curto em cerca de 15 cm)., Funciona bem. O cabo é macio e flexível. Com toda a probabilidade, também durará muito., Mas a qualidade do pobre</v>
      </c>
    </row>
    <row r="65">
      <c r="A65" s="9" t="s">
        <v>289</v>
      </c>
      <c r="B65" s="29" t="str">
        <f>VLOOKUP(dados!A65, reviews!A:G, 5, FALSE)</f>
        <v>Its ok product not too good not bad,Cheap and best,Performance,Works well,Not working with Fast Charger,This Type-C cable is awesome😍.,Does not support display,Good</v>
      </c>
      <c r="C65" s="29" t="str">
        <f>VLOOKUP(dados!A65, reviews!A:G, 6, FALSE)</f>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v>
      </c>
      <c r="D65" s="29" t="str">
        <f>IFERROR(__xludf.DUMMYFUNCTION("GOOGLETRANSLATE(B65, ""en"", ""pt-br"")"),"Seu produto OK não é muito bom não ruim, barato e melhor, desempenho, funciona bem, não trabalhando com carregador rápido, este cabo Tipo C é incrível😍., Não suporta tela, bom")</f>
        <v>Seu produto OK não é muito bom não ruim, barato e melhor, desempenho, funciona bem, não trabalhando com carregador rápido, este cabo Tipo C é incrível😍., Não suporta tela, bom</v>
      </c>
      <c r="E65" s="29" t="str">
        <f>IFERROR(__xludf.DUMMYFUNCTION("GOOGLETRANSLATE(C65, ""en"", ""pt-br"")"),"Não é muito bom não tão ruim, se você tem a confiança do básico da Amazon, vá em frente. Estou escrevendo esta resenha depois de usá -la por 18 meses. Ainda tão resistente e durável quanto o novo., Nil, o usou por quinze dias até agora no meu carro por co"&amp;"brança móvel. Funciona bem., Não trabalhando com o Fast Charger, se você planeja usar com carregador normal, é muito bom. Qualidade do produto também é bom., Estou usando esse cabo desde 1 ano e atualmente este cabo está funcionando perfeitamente sem prob"&amp;"lemas. para conectar rede e carregamento, bom e útil")</f>
        <v>Não é muito bom não tão ruim, se você tem a confiança do básico da Amazon, vá em frente. Estou escrevendo esta resenha depois de usá -la por 18 meses. Ainda tão resistente e durável quanto o novo., Nil, o usou por quinze dias até agora no meu carro por cobrança móvel. Funciona bem., Não trabalhando com o Fast Charger, se você planeja usar com carregador normal, é muito bom. Qualidade do produto também é bom., Estou usando esse cabo desde 1 ano e atualmente este cabo está funcionando perfeitamente sem problemas. para conectar rede e carregamento, bom e útil</v>
      </c>
    </row>
    <row r="66">
      <c r="A66" s="9" t="s">
        <v>293</v>
      </c>
      <c r="B66" s="29" t="str">
        <f>VLOOKUP(dados!A66, reviews!A:G, 5, FALSE)</f>
        <v>Worth the price,Mi Smart Tv 32" :- 7/10 average.,Worth using since 1.5 years,expect more from mi,Worth for money.,Good product,It’s good,Go for it without thinking twice.</v>
      </c>
      <c r="C66" s="29" t="str">
        <f>VLOOKUP(dados!A66, reviews!A:G, 6, FALSE)</f>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v>
      </c>
      <c r="D66" s="29" t="str">
        <f>IFERROR(__xludf.DUMMYFUNCTION("GOOGLETRANSLATE(B66, ""en"", ""pt-br"")"),"Vale o preço, Mi Smart TV 32 "":- 7/10 Média., Vale a pena usar desde 1,5 anos, espere mais do MI, que vale a pena., Bom produto, é bom, vá em frente sem pensar duas vezes.")</f>
        <v>Vale o preço, Mi Smart TV 32 ":- 7/10 Média., Vale a pena usar desde 1,5 anos, espere mais do MI, que vale a pena., Bom produto, é bom, vá em frente sem pensar duas vezes.</v>
      </c>
      <c r="E66" s="29" t="str">
        <f>IFERROR(__xludf.DUMMYFUNCTION("GOOGLETRANSLATE(C66, ""en"", ""pt-br"")"),"Vale o preço. Eu uso os provedores de cabos locais configurados. Com minha TV anterior (Samsung), eu não estava enfrentando esse problema. O único problema que estou enfrentando é cada vez que desligo a TV da rede elétrica, tenho que ir para as configuraç"&amp;"ões e ligar as configurações para as configurações dos alto -falantes de TV, apesar de nenhum outro alto -falante ou wifi ou dente azul ou telefone celular estará na proximidade . Como resultado, parei de desligar a TV da rede elétrica. Eu apenas uso o co"&amp;"ntrole remoto para colocá -lo em pé. Mas isso é um problema a longo prazo, a tela é muito boa. O som é médio de iam usando a barra de som, então não há problemas para mim. Não sei quanto tempo durará devido ao meu painel Pro 55 4 Pro Mi 55 4, em 2,5 anos."&amp;" Comprei esta TV com garantia de 2 anos no painel., Melhore a resposta do software e melhore a qualidade da imagem. Vale a pena dinheiro para esse orçamento (4K)., Eu usei de 2 a 4 dias. A qualidade da imagem parece boa e impressionante. Vá em frente ... "&amp;"espero que a qualidade de longo prazo também seja boa., Esta TV é muito boa, mas nessa coisa ruim é essa TV em algum momento de parar enquanto toca apenas um vídeo do YouTube, mas, caso contrário, é um bom produto, é bom e valor Por dinheiro, foto incríve"&amp;"l e qualidade do som. Qualidade 4K a esse preço. É realmente bom .")</f>
        <v>Vale o preço. Eu uso os provedores de cabos locais configurados. Com minha TV anterior (Samsung), eu não estava enfrentando esse problema. O único problema que estou enfrentando é cada vez que desligo a TV da rede elétrica, tenho que ir para as configurações e ligar as configurações para as configurações dos alto -falantes de TV, apesar de nenhum outro alto -falante ou wifi ou dente azul ou telefone celular estará na proximidade . Como resultado, parei de desligar a TV da rede elétrica. Eu apenas uso o controle remoto para colocá -lo em pé. Mas isso é um problema a longo prazo, a tela é muito boa. O som é médio de iam usando a barra de som, então não há problemas para mim. Não sei quanto tempo durará devido ao meu painel Pro 55 4 Pro Mi 55 4, em 2,5 anos. Comprei esta TV com garantia de 2 anos no painel., Melhore a resposta do software e melhore a qualidade da imagem. Vale a pena dinheiro para esse orçamento (4K)., Eu usei de 2 a 4 dias. A qualidade da imagem parece boa e impressionante. Vá em frente ... espero que a qualidade de longo prazo também seja boa., Esta TV é muito boa, mas nessa coisa ruim é essa TV em algum momento de parar enquanto toca apenas um vídeo do YouTube, mas, caso contrário, é um bom produto, é bom e valor Por dinheiro, foto incrível e qualidade do som. Qualidade 4K a esse preço. É realmente bom .</v>
      </c>
    </row>
    <row r="67">
      <c r="A67" s="9" t="s">
        <v>297</v>
      </c>
      <c r="B67" s="29" t="str">
        <f>VLOOKUP(dados!A67, reviews!A:G, 5, FALSE)</f>
        <v>It's quite good and value for money,Works well,Hdmi cable,Value for money,All good,Gets the job done,Delivery was good,This one was my need to purchase</v>
      </c>
      <c r="C67" s="29" t="str">
        <f>VLOOKUP(dados!A67, reviews!A:G, 6, FALSE)</f>
        <v>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v>
      </c>
      <c r="D67" s="29" t="str">
        <f>IFERROR(__xludf.DUMMYFUNCTION("GOOGLETRANSLATE(B67, ""en"", ""pt-br"")"),"É muito bom e uma relação custo")</f>
        <v>É muito bom e uma relação custo</v>
      </c>
      <c r="E67" s="29" t="str">
        <f>IFERROR(__xludf.DUMMYFUNCTION("GOOGLETRANSLATE(C67, ""en"", ""pt-br"")"),"Estou usando isso há 14 dias agora. A experiência é muito boa a partir de agora. A qualidade da imagem também não é ruim. Não espere algo fora do mundo a esse preço. Mas você pode fazer isso se tiver um orçamento apertado., Impressões iniciais: funciona c"&amp;"omo dito, feliz por não ter opções mais baratas (não que seja muito caro), basta plug e reproduzir. Atualizará se isso estragar, o cabo HDMI é bom assistir a filmes, esportes e sua melhor qualidade enquanto conecta seu laptop à TV e reproduzi. Eu adorei, "&amp;"funciona como esperado. O comprimento do cabo é curto e foi mencionado também satisfeito com o meu requisito. Se você precisar de mais comprimento, é melhor procurar outras opções., Tudo de bom, é o melhor cabo HDMI nessa faixa de preço. Ainda não há prob"&amp;"lemas. Basta ir em frente !!, eu esperava que isso fosse entregue no prazo e foi entregue a tempo. O produto é bom, pois já experimentei outros cabos e fios da marca Amazon BasicA., Bom")</f>
        <v>Estou usando isso há 14 dias agora. A experiência é muito boa a partir de agora. A qualidade da imagem também não é ruim. Não espere algo fora do mundo a esse preço. Mas você pode fazer isso se tiver um orçamento apertado., Impressões iniciais: funciona como dito, feliz por não ter opções mais baratas (não que seja muito caro), basta plug e reproduzir. Atualizará se isso estragar, o cabo HDMI é bom assistir a filmes, esportes e sua melhor qualidade enquanto conecta seu laptop à TV e reproduzi. Eu adorei, funciona como esperado. O comprimento do cabo é curto e foi mencionado também satisfeito com o meu requisito. Se você precisar de mais comprimento, é melhor procurar outras opções., Tudo de bom, é o melhor cabo HDMI nessa faixa de preço. Ainda não há problemas. Basta ir em frente !!, eu esperava que isso fosse entregue no prazo e foi entregue a tempo. O produto é bom, pois já experimentei outros cabos e fios da marca Amazon BasicA., Bom</v>
      </c>
    </row>
    <row r="68">
      <c r="A68" s="9" t="s">
        <v>301</v>
      </c>
      <c r="B68" s="29" t="str">
        <f>VLOOKUP(dados!A68, reviews!A:G, 5, FALSE)</f>
        <v>Iphone User,Overall good,Perfect price, perfect fit,Good,Worth,Perfect replacement for Apple cable,At this price it's a steal.,Good cable with decent price</v>
      </c>
      <c r="C68" s="29" t="str">
        <f>VLOOKUP(dados!A68, reviews!A:G, 6, FALSE)</f>
        <v>Good braided cable. Long length. Quick charge. I m using XR. This cable value for money. But chager apple OEM. Portronics type c to lighting  cable worth.,It’s easy to carry and the build quality is quite ok charging speed to almost equal to original oneGiving this review after 1 month usage,Great fit connector, l shaped connectors are convenient and better than some higher priced products.,good,Best product at this price range go for it🔥🔥🔥 and the software shows product will be genuine 🔥 most recommended braided cable for 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v>
      </c>
      <c r="D68" s="29" t="str">
        <f>IFERROR(__xludf.DUMMYFUNCTION("GOOGLETRANSLATE(B68, ""en"", ""pt-br"")"),"Usuário do iPhone, preço bom, perfeito, ajuste perfeito, bom, valor, substituto perfeito para o cabo de maçã, a esse preço é um roubo., Bom cabo com preço decente")</f>
        <v>Usuário do iPhone, preço bom, perfeito, ajuste perfeito, bom, valor, substituto perfeito para o cabo de maçã, a esse preço é um roubo., Bom cabo com preço decente</v>
      </c>
      <c r="E68" s="29" t="str">
        <f>IFERROR(__xludf.DUMMYFUNCTION("GOOGLETRANSLATE(C68, ""en"", ""pt-br"")"),"Bom cabo trançado. Comprimento longo. Carga rápida. Estou usando xr. Este valor de cabo para dinheiro. Mas Chager Apple OEM. Retrdons Tipo C para o valor do cabo de iluminação., É fácil de transportar e a qualidade da construção é uma velocidade de carreg"&amp;"amento bastante OK para quase igual ao original para o One Giving nesta revisão após um mês de uso, conector de excelente ajuste, os conectores em forma de L são convenientes e melhores do que alguns preços mais altos Produtos., Bom, o melhor produto ness"&amp;"a faixa de preço vá para It🔥🔥🔥 e o software mostra que o produto será genuíno. Excelente qualidade e suporta boas velocidades de carregamento. Tipo C para Lightning 20W a esse preço (250rs) é um negócio roubado. Ninguém está dando essa qualidade a esse"&amp;" preço, um bom cabo disponível a um preço decente de Rs. 312. PROSGOOD Design.L Os conectores em forma de trabalho ajudarão a manter o Phone e o Power Bank em bolsa ou bolso sem causar e danificar os pinos de carregamento. O carregamento rápido e compatív"&amp;"el com todos os adaptadores de potência de carregamento rápido.")</f>
        <v>Bom cabo trançado. Comprimento longo. Carga rápida. Estou usando xr. Este valor de cabo para dinheiro. Mas Chager Apple OEM. Retrdons Tipo C para o valor do cabo de iluminação., É fácil de transportar e a qualidade da construção é uma velocidade de carregamento bastante OK para quase igual ao original para o One Giving nesta revisão após um mês de uso, conector de excelente ajuste, os conectores em forma de L são convenientes e melhores do que alguns preços mais altos Produtos., Bom, o melhor produto nessa faixa de preço vá para It🔥🔥🔥 e o software mostra que o produto será genuíno. Excelente qualidade e suporta boas velocidades de carregamento. Tipo C para Lightning 20W a esse preço (250rs) é um negócio roubado. Ninguém está dando essa qualidade a esse preço, um bom cabo disponível a um preço decente de Rs. 312. PROSGOOD Design.L Os conectores em forma de trabalho ajudarão a manter o Phone e o Power Bank em bolsa ou bolso sem causar e danificar os pinos de carregamento. O carregamento rápido e compatível com todos os adaptadores de potência de carregamento rápido.</v>
      </c>
    </row>
    <row r="69">
      <c r="A69" s="9" t="s">
        <v>305</v>
      </c>
      <c r="B69" s="29" t="str">
        <f>VLOOKUP(dados!A69, reviews!A:G, 5, FALSE)</f>
        <v>Value for Money,Good product,Great excellent picture quality,value for money,Worth for the money,Good,100% Value for money,Value for money</v>
      </c>
      <c r="C69" s="29" t="str">
        <f>VLOOKUP(dados!A69, reviews!A:G, 6, FALSE)</f>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v>
      </c>
      <c r="D69" s="29" t="str">
        <f>IFERROR(__xludf.DUMMYFUNCTION("GOOGLETRANSLATE(B69, ""en"", ""pt-br"")"),"Valor pelo dinheiro, bom produto, excelente excelente qualidade de imagem, valor ao dinheiro, valor para o dinheiro, bom, 100% valor ao dinheiro, valor ao dinheiro")</f>
        <v>Valor pelo dinheiro, bom produto, excelente excelente qualidade de imagem, valor ao dinheiro, valor para o dinheiro, bom, 100% valor ao dinheiro, valor ao dinheiro</v>
      </c>
      <c r="E69" s="29" t="str">
        <f>IFERROR(__xludf.DUMMYFUNCTION("GOOGLETRANSLATE(C69, ""en"", ""pt-br"")"),"Em relação à taxa que eu gostei muito e razoável. Em relação à empresa de produtos, a empresa está fabricando monitor de computador e é a melhor qualidade. Para que eu prefiro esta empresa na compra de TV, já faz 1 mês e meio usando este produto e não ten"&amp;"ho reclamação sobre o produto que alguns de seus pontos positivos são.1. A qualidade da imagem é boa com qualidade de som clara2. Podemos conectar facilmente qualquer unidade de pan ou OTG a esta TV e acessar seu conteúdo na TV. E os pontos nos quais ele "&amp;"precisa de melhoria: 1. Não suporta algum formato de áudio. Se conectarmos o smartphone através do OTG à TV, ele não suporta o mesmo3. Além disso, sempre temos que usar o controle remoto da TV para iniciar a TV. Ele não começa automaticamente quando estam"&amp;"os no swith, precisamos pressionar o botão liga / desliga no controle remoto a cada vez para iniciar esta TV. Além disso, um produto muito bom., A qualidade da imagem é muito boa 😊, comprou esta TV na venda da Amazon, valor para Dinheiro a esse preço, a "&amp;"imagem e a qualidade do som eram boas, não tão ruins. Se você deseja comprar uma TV de 32 '' a um preço acessível, vá para este. Bom, bom, comprei esta TV dois dias antes e agora está em execução. Eu observei os seguintes em direção à minha experiência. 1"&amp;"00% de valor para dinheiro2. Bom design e acabamento3. Ótima clareza de imagem. Estou usando o Jio Fiber + Netflix4. Som também claro e suave, mas um pouco de melhoria necessária. Pacote embalado bem como anunciado. Remoto + baterias + fio AV + cartão de "&amp;"garantia + manual.6. Prontamente entregue. 0 dano. A taxa de atualização é de 60hzoverall recomendada., A qualidade da imagem é boa. Pode -se comprar a um preço baixo.")</f>
        <v>Em relação à taxa que eu gostei muito e razoável. Em relação à empresa de produtos, a empresa está fabricando monitor de computador e é a melhor qualidade. Para que eu prefiro esta empresa na compra de TV, já faz 1 mês e meio usando este produto e não tenho reclamação sobre o produto que alguns de seus pontos positivos são.1. A qualidade da imagem é boa com qualidade de som clara2. Podemos conectar facilmente qualquer unidade de pan ou OTG a esta TV e acessar seu conteúdo na TV. E os pontos nos quais ele precisa de melhoria: 1. Não suporta algum formato de áudio. Se conectarmos o smartphone através do OTG à TV, ele não suporta o mesmo3. Além disso, sempre temos que usar o controle remoto da TV para iniciar a TV. Ele não começa automaticamente quando estamos no swith, precisamos pressionar o botão liga / desliga no controle remoto a cada vez para iniciar esta TV. Além disso, um produto muito bom., A qualidade da imagem é muito boa 😊, comprou esta TV na venda da Amazon, valor para Dinheiro a esse preço, a imagem e a qualidade do som eram boas, não tão ruins. Se você deseja comprar uma TV de 32 '' a um preço acessível, vá para este. Bom, bom, comprei esta TV dois dias antes e agora está em execução. Eu observei os seguintes em direção à minha experiência. 100% de valor para dinheiro2. Bom design e acabamento3. Ótima clareza de imagem. Estou usando o Jio Fiber + Netflix4. Som também claro e suave, mas um pouco de melhoria necessária. Pacote embalado bem como anunciado. Remoto + baterias + fio AV + cartão de garantia + manual.6. Prontamente entregue. 0 dano. A taxa de atualização é de 60hzoverall recomendada., A qualidade da imagem é boa. Pode -se comprar a um preço baixo.</v>
      </c>
    </row>
    <row r="70">
      <c r="A70" s="9" t="s">
        <v>309</v>
      </c>
      <c r="B70" s="29" t="str">
        <f>VLOOKUP(dados!A70, reviews!A:G, 5, FALSE)</f>
        <v>A nice &amp; sturdy product.,Assembly,nyc hairdryee,Good,Fits perfectly!!,Not suitable for 50inch and above 😟,Worth buying,Worth</v>
      </c>
      <c r="C70" s="29" t="str">
        <f>VLOOKUP(dados!A70, reviews!A:G, 6, FALSE)</f>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v>
      </c>
      <c r="D70" s="29" t="str">
        <f>IFERROR(__xludf.DUMMYFUNCTION("GOOGLETRANSLATE(B70, ""en"", ""pt-br"")"),"Um produto agradável e resistente., Assembléia, Harandryee de Nova York, bom, se encaixa perfeitamente !!, não é adequado para 50 polegadas e acima 😟, que vale a pena comprar, vale a pena")</f>
        <v>Um produto agradável e resistente., Assembléia, Harandryee de Nova York, bom, se encaixa perfeitamente !!, não é adequado para 50 polegadas e acima 😟, que vale a pena comprar, vale a pena</v>
      </c>
      <c r="E70" s="29" t="str">
        <f>IFERROR(__xludf.DUMMYFUNCTION("GOOGLETRANSLATE(C70, ""en"", ""pt-br"")"),"É um bom produto. Usado para TV de 42 polegadas, teve que instalá -la por um mecânico de TV., Gud para 40 polegadas acima da TV, melhor, incrível, agradável e resistente !! A qualidade do produto é excelente., O estande não é adequado para 50 polegadas e "&amp;"acima ., Chegou em boas condições. A qualidade da montagem é excelente, pesada e resistente. Possui manual de papel, com etapas e ferramentas claras necessárias para a instalação. A instalação foi fácil e rápida. Feliz com esta compra., 55 polegadas para "&amp;"lidar com isso")</f>
        <v>É um bom produto. Usado para TV de 42 polegadas, teve que instalá -la por um mecânico de TV., Gud para 40 polegadas acima da TV, melhor, incrível, agradável e resistente !! A qualidade do produto é excelente., O estande não é adequado para 50 polegadas e acima ., Chegou em boas condições. A qualidade da montagem é excelente, pesada e resistente. Possui manual de papel, com etapas e ferramentas claras necessárias para a instalação. A instalação foi fácil e rápida. Feliz com esta compra., 55 polegadas para lidar com isso</v>
      </c>
    </row>
    <row r="71">
      <c r="A71" s="9" t="s">
        <v>316</v>
      </c>
      <c r="B71" s="29" t="str">
        <f>VLOOKUP(dados!A71, reviews!A:G, 5, FALSE)</f>
        <v>You can trust on this one,The best usb cable,Wel build just like original .,Nice!!,Working perfectly,Basic,Good,No issues</v>
      </c>
      <c r="C71" s="29" t="str">
        <f>VLOOKUP(dados!A71, reviews!A:G, 6, FALSE)</f>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v>
      </c>
      <c r="D71" s="29" t="str">
        <f>IFERROR(__xludf.DUMMYFUNCTION("GOOGLETRANSLATE(B71, ""en"", ""pt-br"")"),"Você pode confiar neste, o melhor cabo USB, WEL Construir como original., Bom !!, funcionando perfeitamente, básico, bom, sem problemas")</f>
        <v>Você pode confiar neste, o melhor cabo USB, WEL Construir como original., Bom !!, funcionando perfeitamente, básico, bom, sem problemas</v>
      </c>
      <c r="E71" s="29" t="str">
        <f>IFERROR(__xludf.DUMMYFUNCTION("GOOGLETRANSLATE(C71, ""en"", ""pt-br"")"),"Anteriormente comprou o cabo USB Tipo A e eu não durou muito, mas esse produto USB C parece fabricado com materiais de alta qualidade. Suporta engarrafamento rápido, fornecimento de dados etc. Basta seguir em frente, exlêmeo, muito satisfeito com esta com"&amp;"pra, assim como a qualidade orginal. Comprará novamente no futuro., Minha irmã está usando este cabo para carregar o telefone e o cabo é durável e bom o suficiente para o telefone da minha irmã. Adoro !!, eu comprei para usar o Android Auto no carro Tata "&amp;"Altroz, conectando -me ao meu Mobile One Plus 2T. Eu uso isso há mais de uma semana. Está funcionando perfeitamente ... Estou feliz com o produto até agora., Basic, grande dinheiro do produto, sem problemas")</f>
        <v>Anteriormente comprou o cabo USB Tipo A e eu não durou muito, mas esse produto USB C parece fabricado com materiais de alta qualidade. Suporta engarrafamento rápido, fornecimento de dados etc. Basta seguir em frente, exlêmeo, muito satisfeito com esta compra, assim como a qualidade orginal. Comprará novamente no futuro., Minha irmã está usando este cabo para carregar o telefone e o cabo é durável e bom o suficiente para o telefone da minha irmã. Adoro !!, eu comprei para usar o Android Auto no carro Tata Altroz, conectando -me ao meu Mobile One Plus 2T. Eu uso isso há mais de uma semana. Está funcionando perfeitamente ... Estou feliz com o produto até agora., Basic, grande dinheiro do produto, sem problemas</v>
      </c>
    </row>
    <row r="72">
      <c r="A72" s="9" t="s">
        <v>320</v>
      </c>
      <c r="B72" s="29" t="str">
        <f>VLOOKUP(dados!A72, reviews!A:G, 5, FALSE)</f>
        <v>It worked well for some days later it is not working , I want it to replace.,Extremely fine,Superb product,This is very decent, quality is super good!,Good,Awesome Product Quantity &amp; Value For Money,Go for it..,Be(a)st in the market.</v>
      </c>
      <c r="C72" s="29" t="str">
        <f>VLOOKUP(dados!A72, reviews!A:G, 6, FALSE)</f>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v>
      </c>
      <c r="D72" s="29" t="str">
        <f>IFERROR(__xludf.DUMMYFUNCTION("GOOGLETRANSLATE(B72, ""en"", ""pt-br"")"),"Funcionou bem por alguns dias depois, não está funcionando, eu quero que ele substitua., Produto extremamente bom e excelente, isso é muito decente, a qualidade é super boa!, Bom, quantidade incrível de quantidade e valor para o dinheiro, vá em frente. .,"&amp;" Seja (a) ST no mercado.")</f>
        <v>Funcionou bem por alguns dias depois, não está funcionando, eu quero que ele substitua., Produto extremamente bom e excelente, isso é muito decente, a qualidade é super boa!, Bom, quantidade incrível de quantidade e valor para o dinheiro, vá em frente. ., Seja (a) ST no mercado.</v>
      </c>
      <c r="E72" s="29" t="str">
        <f>IFERROR(__xludf.DUMMYFUNCTION("GOOGLETRANSLATE(C72, ""en"", ""pt-br"")"),"Funcionou bem por alguns dias depois, não está funcionando, eu quero que ele substitua., Produto agradável e excelente com luzes brancas nas duas extremidades ao carregar. A cor e a qualidade parecem muito premium., https: //m.media-amazon.com/images/i/81"&amp;"u-ab650vl._sy88.jpg,guod, boa qualidade de construção. Bom produto e altamente recomendado., De boa qualidade e está linda ... eu certamente recomendarei (depois de usá -lo por 3 semanas). Eu uso o Samsung M51, alguns meses atrás, meu cabo USB estava rasg"&amp;"ado, então não consegui uma carga rápida. Demorou uma década para cobrar de 20 a 90%. O cabo original da Samsung era muito caro e muito frágil, então eu estava procurando por algo durável. Ao navegar pela página do produto, fiquei cético em fazer um pedid"&amp;"o, pois a empresa reivindicou muitos recursos a um preço tão baixo. Mantendo os pensamentos negativos à parte, pedi de qualquer maneira. O produto foi entregue com bastante antecedência, o que me deixou feliz. Eu não caixa e conectado ao cabo, para minha "&amp;"surpresa, o cabo entregou tudo o que a empresa reivindicou. As extremidades têm carcaça de alumínio, o que o torna durável e longe do desgaste regular, ele tem um indicador de LED nas duas extremidades, que liga quando o carregador está conectado ao telef"&amp;"one. Além disso, a caixa que ela vem tem um código secreto que você precisa arranhar para revelar o que ajuda a verificar sua autenticidade. É facilmente rápido meu telefone em uma hora. No geral, estou muito feliz com o produto. Recomendo este cabo para "&amp;"quem precisa de um cabo de carregamento do tipo C de carregamento rápido. Atualizará esta revisão se alguma alteração for observada.")</f>
        <v>Funcionou bem por alguns dias depois, não está funcionando, eu quero que ele substitua., Produto agradável e excelente com luzes brancas nas duas extremidades ao carregar. A cor e a qualidade parecem muito premium., https: //m.media-amazon.com/images/i/81u-ab650vl._sy88.jpg,guod, boa qualidade de construção. Bom produto e altamente recomendado., De boa qualidade e está linda ... eu certamente recomendarei (depois de usá -lo por 3 semanas). Eu uso o Samsung M51, alguns meses atrás, meu cabo USB estava rasgado, então não consegui uma carga rápida. Demorou uma década para cobrar de 20 a 90%. O cabo original da Samsung era muito caro e muito frágil, então eu estava procurando por algo durável. Ao navegar pela página do produto, fiquei cético em fazer um pedido, pois a empresa reivindicou muitos recursos a um preço tão baixo. Mantendo os pensamentos negativos à parte, pedi de qualquer maneira. O produto foi entregue com bastante antecedência, o que me deixou feliz. Eu não caixa e conectado ao cabo, para minha surpresa, o cabo entregou tudo o que a empresa reivindicou. As extremidades têm carcaça de alumínio, o que o torna durável e longe do desgaste regular, ele tem um indicador de LED nas duas extremidades, que liga quando o carregador está conectado ao telefone. Além disso, a caixa que ela vem tem um código secreto que você precisa arranhar para revelar o que ajuda a verificar sua autenticidade. É facilmente rápido meu telefone em uma hora. No geral, estou muito feliz com o produto. Recomendo este cabo para quem precisa de um cabo de carregamento do tipo C de carregamento rápido. Atualizará esta revisão se alguma alteração for observada.</v>
      </c>
    </row>
    <row r="73">
      <c r="A73" s="9" t="s">
        <v>324</v>
      </c>
      <c r="B73" s="29" t="str">
        <f>VLOOKUP(dados!A73, reviews!A:G, 5, FALSE)</f>
        <v>Good.,Good product,Ultimate product,Good Product,Not that good. But ok for the price.,Fast cable,Fast charging 👍,Best Alternative to Original Cable</v>
      </c>
      <c r="C73" s="29" t="str">
        <f>VLOOKUP(dados!A73, reviews!A:G, 6, FALSE)</f>
        <v>Working well and fast Charing as claimed. Pice is at highside. Good item.,Good working worth of money 💰,It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fast👍Good product 👍,Works for both DASH and WARP Charging. Good build quality.</v>
      </c>
      <c r="D73" s="29" t="str">
        <f>IFERROR(__xludf.DUMMYFUNCTION("GOOGLETRANSLATE(B73, ""en"", ""pt-br"")"),"Bom., Bom produto, produto final, bom produto, não tão bom. Mas ok para o preço., Cabo rápido, carregamento rápido 👍, melhor alternativa ao cabo original")</f>
        <v>Bom., Bom produto, produto final, bom produto, não tão bom. Mas ok para o preço., Cabo rápido, carregamento rápido 👍, melhor alternativa ao cabo original</v>
      </c>
      <c r="E73" s="29" t="str">
        <f>IFERROR(__xludf.DUMMYFUNCTION("GOOGLETRANSLATE(C73, ""en"", ""pt-br"")"),"Trabalhando bem e charing rápido, conforme reivindicado. Pice está em Highside. Bom item., Bom trabalho em dinheiro 💰, é um cabo incrível que eu o recebi da Amazon. Carregue meu telefone de uma maneira rápida. O cabo é bom em qualidade e carrega rapidame"&amp;"nte, conseguiu em bom negócio na venda., Não é um carregador rápido. Diz uma carga rápida, mas leva uma eternidade para cobrar. Mas o fio é forte e durável., Super rápido, carregando um produto muito rápido, funciona para o carregamento de traço e urdidur"&amp;"a. Boa qualidade de construção.")</f>
        <v>Trabalhando bem e charing rápido, conforme reivindicado. Pice está em Highside. Bom item., Bom trabalho em dinheiro 💰, é um cabo incrível que eu o recebi da Amazon. Carregue meu telefone de uma maneira rápida. O cabo é bom em qualidade e carrega rapidamente, conseguiu em bom negócio na venda., Não é um carregador rápido. Diz uma carga rápida, mas leva uma eternidade para cobrar. Mas o fio é forte e durável., Super rápido, carregando um produto muito rápido, funciona para o carregamento de traço e urdidura. Boa qualidade de construção.</v>
      </c>
    </row>
    <row r="74">
      <c r="A74" s="9" t="s">
        <v>328</v>
      </c>
      <c r="B74" s="29" t="str">
        <f>VLOOKUP(dados!A74, reviews!A:G, 5, FALSE)</f>
        <v>Worth the price,Mi Smart Tv 32" :- 7/10 average.,Worth using since 1.5 years,expect more from mi,Worth for money.,Good product,It’s good,Go for it without thinking twice.</v>
      </c>
      <c r="C74" s="29" t="str">
        <f>VLOOKUP(dados!A74, reviews!A:G, 6, FALSE)</f>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v>
      </c>
      <c r="D74" s="29" t="str">
        <f>IFERROR(__xludf.DUMMYFUNCTION("GOOGLETRANSLATE(B74, ""en"", ""pt-br"")"),"Vale o preço, Mi Smart TV 32 "":- 7/10 Média., Vale a pena usar desde 1,5 anos, espere mais do MI, que vale a pena., Bom produto, é bom, vá em frente sem pensar duas vezes.")</f>
        <v>Vale o preço, Mi Smart TV 32 ":- 7/10 Média., Vale a pena usar desde 1,5 anos, espere mais do MI, que vale a pena., Bom produto, é bom, vá em frente sem pensar duas vezes.</v>
      </c>
      <c r="E74" s="29" t="str">
        <f>IFERROR(__xludf.DUMMYFUNCTION("GOOGLETRANSLATE(C74, ""en"", ""pt-br"")"),"Vale o preço. Eu uso os provedores de cabos locais configurados. Com minha TV anterior (Samsung), eu não estava enfrentando esse problema. O único problema que estou enfrentando é cada vez que desligo a TV da rede elétrica, tenho que ir para as configuraç"&amp;"ões e ligar as configurações para as configurações dos alto -falantes de TV, apesar de nenhum outro alto -falante ou wifi ou dente azul ou telefone celular estará na proximidade . Como resultado, parei de desligar a TV da rede elétrica. Eu apenas uso o co"&amp;"ntrole remoto para colocá -lo em pé. Mas isso é um problema a longo prazo, a tela é muito boa. O som é médio de iam usando a barra de som, então não há problemas para mim. Não sei quanto tempo durará devido ao meu painel Pro 55 4 Pro Mi 55 4, em 2,5 anos."&amp;" Comprei esta TV com garantia de 2 anos no painel., Melhore a resposta do software e melhore a qualidade da imagem. Vale a pena dinheiro para esse orçamento (4K)., Eu usei de 2 a 4 dias. A qualidade da imagem parece boa e impressionante. Vá em frente ... "&amp;"espero que a qualidade de longo prazo também seja boa., Esta TV é muito boa, mas nessa coisa ruim é essa TV em algum momento de parar enquanto toca apenas um vídeo do YouTube, mas, caso contrário, é um bom produto, é bom e valor Por dinheiro, foto incríve"&amp;"l e qualidade do som. Qualidade 4K a esse preço. É realmente bom .")</f>
        <v>Vale o preço. Eu uso os provedores de cabos locais configurados. Com minha TV anterior (Samsung), eu não estava enfrentando esse problema. O único problema que estou enfrentando é cada vez que desligo a TV da rede elétrica, tenho que ir para as configurações e ligar as configurações para as configurações dos alto -falantes de TV, apesar de nenhum outro alto -falante ou wifi ou dente azul ou telefone celular estará na proximidade . Como resultado, parei de desligar a TV da rede elétrica. Eu apenas uso o controle remoto para colocá -lo em pé. Mas isso é um problema a longo prazo, a tela é muito boa. O som é médio de iam usando a barra de som, então não há problemas para mim. Não sei quanto tempo durará devido ao meu painel Pro 55 4 Pro Mi 55 4, em 2,5 anos. Comprei esta TV com garantia de 2 anos no painel., Melhore a resposta do software e melhore a qualidade da imagem. Vale a pena dinheiro para esse orçamento (4K)., Eu usei de 2 a 4 dias. A qualidade da imagem parece boa e impressionante. Vá em frente ... espero que a qualidade de longo prazo também seja boa., Esta TV é muito boa, mas nessa coisa ruim é essa TV em algum momento de parar enquanto toca apenas um vídeo do YouTube, mas, caso contrário, é um bom produto, é bom e valor Por dinheiro, foto incrível e qualidade do som. Qualidade 4K a esse preço. É realmente bom .</v>
      </c>
    </row>
    <row r="75">
      <c r="A75" s="9" t="s">
        <v>332</v>
      </c>
      <c r="B75" s="29" t="str">
        <f>VLOOKUP(dados!A75, reviews!A:G, 5, FALSE)</f>
        <v>Very good product and met my need.  Thanks,Decent value,Nice quality… trustable…,Just well in this price.,supports 2.4 amps fast charging,Nice,Nice.,Value for money</v>
      </c>
      <c r="C75" s="29" t="str">
        <f>VLOOKUP(dados!A75, reviews!A:G, 6, FALSE)</f>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v>
      </c>
      <c r="D75" s="29" t="str">
        <f>IFERROR(__xludf.DUMMYFUNCTION("GOOGLETRANSLATE(B75, ""en"", ""pt-br"")"),"Muito bom produto e atendeu à minha necessidade. Obrigado, valor decente, boa qualidade ... confiável ..., bem nesse preço., Suporta 2,4 amperes de carregamento rápido, bom, bom., Valor do dinheiro")</f>
        <v>Muito bom produto e atendeu à minha necessidade. Obrigado, valor decente, boa qualidade ... confiável ..., bem nesse preço., Suporta 2,4 amperes de carregamento rápido, bom, bom., Valor do dinheiro</v>
      </c>
      <c r="E75" s="29" t="str">
        <f>IFERROR(__xludf.DUMMYFUNCTION("GOOGLETRANSLATE(C75, ""en"", ""pt-br"")"),"Gostei do produto. Preciso para o meu aparelho USB., Bom valor, até agora eu havia comprado cerca de 20 cabos Micro e C tipo para mim e minha família neste último ano. É tudo porque essa marca ganha minha confiança, fornecendo ótima qualidade com preço ra"&amp;"zoável, NA, testado com carregador e telefone de 2,4 amperes. fornece energia completa de 2,4 amperes ao telefone. O cabo parece espesso e possui uma textura agradável. Apesar disso, tenho certeza de que não é muito durável. Os conectores USB são extremam"&amp;"ente resistentes e não dobram ou flexionam. O fio quebrará antes do conector !! Aviso: o micro conector USB tem um gancho forte. Tenha cuidado ao conectar e desconectar, ou você pode danificar seu dispositivo. Cabo muito barato e utilizável por 120 Rs, Su"&amp;"per Power, Nice Produto., Neste preço, este é o melhor")</f>
        <v>Gostei do produto. Preciso para o meu aparelho USB., Bom valor, até agora eu havia comprado cerca de 20 cabos Micro e C tipo para mim e minha família neste último ano. É tudo porque essa marca ganha minha confiança, fornecendo ótima qualidade com preço razoável, NA, testado com carregador e telefone de 2,4 amperes. fornece energia completa de 2,4 amperes ao telefone. O cabo parece espesso e possui uma textura agradável. Apesar disso, tenho certeza de que não é muito durável. Os conectores USB são extremamente resistentes e não dobram ou flexionam. O fio quebrará antes do conector !! Aviso: o micro conector USB tem um gancho forte. Tenha cuidado ao conectar e desconectar, ou você pode danificar seu dispositivo. Cabo muito barato e utilizável por 120 Rs, Super Power, Nice Produto., Neste preço, este é o melhor</v>
      </c>
    </row>
    <row r="76">
      <c r="A76" s="9" t="s">
        <v>336</v>
      </c>
      <c r="B76" s="29" t="str">
        <f>VLOOKUP(dados!A76, reviews!A:G, 5, FALSE)</f>
        <v>Better..!!,Charging speed is not guaranteed!,Exactly as advertised,Excellent warp charge cable,Nice,Amazing cable,Best fast charging cable,Really a good cable, Recommend</v>
      </c>
      <c r="C76" s="29" t="str">
        <f>VLOOKUP(dados!A76, reviews!A:G, 6, FALSE)</f>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v>
      </c>
      <c r="D76" s="29" t="str">
        <f>IFERROR(__xludf.DUMMYFUNCTION("GOOGLETRANSLATE(B76, ""en"", ""pt-br"")"),"Melhor .. !!, a velocidade de carregamento não é garantida!, Exatamente como anunciado, excelente cabo de carga, bom, cabo incrível, melhor cabo de carregamento rápido, realmente um bom cabo, recomendo")</f>
        <v>Melhor .. !!, a velocidade de carregamento não é garantida!, Exatamente como anunciado, excelente cabo de carga, bom, cabo incrível, melhor cabo de carregamento rápido, realmente um bom cabo, recomendo</v>
      </c>
      <c r="E76" s="29" t="str">
        <f>IFERROR(__xludf.DUMMYFUNCTION("GOOGLETRANSLATE(C76, ""en"", ""pt-br"")"),"Sim, esse suporte a cabo 65W Carregamento rápido testado no meu tijolo de 65W do Realme 7 Pro .. Cable e Pins Qualidade parece boa. Como não consegui encontrar o cabo original para o carregador de 65W do Realme, eu estava procurando por um bom tempo para "&amp;"um bom ...,, A velocidade de carregamento depende do número de fatores e somente em melhores condições ele vai acima de 50 watts e a marca afirma apenas que 65 watts cobrará se você usar o carregador da caixa de entrada da marca. Para mim, pessoalmente, t"&amp;"estei em várias ocasiões usando -o por um mês ou dois nunca recebi velocidade acima de 38 watts e testei com o cabo que recebi da caixa e também me deu a mesma velocidade, então compre com cuidado se você ' As condições são boas e você obtém velocidade ma"&amp;"is tha 50wats do que só você deve comprá -lo ou deve ir com cabos 3a/4a, pois eles são mais baratos e mais duráveis ​​cabos trançados, o cabo suporta carregamento rápido (estou usando um carregador OnePlus 65W ) como anunciado. Se pudesse ter sido redondo"&amp;" e trançado em vez de um cabo de fita plana, isso o tornaria mais durável. Na minha experiência, os cabos trançados são fáceis de embrulhar e armazenar quando não estão em uso e não ficam desgastados facilmente. Meu cabo parou de carregamento rápido após "&amp;"dois meses de uso, mas o suporte à garantia foi excelente, enviei o cabo em um centro próximo e um novo cabo foi enviado em 3 dias. Eu uso cabos de barco há cerca de 6 anos (um cabo de um telefone Moto G4 ainda está comigo e em uso) e vai se ater a eles. "&amp;".It Warp cobra, pois suporta a fonte de alimentação 6A. O cabo é longo e resistente em comparação com o cabo OnePlus típico na caixa. O preço do cabo OnePlus original é 890 MRP, mas eu tenho 400 e não é diferente de outros fios de terceiros. Definitivamen"&amp;"te vale a pena. 👍🏻, melhor no segmento de preços e em emaranhado de material durável Alsi sem 3 anos de garantia, basta comprá -lo, um cabo de carregamento rápido de muito boa qualidade, obtendo um bom carregamento rápido através do laptop também.Flat C"&amp;"able Design o torna mais durável., Eu tenho um OnePlus 7T com carga de 30 watts, meu fio original foi destruído Alguns anos atrás e estava procurando um cabo com 6V-5A para carregamento rápido, eu havia comprado muitos fios, mas o telefone não estava carr"&amp;"egando tão rápido quanto o 5He original. Este fio tem uma boa qualidade de construção e pode fazer 65 watts (6.5a).")</f>
        <v>Sim, esse suporte a cabo 65W Carregamento rápido testado no meu tijolo de 65W do Realme 7 Pro .. Cable e Pins Qualidade parece boa. Como não consegui encontrar o cabo original para o carregador de 65W do Realme, eu estava procurando por um bom tempo para um bom ...,, A velocidade de carregamento depende do número de fatores e somente em melhores condições ele vai acima de 50 watts e a marca afirma apenas que 65 watts cobrará se você usar o carregador da caixa de entrada da marca. Para mim, pessoalmente, testei em várias ocasiões usando -o por um mês ou dois nunca recebi velocidade acima de 38 watts e testei com o cabo que recebi da caixa e também me deu a mesma velocidade, então compre com cuidado se você ' As condições são boas e você obtém velocidade mais tha 50wats do que só você deve comprá -lo ou deve ir com cabos 3a/4a, pois eles são mais baratos e mais duráveis ​​cabos trançados, o cabo suporta carregamento rápido (estou usando um carregador OnePlus 65W ) como anunciado. Se pudesse ter sido redondo e trançado em vez de um cabo de fita plana, isso o tornaria mais durável. Na minha experiência, os cabos trançados são fáceis de embrulhar e armazenar quando não estão em uso e não ficam desgastados facilmente. Meu cabo parou de carregamento rápido após dois meses de uso, mas o suporte à garantia foi excelente, enviei o cabo em um centro próximo e um novo cabo foi enviado em 3 dias. Eu uso cabos de barco há cerca de 6 anos (um cabo de um telefone Moto G4 ainda está comigo e em uso) e vai se ater a eles. .It Warp cobra, pois suporta a fonte de alimentação 6A. O cabo é longo e resistente em comparação com o cabo OnePlus típico na caixa. O preço do cabo OnePlus original é 890 MRP, mas eu tenho 400 e não é diferente de outros fios de terceiros. Definitivamente vale a pena. 👍🏻, melhor no segmento de preços e em emaranhado de material durável Alsi sem 3 anos de garantia, basta comprá -lo, um cabo de carregamento rápido de muito boa qualidade, obtendo um bom carregamento rápido através do laptop também.Flat Cable Design o torna mais durável., Eu tenho um OnePlus 7T com carga de 30 watts, meu fio original foi destruído Alguns anos atrás e estava procurando um cabo com 6V-5A para carregamento rápido, eu havia comprado muitos fios, mas o telefone não estava carregando tão rápido quanto o 5He original. Este fio tem uma boa qualidade de construção e pode fazer 65 watts (6.5a).</v>
      </c>
    </row>
    <row r="77">
      <c r="A77" s="9" t="s">
        <v>340</v>
      </c>
      <c r="B77" s="29" t="str">
        <f>VLOOKUP(dados!A77, reviews!A:G, 5, FALSE)</f>
        <v>Good product,Its good, but micro usb doesn't fit my phone.,Good and useful item,It is very best cable,good,2 in 1 Charging Cable.,Sturdy cable overall,Nice &amp; Best Charger Cabel</v>
      </c>
      <c r="C77" s="29" t="str">
        <f>VLOOKUP(dados!A77, reviews!A:G, 6, FALSE)</f>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v>
      </c>
      <c r="D77" s="29" t="str">
        <f>IFERROR(__xludf.DUMMYFUNCTION("GOOGLETRANSLATE(B77, ""en"", ""pt-br"")"),"Bom produto, é bom, mas o micro USB não se encaixa no meu telefone., Item bom e útil, é o melhor cabo, bom, 2 em 1 cabo de carregamento.")</f>
        <v>Bom produto, é bom, mas o micro USB não se encaixa no meu telefone., Item bom e útil, é o melhor cabo, bom, 2 em 1 cabo de carregamento.</v>
      </c>
      <c r="E77" s="29" t="str">
        <f>IFERROR(__xludf.DUMMYFUNCTION("GOOGLETRANSLATE(C77, ""en"", ""pt-br"")"),"O produto é bom, e também é o STRUDINE. Mas não há carregamento rápido neste cabo, normalmente é carregada. Adoro porque é suportado no micro USB, ou tipo C. Em todos os bons .Pros / vantagem:- -1) 1,5 metro de fio 2) mais durável3) suportado tipo duplo t"&amp;"ipo C, micro usbcons / desvantagens:- carregamento normal, não carregamento rápido, embora seja trançado, mas não é forte como barco. Mas não há problema em usá -lo. Suporta turboalimentação., Trabalhando bem após meses de uso. A única coisa é que, se hou"&amp;"ver leve pressão, o adaptador do tipo C sairá da cabeça micro USB. Tão melhor ver que o cabo não está esticado ao usar o adaptador do tipo C. Caso contrário, funcionando bem e muito conveniente para mim, pois geralmente tenho um telefone com carregamento "&amp;"do tipo C e uma pequena guia com carregamento micro USB quando viajo. Preciso carregar apenas um cabo agora com meu PowerBank. Recomendará., Melhor cabo, bom, os conectores Micro USB e Tipo C estão recebendo carga. Para aplicar uma força de um bit para re"&amp;"mover (IG, ele se desgastará após o uso). Em comparação, o barco tem uma melhor qualidade, eu diria que se você receber isso em oferta, pois possui cabo trançado de metal e melhor pino de microgurada de qualidade., Gosto O produto Bcuz é me ajuda a carreg"&amp;"ar ambos os tipos de telefone C &amp; Micro Cabel")</f>
        <v>O produto é bom, e também é o STRUDINE. Mas não há carregamento rápido neste cabo, normalmente é carregada. Adoro porque é suportado no micro USB, ou tipo C. Em todos os bons .Pros / vantagem:- -1) 1,5 metro de fio 2) mais durável3) suportado tipo duplo tipo C, micro usbcons / desvantagens:- carregamento normal, não carregamento rápido, embora seja trançado, mas não é forte como barco. Mas não há problema em usá -lo. Suporta turboalimentação., Trabalhando bem após meses de uso. A única coisa é que, se houver leve pressão, o adaptador do tipo C sairá da cabeça micro USB. Tão melhor ver que o cabo não está esticado ao usar o adaptador do tipo C. Caso contrário, funcionando bem e muito conveniente para mim, pois geralmente tenho um telefone com carregamento do tipo C e uma pequena guia com carregamento micro USB quando viajo. Preciso carregar apenas um cabo agora com meu PowerBank. Recomendará., Melhor cabo, bom, os conectores Micro USB e Tipo C estão recebendo carga. Para aplicar uma força de um bit para remover (IG, ele se desgastará após o uso). Em comparação, o barco tem uma melhor qualidade, eu diria que se você receber isso em oferta, pois possui cabo trançado de metal e melhor pino de microgurada de qualidade., Gosto O produto Bcuz é me ajuda a carregar ambos os tipos de telefone C &amp; Micro Cabel</v>
      </c>
    </row>
    <row r="78">
      <c r="A78" s="9" t="s">
        <v>344</v>
      </c>
      <c r="B78" s="29" t="str">
        <f>VLOOKUP(dados!A78, reviews!A:G, 5, FALSE)</f>
        <v>GOOD,Thank you  Amazon very good charging cable,Good,Very good product,good quality,Very Good Product,This is fast charging USB!,Simply perfect at the price of below 100</v>
      </c>
      <c r="C78" s="29" t="str">
        <f>VLOOKUP(dados!A78, reviews!A:G, 6, FALSE)</f>
        <v>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v>
      </c>
      <c r="D78" s="29" t="str">
        <f>IFERROR(__xludf.DUMMYFUNCTION("GOOGLETRANSLATE(B78, ""en"", ""pt-br"")"),"Bom, obrigado Amazon Cable de carregamento muito bom, bom, muito bom produto, boa qualidade, produto muito bom, este é um USB de carregamento rápido!, Simplesmente perfeito pelo preço abaixo de 100")</f>
        <v>Bom, obrigado Amazon Cable de carregamento muito bom, bom, muito bom produto, boa qualidade, produto muito bom, este é um USB de carregamento rápido!, Simplesmente perfeito pelo preço abaixo de 100</v>
      </c>
      <c r="E78" s="29" t="str">
        <f>IFERROR(__xludf.DUMMYFUNCTION("GOOGLETRANSLATE(C78, ""en"", ""pt-br"")"),"Está tudo bem, mas é volumoso e difícil, deve ser mais suave e mais fino ....., obrigado Amazon Cabo de carregamento muito bom 👍, bom, bom, a qualidade é boa. Vale 150-200 ₹. curto, mas durável., produto muito bom. Satisfeito .., este é um pino de carreg"&amp;"amento rápido C USB! Você pode comprá -lo., Bom produto a preço abaixo de 100")</f>
        <v>Está tudo bem, mas é volumoso e difícil, deve ser mais suave e mais fino ....., obrigado Amazon Cabo de carregamento muito bom 👍, bom, bom, a qualidade é boa. Vale 150-200 ₹. curto, mas durável., produto muito bom. Satisfeito .., este é um pino de carregamento rápido C USB! Você pode comprá -lo., Bom produto a preço abaixo de 100</v>
      </c>
    </row>
    <row r="79">
      <c r="A79" s="9" t="s">
        <v>348</v>
      </c>
      <c r="B79" s="29" t="str">
        <f>VLOOKUP(dados!A79, reviews!A:G, 5, FALSE)</f>
        <v>Good, Value for Money,Picture quality was nice....over all product nice,Till today everything okay,Y,Good,Outstanding Performance,Must buy,Value for money</v>
      </c>
      <c r="C79" s="29" t="str">
        <f>VLOOKUP(dados!A79, reviews!A:G, 6, FALSE)</f>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v>
      </c>
      <c r="D79" s="29" t="str">
        <f>IFERROR(__xludf.DUMMYFUNCTION("GOOGLETRANSLATE(B79, ""en"", ""pt-br"")"),"Bom, valor ao dinheiro, a qualidade da imagem era boa .... em todo o produto legal, até hoje tudo bem, bom, bom, excelente desempenho, deve comprar, valor ao dinheiro")</f>
        <v>Bom, valor ao dinheiro, a qualidade da imagem era boa .... em todo o produto legal, até hoje tudo bem, bom, bom, excelente desempenho, deve comprar, valor ao dinheiro</v>
      </c>
      <c r="E79" s="29" t="str">
        <f>IFERROR(__xludf.DUMMYFUNCTION("GOOGLETRANSLATE(C79, ""en"", ""pt-br"")"),"Tudo é bom. Apenas uma sugestão, quando a TCL está dando seu próprio canal, deve ter algum conteúdo. O que faz, vai me encaminhar para outra plataforma OTT para qual assinatura precisará ser tomada., Https: //m.media-amazon.com/images/i/61mpjn3sh-l._sy88."&amp;"jpg, como a imagem Qualidade, som, bom, bom, excelente, muito bom., Quase um mês de uso, a TV é muito melhor que o Mi TV. Nossa edição de 40 ""Mi Horizon recebeu uma queixa 3 vezes em 2 anos de período de garantia e, finalmente, eles não substituíram, a t"&amp;"erceira vez que foi exibida após 2 dias de garantia. Então, nunca vá para Mi. A qualidade da imagem e da qualidade do som é muito boa. Nesta faixa de preço, um produto deve comprar., Bom")</f>
        <v>Tudo é bom. Apenas uma sugestão, quando a TCL está dando seu próprio canal, deve ter algum conteúdo. O que faz, vai me encaminhar para outra plataforma OTT para qual assinatura precisará ser tomada., Https: //m.media-amazon.com/images/i/61mpjn3sh-l._sy88.jpg, como a imagem Qualidade, som, bom, bom, excelente, muito bom., Quase um mês de uso, a TV é muito melhor que o Mi TV. Nossa edição de 40 "Mi Horizon recebeu uma queixa 3 vezes em 2 anos de período de garantia e, finalmente, eles não substituíram, a terceira vez que foi exibida após 2 dias de garantia. Então, nunca vá para Mi. A qualidade da imagem e da qualidade do som é muito boa. Nesta faixa de preço, um produto deve comprar., Bom</v>
      </c>
    </row>
    <row r="80">
      <c r="A80" s="9" t="s">
        <v>352</v>
      </c>
      <c r="B80" s="29" t="str">
        <f>VLOOKUP(dados!A80, reviews!A:G, 5, FALSE)</f>
        <v>Value for money,Nice product,timely delivered with good packeging,Good in quality,Quite nice cable,  Go for it,Good product , value for money,Worth buying,Nice</v>
      </c>
      <c r="C80" s="29" t="str">
        <f>VLOOKUP(dados!A80, reviews!A:G, 6, FALSE)</f>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v>
      </c>
      <c r="D80" s="29" t="str">
        <f>IFERROR(__xludf.DUMMYFUNCTION("GOOGLETRANSLATE(B80, ""en"", ""pt-br"")"),"Valor pelo dinheiro, bom produto, entregue oportuno com boa carbonga, boa qualidade, cabo bastante bom, vá em frente, bom produto, valor ao dinheiro, que vale a pena comprar, bom")</f>
        <v>Valor pelo dinheiro, bom produto, entregue oportuno com boa carbonga, boa qualidade, cabo bastante bom, vá em frente, bom produto, valor ao dinheiro, que vale a pena comprar, bom</v>
      </c>
      <c r="E80" s="29" t="str">
        <f>IFERROR(__xludf.DUMMYFUNCTION("GOOGLETRANSLATE(C80, ""en"", ""pt-br"")"),"A embalagem é boa. Eles enviaram uma caixa para Italo, a qualidade parece boa e decentemente rápida, o produto para o preço pago, bom produto, um bom cabo de carregamento por baixo custo., Altamente recomendado, um cabo bastante bom neste preço, carregand"&amp;"o meu iPad Vá em frente, eu gosto do produto e resnível preciso., vale a pena comprar, bom")</f>
        <v>A embalagem é boa. Eles enviaram uma caixa para Italo, a qualidade parece boa e decentemente rápida, o produto para o preço pago, bom produto, um bom cabo de carregamento por baixo custo., Altamente recomendado, um cabo bastante bom neste preço, carregando meu iPad Vá em frente, eu gosto do produto e resnível preciso., vale a pena comprar, bom</v>
      </c>
    </row>
    <row r="81">
      <c r="A81" s="9" t="s">
        <v>356</v>
      </c>
      <c r="B81" s="29" t="str">
        <f>VLOOKUP(dados!A81, reviews!A:G, 5, FALSE)</f>
        <v>Good Product,Good product for my fire Tv,Over-all food,Good product,Product quality is very good and so is the customer service,It’s good,worth buying,Remote is working fine</v>
      </c>
      <c r="C81" s="29" t="str">
        <f>VLOOKUP(dados!A81, reviews!A:G, 6, FALSE)</f>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v>
      </c>
      <c r="D81" s="29" t="str">
        <f>IFERROR(__xludf.DUMMYFUNCTION("GOOGLETRANSLATE(B81, ""en"", ""pt-br"")"),"Bom produto, bom produto para minha TV de fogo, comida geral, bom produto, qualidade do produto é muito boa e o atendimento ao cliente, é bom, vale a pena comprar, o controle remoto está funcionando bem")</f>
        <v>Bom produto, bom produto para minha TV de fogo, comida geral, bom produto, qualidade do produto é muito boa e o atendimento ao cliente, é bom, vale a pena comprar, o controle remoto está funcionando bem</v>
      </c>
      <c r="E81" s="29" t="str">
        <f>IFERROR(__xludf.DUMMYFUNCTION("GOOGLETRANSLATE(C81, ""en"", ""pt-br"")"),"Funciona bem no meu stick 4K Amazone Fire TV, bem como o Stick TV de 2ª geração. Se o seu controle remoto original for danificado. Compre este. Mas o preço é um pouco alto. Deveria estar disponível para Rs. 800/-, gostei e se adequou muito bem à minha TV "&amp;"de fogo, o representante é muito amigável e solidário, o produto foi bom. O serviço de clientes também foi bom., Faz um mês desde que comecei a usar este produto, o produto É bom, mas fica muito o mesmo antes, mas eu pensei que, como é novo com o tempo qu"&amp;"e isso seria resolvido, mas ainda é o mesmo, leva tempo para executar uma ação na maioria das vezes. Não está à altura da expectativa. Essa é a razão pela qual estou mudando a revisão. Obrigado, funciona com o Fire Stick Lite e, para meus controles surpre"&amp;"sa de volume, também estão ausentes, que estavam faltando no original. A configuração também é rápida., Trabalhando como esperado, o suporte é rápido. Esse controle remoto é bom como o esperado, o manual compartilhado é muito simples de seguir. Estou feli"&amp;"z com este produto.")</f>
        <v>Funciona bem no meu stick 4K Amazone Fire TV, bem como o Stick TV de 2ª geração. Se o seu controle remoto original for danificado. Compre este. Mas o preço é um pouco alto. Deveria estar disponível para Rs. 800/-, gostei e se adequou muito bem à minha TV de fogo, o representante é muito amigável e solidário, o produto foi bom. O serviço de clientes também foi bom., Faz um mês desde que comecei a usar este produto, o produto É bom, mas fica muito o mesmo antes, mas eu pensei que, como é novo com o tempo que isso seria resolvido, mas ainda é o mesmo, leva tempo para executar uma ação na maioria das vezes. Não está à altura da expectativa. Essa é a razão pela qual estou mudando a revisão. Obrigado, funciona com o Fire Stick Lite e, para meus controles surpresa de volume, também estão ausentes, que estavam faltando no original. A configuração também é rápida., Trabalhando como esperado, o suporte é rápido. Esse controle remoto é bom como o esperado, o manual compartilhado é muito simples de seguir. Estou feliz com este produto.</v>
      </c>
    </row>
    <row r="82">
      <c r="A82" s="9" t="s">
        <v>360</v>
      </c>
      <c r="B82" s="29" t="str">
        <f>VLOOKUP(dados!A82, reviews!A:G, 5, FALSE)</f>
        <v>Satisfied,Charging is really fast,Value for money,Product review,Good quality,Good product,Good Product,As of now seems good</v>
      </c>
      <c r="C82" s="29" t="str">
        <f>VLOOKUP(dados!A82, reviews!A:G, 6, FALSE)</f>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v>
      </c>
      <c r="D82" s="29" t="str">
        <f>IFERROR(__xludf.DUMMYFUNCTION("GOOGLETRANSLATE(B82, ""en"", ""pt-br"")"),"Satisfeito, cobrar é muito rápido, valor ao dinheiro, revisão de produtos, boa qualidade, bom produto, bom produto, a partir de agora parece bom")</f>
        <v>Satisfeito, cobrar é muito rápido, valor ao dinheiro, revisão de produtos, boa qualidade, bom produto, bom produto, a partir de agora parece bom</v>
      </c>
      <c r="E82" s="29" t="str">
        <f>IFERROR(__xludf.DUMMYFUNCTION("GOOGLETRANSLATE(C82, ""en"", ""pt-br"")"),"Parece que o carregamento durável é bom que reclama, o carregamento é muito rápido, bom produto., Até agora, satisfeito com a qualidade., Este é um bom produto. A velocidade de carregamento é mais lenta que o cabo original do iPhone, de boa qualidade, rec"&amp;"omendaria https: //m.media-amazon.com/images/w/webp_402378-t2/images/i/81---f1zghl._sy88.jpg , O produto funcionou bem até a data e não estava tendo nenhum problema. A CABLE também é robusta o suficiente ... pediu substituição e a empresa está fazendo o m"&amp;"esmo ..., valor ao dinheiro")</f>
        <v>Parece que o carregamento durável é bom que reclama, o carregamento é muito rápido, bom produto., Até agora, satisfeito com a qualidade., Este é um bom produto. A velocidade de carregamento é mais lenta que o cabo original do iPhone, de boa qualidade, recomendaria https: //m.media-amazon.com/images/w/webp_402378-t2/images/i/81---f1zghl._sy88.jpg , O produto funcionou bem até a data e não estava tendo nenhum problema. A CABLE também é robusta o suficiente ... pediu substituição e a empresa está fazendo o mesmo ..., valor ao dinheiro</v>
      </c>
    </row>
    <row r="83">
      <c r="A83" s="9" t="s">
        <v>364</v>
      </c>
      <c r="B83" s="29" t="str">
        <f>VLOOKUP(dados!A83, reviews!A:G, 5, FALSE)</f>
        <v>Worked on iPhone 7 and didn’t work on XR,Good one,Dull Physical Looks,Just Buy it,Go for it,About the product,Get charging cable at the price,Working well.</v>
      </c>
      <c r="C83" s="29" t="str">
        <f>VLOOKUP(dados!A83, reviews!A:G, 6, FALSE)</f>
        <v>Worked on iPhone 7 and didn’t work on iPhone XR,https://m.media-amazon.com/images/W/WEBP_402378-T2/images/I/71qFFAlV9ZL._SY88.jpg,Look-wise,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D83" s="29" t="str">
        <f>IFERROR(__xludf.DUMMYFUNCTION("GOOGLETRANSLATE(B83, ""en"", ""pt-br"")"),"Trabalhou no iPhone 7 e não trabalhou no XR, bom, looks físicos sem graça, basta comprá -lo, seguir em frente, sobre o produto, obter o cabo de carregamento pelo preço, funcionando bem.")</f>
        <v>Trabalhou no iPhone 7 e não trabalhou no XR, bom, looks físicos sem graça, basta comprá -lo, seguir em frente, sobre o produto, obter o cabo de carregamento pelo preço, funcionando bem.</v>
      </c>
      <c r="E83" s="29" t="str">
        <f>IFERROR(__xludf.DUMMYFUNCTION("GOOGLETRANSLATE(C83, ""en"", ""pt-br"")"),"Trabalhei no iPhone 7 e não trabalhou no iPhone XR, https: //m.media-amazon.com/images/w/webp_402378-t2/images/i/71qffalv9zl._sy88.jpg.look-wise, eu não foi T gosto disso. Ainda assim, eu o uso para o meu trabalho., O produto é muito bom e está carregando"&amp;" rapidamente. Parece o último longo., A robustez dependerá da maneira de seu uso. Mas sua velocidade de carregamento é ótima. Produto muito bom para o grupo de renda média., É ótimo para carregar dispositivos com vários tipos de portas. Mas funciona melho"&amp;"r ao carregar um dispositivo de cada vez., Bom item.")</f>
        <v>Trabalhei no iPhone 7 e não trabalhou no iPhone XR, https: //m.media-amazon.com/images/w/webp_402378-t2/images/i/71qffalv9zl._sy88.jpg.look-wise, eu não foi T gosto disso. Ainda assim, eu o uso para o meu trabalho., O produto é muito bom e está carregando rapidamente. Parece o último longo., A robustez dependerá da maneira de seu uso. Mas sua velocidade de carregamento é ótima. Produto muito bom para o grupo de renda média., É ótimo para carregar dispositivos com vários tipos de portas. Mas funciona melhor ao carregar um dispositivo de cada vez., Bom item.</v>
      </c>
    </row>
    <row r="84">
      <c r="A84" s="9" t="s">
        <v>368</v>
      </c>
      <c r="B84" s="29" t="str">
        <f>VLOOKUP(dados!A84, reviews!A:G, 5, FALSE)</f>
        <v>Good in this price,Speakers and sound next level,Bad remote,Remote problem,Good quality 👍,Skywall 32 smart TV,Phone se screen chalane fasta hai,YouTube me I'd nhi bana pa raha hun</v>
      </c>
      <c r="C84" s="29" t="str">
        <f>VLOOKUP(dados!A84, reviews!A:G, 6, FALSE)</f>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v>
      </c>
      <c r="D84" s="29" t="str">
        <f>IFERROR(__xludf.DUMMYFUNCTION("GOOGLETRANSLATE(B84, ""en"", ""pt-br"")"),"Bom nesse preço, alto -falantes e som no próximo nível, Remoto ruim, problema remoto, boa qualidade 👍, Skywall 32 TV inteligente, telefone se tela chalane fastha hai, youtube me eu nhi bana pa raha hun")</f>
        <v>Bom nesse preço, alto -falantes e som no próximo nível, Remoto ruim, problema remoto, boa qualidade 👍, Skywall 32 TV inteligente, telefone se tela chalane fastha hai, youtube me eu nhi bana pa raha hun</v>
      </c>
      <c r="E84" s="29" t="str">
        <f>IFERROR(__xludf.DUMMYFUNCTION("GOOGLETRANSLATE(C84, ""en"", ""pt-br"")"),"A experiência geral nesse preço é boa. Você pode alterar 5 modos de Audio.Port Store não suporta, mas a App Store tem quase todos os aplicativos, que usamos na TV como Netflix, Prime, YouTube. Não podemos ajustar o brilho da TV ., Estou dando esta revisão"&amp;" após o uso de 6 mariposas, a qualidade do som foi o próximo nível, a qualidade da imagem também boa ..., o LED é muito bom, mas o controle remoto não está correto, dado o controle remoto ruim que não está funcionando., O falante remoto não é. Por que? Dê"&amp;"-me uma demonstração para o alto-falante., Qualidade da imagem Melhor e som, armazenamento 4GBRAM 512MBNOT Suporte Google PlayStore, Good, https: //m.media-amazon.com/images/i/711dn0oa2pl._sy88.jpg")</f>
        <v>A experiência geral nesse preço é boa. Você pode alterar 5 modos de Audio.Port Store não suporta, mas a App Store tem quase todos os aplicativos, que usamos na TV como Netflix, Prime, YouTube. Não podemos ajustar o brilho da TV ., Estou dando esta revisão após o uso de 6 mariposas, a qualidade do som foi o próximo nível, a qualidade da imagem também boa ..., o LED é muito bom, mas o controle remoto não está correto, dado o controle remoto ruim que não está funcionando., O falante remoto não é. Por que? Dê-me uma demonstração para o alto-falante., Qualidade da imagem Melhor e som, armazenamento 4GBRAM 512MBNOT Suporte Google PlayStore, Good, https: //m.media-amazon.com/images/i/711dn0oa2pl._sy88.jpg</v>
      </c>
    </row>
    <row r="85">
      <c r="A85" s="9" t="s">
        <v>372</v>
      </c>
      <c r="B85" s="29" t="str">
        <f>VLOOKUP(dados!A85, reviews!A:G, 5, FALSE)</f>
        <v>Good Stuff... Recommended!!!,Need better quality,एक मजबूत प्रोडक्ट है,Good,best buy of this cable,Best for,Tough,Nil</v>
      </c>
      <c r="C85" s="29" t="str">
        <f>VLOOKUP(dados!A85, reviews!A:G, 6, FALSE)</f>
        <v>Good Stuff... Recommended!!!,Need better quality for changing,Good product,I bought it 7 months. Ago it still working in good condition good 😊,good cable to by in budjet,The cable is of very good quality. Charging speed is good for my Redmi k20 pro which support 27 watt fast charging good thing is that the battery backup improved when charge with this cable I’m really surprise I observed this with many time as I test it with with original cable and result is the same. If this is in ur budget then just buy it don’t hesitate,Reliable, strong,Nil</v>
      </c>
      <c r="D85" s="29" t="str">
        <f>IFERROR(__xludf.DUMMYFUNCTION("GOOGLETRANSLATE(B85, ""en"", ""pt-br"")"),"Coisas boas ... recomendadas !!!, precisa de melhor qualidade, एक मजबूत प्रोडक्ट है, boa, melhor compra deste cabo, melhor para, duro, nil")</f>
        <v>Coisas boas ... recomendadas !!!, precisa de melhor qualidade, एक मजबूत प्रोडक्ट है, boa, melhor compra deste cabo, melhor para, duro, nil</v>
      </c>
      <c r="E85" s="29" t="str">
        <f>IFERROR(__xludf.DUMMYFUNCTION("GOOGLETRANSLATE(C85, ""en"", ""pt-br"")"),"Coisas boas ... recomendadas !!!, precisa de melhor qualidade para mudar, bom produto, comprei 7 meses. Atrás ele ainda está funcionando em boas condições, bom 😊, bom cabo para em Budjet, o cabo é de muito boa qualidade. A velocidade de carregamento é bo"&amp;"a para o meu Redmi K20 Pro, que suporta 27 watts de carregamento rápido, é que o backup da bateria melhorou quando a cobrança com este cabo, estou realmente surpresa, observei isso com muitos tempo enquanto o testei com o cabo original e o resultado é o m"&amp;"esmo. Se isso estiver no seu orçamento, basta comprá -lo não hesite, confiável, forte, nil")</f>
        <v>Coisas boas ... recomendadas !!!, precisa de melhor qualidade para mudar, bom produto, comprei 7 meses. Atrás ele ainda está funcionando em boas condições, bom 😊, bom cabo para em Budjet, o cabo é de muito boa qualidade. A velocidade de carregamento é boa para o meu Redmi K20 Pro, que suporta 27 watts de carregamento rápido, é que o backup da bateria melhorou quando a cobrança com este cabo, estou realmente surpresa, observei isso com muitos tempo enquanto o testei com o cabo original e o resultado é o mesmo. Se isso estiver no seu orçamento, basta comprá -lo não hesite, confiável, forte, nil</v>
      </c>
    </row>
    <row r="86">
      <c r="A86" s="9" t="s">
        <v>376</v>
      </c>
      <c r="B86" s="29" t="str">
        <f>VLOOKUP(dados!A86, reviews!A:G, 5, FALSE)</f>
        <v>Nice product .,Good quality Braided cable, VFM,Good cord, but has Earthing issue,Ok,Good product. Little bit fast charger for phones like redmi.,Fast charging is working properly,Money value product 👌,Cable a Nice product</v>
      </c>
      <c r="C86" s="29" t="str">
        <f>VLOOKUP(dados!A86, reviews!A:G, 6, FALSE)</f>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v>
      </c>
      <c r="D86" s="29" t="str">
        <f>IFERROR(__xludf.DUMMYFUNCTION("GOOGLETRANSLATE(B86, ""en"", ""pt-br"")"),"Bom produto., Cabo trançado de boa qualidade, VFM, bom cordão, mas tem problemas de aterramento, OK, bom produto. Um pouco rápido de carregador para telefones como Redmi., Carregamento rápido está funcionando corretamente, produto de valor monetário 👌, c"&amp;"abo um bom produto")</f>
        <v>Bom produto., Cabo trançado de boa qualidade, VFM, bom cordão, mas tem problemas de aterramento, OK, bom produto. Um pouco rápido de carregador para telefones como Redmi., Carregamento rápido está funcionando corretamente, produto de valor monetário 👌, cabo um bom produto</v>
      </c>
      <c r="E86" s="29" t="str">
        <f>IFERROR(__xludf.DUMMYFUNCTION("GOOGLETRANSLATE(C86, ""en"", ""pt-br"")"),"Embalagem robusta, bom produto!, Usei este cabo de marca para o meu iPhone e iPad antes, então, quando o cabo do carregador Samsung da minha esposa desistiu do fantasma em menos de 6 meses, eu pedi isso. Cabo trançado, visivelmente de alta qualidade, dife"&amp;"rentemente dos cabos OEM frágeis e altamente caros da Apple e da Samsung. Eu uso o cabo do meu iPhone de Wayona há mais de 1 1/2 anos e ainda estou forte. Espero que este cabo C dê um desempenho semelhante, eu gosto de acordes de Wayona e especialmente os"&amp;" longos. Mas sinto um leve choque - como uma descarga estática - quando toco meu telefone enquanto carrego com esses dois cabos. Outros cordões com o mesmo carregador estão bem., OK, o cabo parece sólido e o comprimento também é bom. Charging um pouco ráp"&amp;"ido que observei para telefones como Redmi. Também parece sólido, por isso espero que funcione pelo menos 1 ano, qualidade de construção e Recurso de carregamento rápido, inquebrável, de boa qualidade, cabo um bom produto")</f>
        <v>Embalagem robusta, bom produto!, Usei este cabo de marca para o meu iPhone e iPad antes, então, quando o cabo do carregador Samsung da minha esposa desistiu do fantasma em menos de 6 meses, eu pedi isso. Cabo trançado, visivelmente de alta qualidade, diferentemente dos cabos OEM frágeis e altamente caros da Apple e da Samsung. Eu uso o cabo do meu iPhone de Wayona há mais de 1 1/2 anos e ainda estou forte. Espero que este cabo C dê um desempenho semelhante, eu gosto de acordes de Wayona e especialmente os longos. Mas sinto um leve choque - como uma descarga estática - quando toco meu telefone enquanto carrego com esses dois cabos. Outros cordões com o mesmo carregador estão bem., OK, o cabo parece sólido e o comprimento também é bom. Charging um pouco rápido que observei para telefones como Redmi. Também parece sólido, por isso espero que funcione pelo menos 1 ano, qualidade de construção e Recurso de carregamento rápido, inquebrável, de boa qualidade, cabo um bom produto</v>
      </c>
    </row>
    <row r="87">
      <c r="A87" s="9" t="s">
        <v>380</v>
      </c>
      <c r="B87" s="29" t="str">
        <f>VLOOKUP(dados!A87, reviews!A:G, 5, FALSE)</f>
        <v>Decent product. Value for money.,Value for money,Improvements Needed,Everything thing good except the installation experience,Overall taking all aspects TV is good within the price point,Tv installation services,One among the good TVs in the market.,Picture</v>
      </c>
      <c r="C87" s="29" t="str">
        <f>VLOOKUP(dados!A87, reviews!A:G, 6, FALSE)</f>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It’s like you are hungry and food is in front of you but you can’t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didn’t arrive at very first day that was scheduled, even after rescheduling he didn’t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didn’t got the replacement for the product and it’s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 for picture quality, 3⭐ for both sound and remote quality,Good quality picture but it hangs on home screen</v>
      </c>
      <c r="D87" s="29" t="str">
        <f>IFERROR(__xludf.DUMMYFUNCTION("GOOGLETRANSLATE(B87, ""en"", ""pt-br"")"),"Produto decente. Valor pelo dinheiro., Recurso pelo dinheiro, melhorias necessárias, tudo de bom, exceto a experiência de instalação, em geral, tomando todos os aspectos que a TV é boa dentro do preço, os serviços de instalação da TV, um entre as boas TVs"&amp;" do mercado., Imagem")</f>
        <v>Produto decente. Valor pelo dinheiro., Recurso pelo dinheiro, melhorias necessárias, tudo de bom, exceto a experiência de instalação, em geral, tomando todos os aspectos que a TV é boa dentro do preço, os serviços de instalação da TV, um entre as boas TVs do mercado., Imagem</v>
      </c>
      <c r="E87" s="29" t="str">
        <f>IFERROR(__xludf.DUMMYFUNCTION("GOOGLETRANSLATE(C87, ""en"", ""pt-br"")"),"Estou postando isso depois de algumas semanas usando o produto. A instalação foi simples e a instalação assistida pela Amazon foi suave, oportuna e sem complicações. Picture: A qualidade da imagem não é ótima quando comparada com a suavidade de uma Sony, "&amp;"LG e Samsung com esse tipo de especificação. Os filmes e especialmente a experiência de série de TV de alta resolução foram um pouco diluídos como na maioria das vezes, a produção, enquanto em alta resolução, não pareceria uma qualidade de filme com a qua"&amp;"l estamos acostumados a assistir como Sony, Samsung LG etc. No entanto, com o tempo, você se acostuma e apenas percebe a diferença quando vê o mesmo filme na melhor TV de outra pessoa. Você não precisaria de suporte adicional para aprimorar o volume como "&amp;"tal.Remote: elegante, sensível e fácil de usar. É exatamente como o Amazon's Remote.OS: o mesmo que qualquer TV Android inteligente. Funciona sem problemas sem muitos atrasos ou soluços. A troca de aplicativos de um para outro leva alguns segundos a mais "&amp;"que a Sony, mas, a menos que você tenha acostumado com essas performances, parece muito bom. Gostaria de alta resolução desde o início. É um ótimo valor para o produto, sem dúvida. Esse preço não enfrentou nenhum atraso na interface do usuário e navegando"&amp;" em outros aplicativos. Somente negativo será o áudio, definitivamente precisará de uma barra de som se você for um observador de filmes frequentes. Valor geral por dinheiro que você gasta. Mas o processo de instalação é horrível, a Amazon alegando que um"&amp;" profissional treinado visitará para a instalação, mas nem é treinado nem profissionais, basta ler os manuais de instalação e instalar o suporte de parede, que levou 4 horas para eles comprarem o montamento da parede após cobrar dinheiro. Nenhuma demonstr"&amp;"ação dada na TV, pois eles não têm idéia do produto, essas coisas que fazem para pensar duas ou três vezes para comprar uma TV on -line. A tela parece incrível, mas o problema é com o processador, acredito. Se o conteúdo 4K estiver sendo transmitido no di"&amp;"spositivo, podemos observar os pisadores de tela verde (não com tanta frequência, mas o problema existe), mesmo o controle remoto não é bom, pois é necessário pelo menos 2 segundos para reagir para a ação do usuário. é ruim porque eu faço jogos em 4K usan"&amp;"do o PS5 e nunca encontrei problemas com a tela., Se você comprar TV em uma pequena loja da cidade, ela será entregue e instalada imediatamente em algumas horas. Quando você deseja comprar uma TV na Amazon, precisa esperar que ela seja entregue por alguns"&amp;" dias e é compreensível. O problema é com a instalação, eles levam tanto tempo para instalar que você se arrepende de comprar o produto. É como se você estivesse com fome e a comida estivesse na sua frente, mas você não pode comer. Então eu pedi minha TV "&amp;"na segunda -feira, foi entregue na sexta -feira e será instalada na segunda -feira por causa do fim de semana, onde não há conceito de fim de semana em pequenas cidades. Se tivéssemos os detalhes do técnico, poderíamos alcançá -lo, mas isso também será co"&amp;"mpartilhado 4 horas antes. Os jogos pesados, como jogos e uso contínuo em alguma loja, serão desafiadores, eu acho., Esta TV fornece bons resultados dentro do orçamento, definitivamente deve comprar se o orçamento for 30k, mas o ponto mais importante como"&amp;" mencionar é o serviço pós -venda e também a instalação parte.1) O cara da instalação não chegou ao primeiro dia que foi agendado, mesmo depois de remarcar que ele não veio para fins de instalação. Tão rigorosamente estar ciente desse ponto.2) A TV que re"&amp;"cebi em oferta com desconto de 3k no Card ICICI, mas, embora o produto saiu com defeito, ele tinha um pixel morto na tela que é muito ruim após o período.3) mesmo depois de A falha era do vendedor, pois era uma peça defeituosa, não recebi o substituto do "&amp;"produto e é totalmente injusto pela Amazon e pelo vendedor. O Got foi muito ruim, eu era o principal membro. O vendedor DawnTech Electronics Private Limited oferece um serviço muito ruim e se sente mal por que, nesses casos, a Amazon não o ajude. Obrigado"&amp;", equipe, também para serem adicionados serviços de instalação de TV com o produto enquanto entregam e unalvendo. Não há necessidade de outro sub-fornecedor para obter instalação e demonstração. Também a dependência do envolvimento de terceiros deve ser m"&amp;"enor. Qualidade do som não até minhas 3 vezes. Não é possível encontrar o verdadeiro efeito estéreo Dolby. Remoto não até a marca.4 ⭐ Para qualidade de imagem, 3⭐ para a qualidade do som e de qualidade remota, de boa qualidade, mas está na tela inicial")</f>
        <v>Estou postando isso depois de algumas semanas usando o produto. A instalação foi simples e a instalação assistida pela Amazon foi suave, oportuna e sem complicações. Picture: A qualidade da imagem não é ótima quando comparada com a suavidade de uma Sony, LG e Samsung com esse tipo de especificação. Os filmes e especialmente a experiência de série de TV de alta resolução foram um pouco diluídos como na maioria das vezes, a produção, enquanto em alta resolução, não pareceria uma qualidade de filme com a qual estamos acostumados a assistir como Sony, Samsung LG etc. No entanto, com o tempo, você se acostuma e apenas percebe a diferença quando vê o mesmo filme na melhor TV de outra pessoa. Você não precisaria de suporte adicional para aprimorar o volume como tal.Remote: elegante, sensível e fácil de usar. É exatamente como o Amazon's Remote.OS: o mesmo que qualquer TV Android inteligente. Funciona sem problemas sem muitos atrasos ou soluços. A troca de aplicativos de um para outro leva alguns segundos a mais que a Sony, mas, a menos que você tenha acostumado com essas performances, parece muito bom. Gostaria de alta resolução desde o início. É um ótimo valor para o produto, sem dúvida. Esse preço não enfrentou nenhum atraso na interface do usuário e navegando em outros aplicativos. Somente negativo será o áudio, definitivamente precisará de uma barra de som se você for um observador de filmes frequentes. Valor geral por dinheiro que você gasta. Mas o processo de instalação é horrível, a Amazon alegando que um profissional treinado visitará para a instalação, mas nem é treinado nem profissionais, basta ler os manuais de instalação e instalar o suporte de parede, que levou 4 horas para eles comprarem o montamento da parede após cobrar dinheiro. Nenhuma demonstração dada na TV, pois eles não têm idéia do produto, essas coisas que fazem para pensar duas ou três vezes para comprar uma TV on -line. A tela parece incrível, mas o problema é com o processador, acredito. Se o conteúdo 4K estiver sendo transmitido no dispositivo, podemos observar os pisadores de tela verde (não com tanta frequência, mas o problema existe), mesmo o controle remoto não é bom, pois é necessário pelo menos 2 segundos para reagir para a ação do usuário. é ruim porque eu faço jogos em 4K usando o PS5 e nunca encontrei problemas com a tela., Se você comprar TV em uma pequena loja da cidade, ela será entregue e instalada imediatamente em algumas horas. Quando você deseja comprar uma TV na Amazon, precisa esperar que ela seja entregue por alguns dias e é compreensível. O problema é com a instalação, eles levam tanto tempo para instalar que você se arrepende de comprar o produto. É como se você estivesse com fome e a comida estivesse na sua frente, mas você não pode comer. Então eu pedi minha TV na segunda -feira, foi entregue na sexta -feira e será instalada na segunda -feira por causa do fim de semana, onde não há conceito de fim de semana em pequenas cidades. Se tivéssemos os detalhes do técnico, poderíamos alcançá -lo, mas isso também será compartilhado 4 horas antes. Os jogos pesados, como jogos e uso contínuo em alguma loja, serão desafiadores, eu acho., Esta TV fornece bons resultados dentro do orçamento, definitivamente deve comprar se o orçamento for 30k, mas o ponto mais importante como mencionar é o serviço pós -venda e também a instalação parte.1) O cara da instalação não chegou ao primeiro dia que foi agendado, mesmo depois de remarcar que ele não veio para fins de instalação. Tão rigorosamente estar ciente desse ponto.2) A TV que recebi em oferta com desconto de 3k no Card ICICI, mas, embora o produto saiu com defeito, ele tinha um pixel morto na tela que é muito ruim após o período.3) mesmo depois de A falha era do vendedor, pois era uma peça defeituosa, não recebi o substituto do produto e é totalmente injusto pela Amazon e pelo vendedor. O Got foi muito ruim, eu era o principal membro. O vendedor DawnTech Electronics Private Limited oferece um serviço muito ruim e se sente mal por que, nesses casos, a Amazon não o ajude. Obrigado, equipe, também para serem adicionados serviços de instalação de TV com o produto enquanto entregam e unalvendo. Não há necessidade de outro sub-fornecedor para obter instalação e demonstração. Também a dependência do envolvimento de terceiros deve ser menor. Qualidade do som não até minhas 3 vezes. Não é possível encontrar o verdadeiro efeito estéreo Dolby. Remoto não até a marca.4 ⭐ Para qualidade de imagem, 3⭐ para a qualidade do som e de qualidade remota, de boa qualidade, mas está na tela inicial</v>
      </c>
    </row>
    <row r="88">
      <c r="A88" s="9" t="s">
        <v>384</v>
      </c>
      <c r="B88" s="29" t="str">
        <f>VLOOKUP(dados!A88, reviews!A:G, 5, FALSE)</f>
        <v>Wonderful TV and Awful installation service from amazon,Acer Television Review,It's a good product for that price.,Good for the price,Almost a complete package,Nice Product,Good product,Super designed</v>
      </c>
      <c r="C88" s="29" t="str">
        <f>VLOOKUP(dados!A88, reviews!A:G, 6, FALSE)</f>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v>
      </c>
      <c r="D88" s="29" t="str">
        <f>IFERROR(__xludf.DUMMYFUNCTION("GOOGLETRANSLATE(B88, ""en"", ""pt-br"")"),"TV maravilhoso e serviço de instalação horrível da Amazon, Acer Television Review, é um bom produto para esse preço., Bom para o preço, quase um pacote completo, bom produto, bom produto, super projetado")</f>
        <v>TV maravilhoso e serviço de instalação horrível da Amazon, Acer Television Review, é um bom produto para esse preço., Bom para o preço, quase um pacote completo, bom produto, bom produto, super projetado</v>
      </c>
      <c r="E88" s="29" t="str">
        <f>IFERROR(__xludf.DUMMYFUNCTION("GOOGLETRANSLATE(C88, ""en"", ""pt-br"")"),"Sobre a TV-Maravilhosa ------------------------------------------- -------------------- Provavelmente a melhor TV nessa faixa de preço (INR13000) .GOOD-Interface do Google, carregado com recursos, consumo leve de energia de 55 watts, design estável-Sound "&amp;"E a qualidade da imagem é muito boa, mas se você a comparar com marcas premium, obviamente não é tão bom. Console de jogos, cabo de prato antigo e antena de TV direta como bem construído em Chromecast para lançar qualquer aplicativo compatível diretamente"&amp;" do telefone para a TV na mesma rede WiFi para conectar o telefone -1. Via recurso de elenco em aplicativos móveis - nenhuma senha necessária só precisa estar na mesma rede wifi2. Via Chromecast App - Projeto apenas mídia selecionada (fotos, vídeos) ou se"&amp;"nões de telefone inteiras para conectar o PC/laptop -1. Opção Windows Cast-projete toda a tela do laptop na TV usando a opção Windows Cast (precisa ser conectado na mesma rede WiFi. --------------------------------------- 1. O técnico trouxe um gancho de "&amp;"suspensão barato que tinha MRP INR116 e pediu INR499 por isso sem nenhum recibo. Ele continuou dizendo que não estava à venda e a empresa havia enviado isso especialmente. No entanto, ele claramente havia mencionado MRP2. Fui ao mercado e comprei um gabin"&amp;"ete muito melhor Por apenas INR200 e para a instalação disso também, o técnico foi realmente inflexível para perfurar os dois orifícios necessários no topo. Ele apenas perfurou um na parte superior e outro na parte inferior e manteve todos os outros paraf"&amp;"usos sobressalentes (que eu havia comprado) com ele. Após cerca de meia hora de discussões, ele finalmente perfurou os outros orifícios necessários. E por tudo isso, ele continuou me xingando que eu perdi seu tempo. Não havia assistência da pessoa que rep"&amp;"resentava a agência de serviços também. Este processo inteiro levou Duas horas para concluir isso também com muitos argumentos. Essa foi a pior experiência de instalação da minha vida até agora. É apenas uma farsa. Em vez disso, chame o suporte do Acer. E"&amp;"les farão o trabalho muito melhor., Depois de usá -lo por 2 meses, aqui estão os prós e os contras: Prós: 1. Ótima qualidade de imagem. É incrível. Os negros são muito bons e são ajustáveis. O som com 30dB é muito bom4. Parece ótimo com besel5 fino. O con"&amp;"trole remoto vem com botões OTT favoritos. Upscaling de conteúdo é muito bom.CONS: 1. O controle remoto poderia ter sido melhor. Não posso usar o DTH Remote para ativar a televisão e definir a caixa superior. A operação remota é um pouco complexa. Tecnolo"&amp;"gia de movimento não é ótima. Há um borrão perceptível ao assistir a Moving Ballson Ott, mas diminui quando você muda para o DTH. No geral, é uma boa compra a esse preço. Acho que estou recebendo uma qualidade e som de imagem bastante melhor. Estou satisf"&amp;"eito com o produto., O produto tem uma boa qualidade de imagem. Bom produto a esse preço com som de 25W. Aplicativos funcionando sem problemas. 3 meses mais velho e sem problemas ainda. Está funcionando sem problemas., Você obtém recursos decentes pelo pr"&amp;"eço que paga. A resolução da tela pode ser. Volte como você pode encontrar pixalação. No geral, é bom, fico impressionado com a qualidade da imagem desta TV 720p (pronta para HD). É realmente um painel incrível. Achei adequado para uma distância de visual"&amp;"ização entre 6 e 10 pés. Qualquer um mais próximo pode não parecer muito nítido e mais longe, parecerá um tamanho muito pequeno. Os alto -falantes também são muito bons para o preço e podem ficar muito altos sem distorções. No entanto, como o alto -falant"&amp;"e está disparando para baixo, a experiência varia de acordo com se a TV está montada na parede ou mantida em um estande. O controle remoto é bom, a pesquisa de voz funciona bem para mim. A TV Start Up leva muito tempo na minha opinião, mas não a comparei "&amp;"com nenhuma outra TV de 32 polegadas e, portanto, não sei onde está entre os colegas. O único aspecto negativo que enfrentei é a experiência de usar meus fones de ouvido Bluetooth. Em primeiro lugar, a conexão às vezes não acontece automaticamente após um"&amp;"a reinicialização - o que significa que eu tenho que remover e redescobrir o dispositivo através do menu que não é simples. Em segundo lugar, o sinal em si parece ser muito fraco e, mesmo a uma distância de 8 pés na frente da TV, o sinal quebra, mesmo se "&amp;"você mover a cabeça em 2-3 polegadas. No entanto, ainda estou super feliz com esta TV. Eu o recebi por 8k durante a oferta de lançamento e vale totalmente a pena e é recomendado do meu lado., Nesta faixa de preço (₹ 11499/-), é um produto de boa qualidade"&amp;" neste mercado ... o acerto só deve funcionar com a qualidade do som melhoria, caso contrário, a qualidade da picture é realmente impressionante, conectividade Wi -Fi boa, fácil de instalar, o design da tela sem corpo é premium e também o suporte ao Googl"&amp;"e Voice é bom (às vezes atrasado). Não há grandes questões encontradas nesta TV. Apenas vá em frente., Vellu por dinheiro. Bom produto, dinheiro muito bom de produtos")</f>
        <v>Sobre a TV-Maravilhosa ------------------------------------------- -------------------- Provavelmente a melhor TV nessa faixa de preço (INR13000) .GOOD-Interface do Google, carregado com recursos, consumo leve de energia de 55 watts, design estável-Sound E a qualidade da imagem é muito boa, mas se você a comparar com marcas premium, obviamente não é tão bom. Console de jogos, cabo de prato antigo e antena de TV direta como bem construído em Chromecast para lançar qualquer aplicativo compatível diretamente do telefone para a TV na mesma rede WiFi para conectar o telefone -1. Via recurso de elenco em aplicativos móveis - nenhuma senha necessária só precisa estar na mesma rede wifi2. Via Chromecast App - Projeto apenas mídia selecionada (fotos, vídeos) ou senões de telefone inteiras para conectar o PC/laptop -1. Opção Windows Cast-projete toda a tela do laptop na TV usando a opção Windows Cast (precisa ser conectado na mesma rede WiFi. --------------------------------------- 1. O técnico trouxe um gancho de suspensão barato que tinha MRP INR116 e pediu INR499 por isso sem nenhum recibo. Ele continuou dizendo que não estava à venda e a empresa havia enviado isso especialmente. No entanto, ele claramente havia mencionado MRP2. Fui ao mercado e comprei um gabinete muito melhor Por apenas INR200 e para a instalação disso também, o técnico foi realmente inflexível para perfurar os dois orifícios necessários no topo. Ele apenas perfurou um na parte superior e outro na parte inferior e manteve todos os outros parafusos sobressalentes (que eu havia comprado) com ele. Após cerca de meia hora de discussões, ele finalmente perfurou os outros orifícios necessários. E por tudo isso, ele continuou me xingando que eu perdi seu tempo. Não havia assistência da pessoa que representava a agência de serviços também. Este processo inteiro levou Duas horas para concluir isso também com muitos argumentos. Essa foi a pior experiência de instalação da minha vida até agora. É apenas uma farsa. Em vez disso, chame o suporte do Acer. Eles farão o trabalho muito melhor., Depois de usá -lo por 2 meses, aqui estão os prós e os contras: Prós: 1. Ótima qualidade de imagem. É incrível. Os negros são muito bons e são ajustáveis. O som com 30dB é muito bom4. Parece ótimo com besel5 fino. O controle remoto vem com botões OTT favoritos. Upscaling de conteúdo é muito bom.CONS: 1. O controle remoto poderia ter sido melhor. Não posso usar o DTH Remote para ativar a televisão e definir a caixa superior. A operação remota é um pouco complexa. Tecnologia de movimento não é ótima. Há um borrão perceptível ao assistir a Moving Ballson Ott, mas diminui quando você muda para o DTH. No geral, é uma boa compra a esse preço. Acho que estou recebendo uma qualidade e som de imagem bastante melhor. Estou satisfeito com o produto., O produto tem uma boa qualidade de imagem. Bom produto a esse preço com som de 25W. Aplicativos funcionando sem problemas. 3 meses mais velho e sem problemas ainda. Está funcionando sem problemas., Você obtém recursos decentes pelo preço que paga. A resolução da tela pode ser. Volte como você pode encontrar pixalação. No geral, é bom, fico impressionado com a qualidade da imagem desta TV 720p (pronta para HD). É realmente um painel incrível. Achei adequado para uma distância de visualização entre 6 e 10 pés. Qualquer um mais próximo pode não parecer muito nítido e mais longe, parecerá um tamanho muito pequeno. Os alto -falantes também são muito bons para o preço e podem ficar muito altos sem distorções. No entanto, como o alto -falante está disparando para baixo, a experiência varia de acordo com se a TV está montada na parede ou mantida em um estande. O controle remoto é bom, a pesquisa de voz funciona bem para mim. A TV Start Up leva muito tempo na minha opinião, mas não a comparei com nenhuma outra TV de 32 polegadas e, portanto, não sei onde está entre os colegas. O único aspecto negativo que enfrentei é a experiência de usar meus fones de ouvido Bluetooth. Em primeiro lugar, a conexão às vezes não acontece automaticamente após uma reinicialização - o que significa que eu tenho que remover e redescobrir o dispositivo através do menu que não é simples. Em segundo lugar, o sinal em si parece ser muito fraco e, mesmo a uma distância de 8 pés na frente da TV, o sinal quebra, mesmo se você mover a cabeça em 2-3 polegadas. No entanto, ainda estou super feliz com esta TV. Eu o recebi por 8k durante a oferta de lançamento e vale totalmente a pena e é recomendado do meu lado., Nesta faixa de preço (₹ 11499/-), é um produto de boa qualidade neste mercado ... o acerto só deve funcionar com a qualidade do som melhoria, caso contrário, a qualidade da picture é realmente impressionante, conectividade Wi -Fi boa, fácil de instalar, o design da tela sem corpo é premium e também o suporte ao Google Voice é bom (às vezes atrasado). Não há grandes questões encontradas nesta TV. Apenas vá em frente., Vellu por dinheiro. Bom produto, dinheiro muito bom de produtos</v>
      </c>
    </row>
    <row r="89">
      <c r="A89" s="9" t="s">
        <v>388</v>
      </c>
      <c r="B89" s="29" t="str">
        <f>VLOOKUP(dados!A89, reviews!A:G, 5, FALSE)</f>
        <v>Best(Branded) Budget TV,A high-quality 4k Smart TV from Samsung,Received Defective,Got Replacement,Nice product but,Tv is good,Best budget tv,Value for money. Samsung is always good,Value for money product</v>
      </c>
      <c r="C89" s="29" t="str">
        <f>VLOOKUP(dados!A89, reviews!A:G, 6, FALSE)</f>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v>
      </c>
      <c r="D89" s="29" t="str">
        <f>IFERROR(__xludf.DUMMYFUNCTION("GOOGLETRANSLATE(B89, ""en"", ""pt-br"")"),"O Best (com a marca) TV, uma TV inteligente em 4K de alta qualidade da Samsung, recebeu defeituosos, obteve substituição, produto agradável, mas a TV é boa, a melhor TV orçamentária, uma relação custo-benefício. Samsung é sempre bom, produto de valor para"&amp;" dinheiro")</f>
        <v>O Best (com a marca) TV, uma TV inteligente em 4K de alta qualidade da Samsung, recebeu defeituosos, obteve substituição, produto agradável, mas a TV é boa, a melhor TV orçamentária, uma relação custo-benefício. Samsung é sempre bom, produto de valor para dinheiro</v>
      </c>
      <c r="E89" s="29" t="str">
        <f>IFERROR(__xludf.DUMMYFUNCTION("GOOGLETRANSLATE(C89, ""en"", ""pt-br"")"),"Antes de finalizar as vendas da AUE60 55 "", visitei Croma e Vijay para verificar a mesma TV ou modelos similares para obter seus recursos e qualidade de imagem. Disseram-me AUE60 &amp; AUE70 (os modelos listados aqui como Crystal 4K e 4K Pro) são e- Modelos "&amp;"exclusivos do Commerce, não disponíveis offline. Fui mostrado AU7700, que possui o mesmo processador, painel e recursos, mas estava listado a 65k para a versão de 55 "". Gostei da qualidade da imagem e decidi obter o AUE60, pois ele compartilha muito com "&amp;"o AU7700 e economizará ~ 20k.Por que fui para a AUE60 vs. Aue70 - eu sabia que não precisaria de um assistente de voz e queria Para salvar 3k. Eu sabia que, mesmo que quisesse um assistente de voz, poderia conectar a caixa de TV Fire/Mi e obter esses recu"&amp;"rsos mais tarde. A entrega era bastante livre, o executivo de entrega descarregou a TV na sala que pedi e abriu a caixa para inspecionar a TV por qualquer dano físico. Os técnicos da Samsung chegaram algumas horas depois, instalaram e deram uma demonstraç"&amp;"ão: por outras críticas - o som dos alto -falantes é aparentemente ruim, mas no meu caso, achei satisfatório. Eu tenho a parede montada em uma sala de 10x12 pés, e os alto -falantes da TV parecem melhor em comparação com os alto -falantes do Bose Soundlin"&amp;"k para o qual eu o conectei via bluetooth.treture: o painel é ótimo, mas nada que valha a pena irritar. A uniformidade cinza não é ótima (ou seja, tons cinzentos não serão perfeitamente uniformes em todo o painel, haverá zonas mais escuras em direção às b"&amp;"ordas/cantos com base na colocação da luz de fundo). Os negros não são perfeitamente negros - e eles são mais brilhantes do que você esperaria de um painel VA, mas isso não é perceptível quando a sala estiver acesa. Sem sangramento da luz de fundo. As cor"&amp;"es são tão boas quanto eu gostaria que fossem, e o painel fica visivelmente brilhante para o meu gosto, mesmo quando o brilho é reduzido para 40%. O conteúdo 720p é assistível de&gt; 8 pés, 1080p é bom (eu diria melhor do que eu esperava) e 4K está bem, 4K.C"&amp;"onnectivity: eu tenho uma conexão de banda larga de 35 MB/s e todos os fluxos de conteúdo em 4K, quando disponível, sem Grea. A TV possui Bluetooth 5.0 e trabalha com fones de ouvido TWS e Band de pescoço (eu uso o Oppo EncO W51 e o Rockerz 330) - não há "&amp;"latência perceptível e o volume pode ser controlado pelo próprio controle remoto. de aplicativos de streaming que eu precisava - Netflix, Hotstar, Prime, Apple TV+ e YouTube. Todos eles transmitem conteúdo 4K, exceto o Hotstar - que apenas transmitiu 4K a"&amp;"lgumas vezes. 1080p ainda é muito assistível e não é realmente um quebra de negócio. Nenhum suporte à Visão Dolby - com o qual fiz as pazes, considerando o fato de que 99% das TVs orçamentárias no mercado não podem produzir o contraste que você esperaria "&amp;"do conteúdo de DV de qualquer maneira, então por que se importar. Você obtém HDR e o conteúdo HDR é definitivamente mais bonito do que os não-HDR em termos de cores e vibração. Eu planejava usar a TV sem cabo, mas a TV vem com alguns canais como Republic "&amp;"TV, Bloomberg, 9xm, etc., estes transmissões em 1080p, então um ótimo bônus para ter.Remote: RF muito básico remoto, diferentemente dos Bluetooth Na maioria das novas TVs. O controle remoto parece bastante elegante e elegante, mas é isso. Maior reclamação"&amp;"-digitar para procurar coisas nos aplicativos é uma dor no atrás, você precisará usar o D-Pad para navegar em um teclado na tela. Você pode controlar a TV usando o aplicativo SmartThings da Samsung, mas adivinhe - você não pode nem usar o teclado do seu t"&amp;"elefone para digitar ao controlar o aplicativo - isso é algo que pode ser adicionado através de uma atualização, mas ainda não está lá. As imagens são todo o conteúdo 4K. A resolução pode ser reduzida depois de enviar a revisão, mas você ainda pode ter um"&amp;"a idéia do design/aparência da TV, cores e contraste, etc. Eu diria que estou muito feliz - e com a chance, não seria mude minha decisão. É uma TV Samsung, então o final do dia, se produzir uma imagem decente e dura alguns anos a mais do que eu espero, po"&amp;"sso ignorar todos os outros contras. Eu recomendo a TV se você tiver as mesmas expectativas da sua próxima TV., Em 18 de dezembro de 22, recebeu um produto com defeito, atualizado para o serviço da Amazon que eles substituíram por um novo produto hoje (27"&amp;"/12/22) .WILL POST REVISÃO DE LONGO PRONTRATIVO.PROS: Qualidade da imagem, design (fino n moldura menos) contras: som (pouco bem), upse-sacling de canais SD todos satisfeitos., estão usando-o desde o mês agora. 4.5/5-Como o serviço de instalação sempre da"&amp;" Samsung foi sem aparência. Recursos 5/5-Smart são bons Este modelo não tem reconhecimento de voz. Eu não preciso, então está bem. 4/5 de qualidade de Audio não é boa. É claro, mas o volume não é suficiente se instalar no Big Hall. Também não possui base."&amp;"Pear uma barra de som separadamente se comprar esse modelo., Mas a qualidade da imagem é ok-ok., Melhor produto de TV na determinada faixa de preço, valor para dinheiro. Samsung é sempre bom, produto de valor para dinheiro")</f>
        <v>Antes de finalizar as vendas da AUE60 55 ", visitei Croma e Vijay para verificar a mesma TV ou modelos similares para obter seus recursos e qualidade de imagem. Disseram-me AUE60 &amp; AUE70 (os modelos listados aqui como Crystal 4K e 4K Pro) são e- Modelos exclusivos do Commerce, não disponíveis offline. Fui mostrado AU7700, que possui o mesmo processador, painel e recursos, mas estava listado a 65k para a versão de 55 ". Gostei da qualidade da imagem e decidi obter o AUE60, pois ele compartilha muito com o AU7700 e economizará ~ 20k.Por que fui para a AUE60 vs. Aue70 - eu sabia que não precisaria de um assistente de voz e queria Para salvar 3k. Eu sabia que, mesmo que quisesse um assistente de voz, poderia conectar a caixa de TV Fire/Mi e obter esses recursos mais tarde. A entrega era bastante livre, o executivo de entrega descarregou a TV na sala que pedi e abriu a caixa para inspecionar a TV por qualquer dano físico. Os técnicos da Samsung chegaram algumas horas depois, instalaram e deram uma demonstração: por outras críticas - o som dos alto -falantes é aparentemente ruim, mas no meu caso, achei satisfatório. Eu tenho a parede montada em uma sala de 10x12 pés, e os alto -falantes da TV parecem melhor em comparação com os alto -falantes do Bose Soundlink para o qual eu o conectei via bluetooth.treture: o painel é ótimo, mas nada que valha a pena irritar. A uniformidade cinza não é ótima (ou seja, tons cinzentos não serão perfeitamente uniformes em todo o painel, haverá zonas mais escuras em direção às bordas/cantos com base na colocação da luz de fundo). Os negros não são perfeitamente negros - e eles são mais brilhantes do que você esperaria de um painel VA, mas isso não é perceptível quando a sala estiver acesa. Sem sangramento da luz de fundo. As cores são tão boas quanto eu gostaria que fossem, e o painel fica visivelmente brilhante para o meu gosto, mesmo quando o brilho é reduzido para 40%. O conteúdo 720p é assistível de&gt; 8 pés, 1080p é bom (eu diria melhor do que eu esperava) e 4K está bem, 4K.Connectivity: eu tenho uma conexão de banda larga de 35 MB/s e todos os fluxos de conteúdo em 4K, quando disponível, sem Grea. A TV possui Bluetooth 5.0 e trabalha com fones de ouvido TWS e Band de pescoço (eu uso o Oppo EncO W51 e o Rockerz 330) - não há latência perceptível e o volume pode ser controlado pelo próprio controle remoto. de aplicativos de streaming que eu precisava - Netflix, Hotstar, Prime, Apple TV+ e YouTube. Todos eles transmitem conteúdo 4K, exceto o Hotstar - que apenas transmitiu 4K algumas vezes. 1080p ainda é muito assistível e não é realmente um quebra de negócio. Nenhum suporte à Visão Dolby - com o qual fiz as pazes, considerando o fato de que 99% das TVs orçamentárias no mercado não podem produzir o contraste que você esperaria do conteúdo de DV de qualquer maneira, então por que se importar. Você obtém HDR e o conteúdo HDR é definitivamente mais bonito do que os não-HDR em termos de cores e vibração. Eu planejava usar a TV sem cabo, mas a TV vem com alguns canais como Republic TV, Bloomberg, 9xm, etc., estes transmissões em 1080p, então um ótimo bônus para ter.Remote: RF muito básico remoto, diferentemente dos Bluetooth Na maioria das novas TVs. O controle remoto parece bastante elegante e elegante, mas é isso. Maior reclamação-digitar para procurar coisas nos aplicativos é uma dor no atrás, você precisará usar o D-Pad para navegar em um teclado na tela. Você pode controlar a TV usando o aplicativo SmartThings da Samsung, mas adivinhe - você não pode nem usar o teclado do seu telefone para digitar ao controlar o aplicativo - isso é algo que pode ser adicionado através de uma atualização, mas ainda não está lá. As imagens são todo o conteúdo 4K. A resolução pode ser reduzida depois de enviar a revisão, mas você ainda pode ter uma idéia do design/aparência da TV, cores e contraste, etc. Eu diria que estou muito feliz - e com a chance, não seria mude minha decisão. É uma TV Samsung, então o final do dia, se produzir uma imagem decente e dura alguns anos a mais do que eu espero, posso ignorar todos os outros contras. Eu recomendo a TV se você tiver as mesmas expectativas da sua próxima TV., Em 18 de dezembro de 22, recebeu um produto com defeito, atualizado para o serviço da Amazon que eles substituíram por um novo produto hoje (27/12/22) .WILL POST REVISÃO DE LONGO PRONTRATIVO.PROS: Qualidade da imagem, design (fino n moldura menos) contras: som (pouco bem), upse-sacling de canais SD todos satisfeitos., estão usando-o desde o mês agora. 4.5/5-Como o serviço de instalação sempre da Samsung foi sem aparência. Recursos 5/5-Smart são bons Este modelo não tem reconhecimento de voz. Eu não preciso, então está bem. 4/5 de qualidade de Audio não é boa. É claro, mas o volume não é suficiente se instalar no Big Hall. Também não possui base.Pear uma barra de som separadamente se comprar esse modelo., Mas a qualidade da imagem é ok-ok., Melhor produto de TV na determinada faixa de preço, valor para dinheiro. Samsung é sempre bom, produto de valor para dinheiro</v>
      </c>
    </row>
    <row r="90">
      <c r="A90" s="9" t="s">
        <v>392</v>
      </c>
      <c r="B90" s="29" t="str">
        <f>VLOOKUP(dados!A90, reviews!A:G, 5, FALSE)</f>
        <v>Super charger in lapster,Best among the rest,Classy product and authentic one,Excellent product,Worked fine ,thank you,Stylish and flexible cable,Amazing,Value for money product</v>
      </c>
      <c r="C90" s="29" t="str">
        <f>VLOOKUP(dados!A90, reviews!A:G, 6, FALSE)</f>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v>
      </c>
      <c r="D90" s="29" t="str">
        <f>IFERROR(__xludf.DUMMYFUNCTION("GOOGLETRANSLATE(B90, ""en"", ""pt-br"")"),"Super Charger em Lapster, melhor entre os demais, produto elegante e autêntico, excelente produto, funcionou bem, obrigado, elegante e flexível, cabo, incrível, produto para dinheiro")</f>
        <v>Super Charger em Lapster, melhor entre os demais, produto elegante e autêntico, excelente produto, funcionou bem, obrigado, elegante e flexível, cabo, incrível, produto para dinheiro</v>
      </c>
      <c r="E90" s="29" t="str">
        <f>IFERROR(__xludf.DUMMYFUNCTION("GOOGLETRANSLATE(C90, ""en"", ""pt-br"")"),"A melhor qualidade, o produto parece original e está trabalhando perfeitamente com o meu OnePlus 8T. Bom tipo C para comprar, recomendado em outras empresas., É um produto muito bom e, no entanto, um cabo confiável e durável para se conectar, o cabo é bom"&amp;" e suporta 65 W de carregamento rápido. Estou usando este cabo no meu telefone celular One Plus 8T. Este cabo também acelera na transferência para os dados. O preço do cabo também é baixo. Obrigado pelo vendedor para fornecer o cabo de melhor qualidade e "&amp;"durabilidade em preço baixo. Estou feliz por dizer que este cabo é polido., O produto funcionou bem para mim. Consegui isso a um bom preço, flexível e resistência é melhor e também no Samsung M31S Mobile Charging Fast, comprei este cabo para o meu telefon"&amp;"e nada 1 é incrível, o carregamento rápido está funcionando muito bem, eu tentei isso também meu Samsung Mobile e resultado Foi fabuloso, obrigado, as impressões iniciais são boas. Ele está apoiando a Ulatra Charging Rast com o meu OnePlus 9 Pro.")</f>
        <v>A melhor qualidade, o produto parece original e está trabalhando perfeitamente com o meu OnePlus 8T. Bom tipo C para comprar, recomendado em outras empresas., É um produto muito bom e, no entanto, um cabo confiável e durável para se conectar, o cabo é bom e suporta 65 W de carregamento rápido. Estou usando este cabo no meu telefone celular One Plus 8T. Este cabo também acelera na transferência para os dados. O preço do cabo também é baixo. Obrigado pelo vendedor para fornecer o cabo de melhor qualidade e durabilidade em preço baixo. Estou feliz por dizer que este cabo é polido., O produto funcionou bem para mim. Consegui isso a um bom preço, flexível e resistência é melhor e também no Samsung M31S Mobile Charging Fast, comprei este cabo para o meu telefone nada 1 é incrível, o carregamento rápido está funcionando muito bem, eu tentei isso também meu Samsung Mobile e resultado Foi fabuloso, obrigado, as impressões iniciais são boas. Ele está apoiando a Ulatra Charging Rast com o meu OnePlus 9 Pro.</v>
      </c>
    </row>
    <row r="91">
      <c r="A91" s="9" t="s">
        <v>396</v>
      </c>
      <c r="B91" s="29" t="str">
        <f>VLOOKUP(dados!A91, reviews!A:G, 5, FALSE)</f>
        <v>Satisfied,Charging is really fast,Value for money,Product review,Good quality,Good product,Good Product,As of now seems good</v>
      </c>
      <c r="C91" s="29" t="str">
        <f>VLOOKUP(dados!A91, reviews!A:G, 6, FALSE)</f>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v>
      </c>
      <c r="D91" s="29" t="str">
        <f>IFERROR(__xludf.DUMMYFUNCTION("GOOGLETRANSLATE(B91, ""en"", ""pt-br"")"),"Satisfeito, cobrar é muito rápido, valor ao dinheiro, revisão de produtos, boa qualidade, bom produto, bom produto, a partir de agora parece bom")</f>
        <v>Satisfeito, cobrar é muito rápido, valor ao dinheiro, revisão de produtos, boa qualidade, bom produto, bom produto, a partir de agora parece bom</v>
      </c>
      <c r="E91" s="29" t="str">
        <f>IFERROR(__xludf.DUMMYFUNCTION("GOOGLETRANSLATE(C91, ""en"", ""pt-br"")"),"Parece que o carregamento durável é bom que reclama, o carregamento é muito rápido, bom produto., Até agora, satisfeito com a qualidade., Este é um bom produto. A velocidade de carregamento é mais lenta que o cabo original do iPhone, de boa qualidade, rec"&amp;"omendaria https: //m.media-amazon.com/images/i/81---f1zghl._sy88.jpg,product funcionou bem até a data e não estava tendo nenhum problema. A CABLE também é robusta o suficiente ... pediu substituição e a empresa está fazendo o mesmo ..., valor ao dinheiro")</f>
        <v>Parece que o carregamento durável é bom que reclama, o carregamento é muito rápido, bom produto., Até agora, satisfeito com a qualidade., Este é um bom produto. A velocidade de carregamento é mais lenta que o cabo original do iPhone, de boa qualidade, recomendaria https: //m.media-amazon.com/images/i/81---f1zghl._sy88.jpg,product funcionou bem até a data e não estava tendo nenhum problema. A CABLE também é robusta o suficiente ... pediu substituição e a empresa está fazendo o mesmo ..., valor ao dinheiro</v>
      </c>
    </row>
    <row r="92">
      <c r="A92" s="9" t="s">
        <v>399</v>
      </c>
      <c r="B92" s="29" t="str">
        <f>VLOOKUP(dados!A92, reviews!A:G, 5, FALSE)</f>
        <v>Will not work with new system,Veri good,Ok product,Access wifi signal.,👍,very good,Good Product,8139EU based okayish but low reception</v>
      </c>
      <c r="C92" s="29" t="str">
        <f>VLOOKUP(dados!A92, reviews!A:G, 6, FALSE)</f>
        <v>Was working fine with window 10 old computer but is not installable with new system on Window 11,Overall very good item,Easy to install ok signal,This was used to accesd wifi connectivity for desk top, and TV, worked fine,👍,like,Good product, satisfied with its performance.,It worked on most devices where driver could be installed, even worked with linux system too but for the reason I bought simply didn't get solved with it.. though not returning it as it worked in my computer without any issues.</v>
      </c>
      <c r="D92" s="29" t="str">
        <f>IFERROR(__xludf.DUMMYFUNCTION("GOOGLETRANSLATE(B92, ""en"", ""pt-br"")"),"Não funcionará com novo sistema, veri bom, ok produto, acessar sinais wifi., 👍, muito bom, bom produto, 8139eu baseado em okish, mas baixa recepção")</f>
        <v>Não funcionará com novo sistema, veri bom, ok produto, acessar sinais wifi., 👍, muito bom, bom produto, 8139eu baseado em okish, mas baixa recepção</v>
      </c>
      <c r="E92" s="29" t="str">
        <f>IFERROR(__xludf.DUMMYFUNCTION("GOOGLETRANSLATE(C92, ""en"", ""pt-br"")"),"Estava funcionando bem com o computador da janela 10 antiga, mas não é instalável com o novo sistema na janela 11, em geral, item muito bom, fácil instalar o sinal OK, isso foi usado para acreditar a conectividade Wi -Fi na parte superior da mesa e na TV,"&amp;" funcionou bem, 👍, como , Bom produto, satisfeito com seu desempenho., Funcionou na maioria dos dispositivos onde o motorista poderia ser instalado, até trabalhou com o sistema Linux, mas pelo motivo que comprei simplesmente não foi resolvido com ele ..."&amp;" embora não o devolva enquanto funcionava no meu computador sem problemas.")</f>
        <v>Estava funcionando bem com o computador da janela 10 antiga, mas não é instalável com o novo sistema na janela 11, em geral, item muito bom, fácil instalar o sinal OK, isso foi usado para acreditar a conectividade Wi -Fi na parte superior da mesa e na TV, funcionou bem, 👍, como , Bom produto, satisfeito com seu desempenho., Funcionou na maioria dos dispositivos onde o motorista poderia ser instalado, até trabalhou com o sistema Linux, mas pelo motivo que comprei simplesmente não foi resolvido com ele ... embora não o devolva enquanto funcionava no meu computador sem problemas.</v>
      </c>
    </row>
    <row r="93">
      <c r="A93" s="9" t="s">
        <v>403</v>
      </c>
      <c r="B93" s="29" t="str">
        <f>VLOOKUP(dados!A93, reviews!A:G, 5, FALSE)</f>
        <v>Worthy and most affordable - Great TV,Good product,It's really worth the money but,Better product in this budget,Product review,nice tv,Best product,Budget friendly TV</v>
      </c>
      <c r="C93" s="29" t="str">
        <f>VLOOKUP(dados!A93, reviews!A:G, 6, FALSE)</f>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v>
      </c>
      <c r="D93" s="29" t="str">
        <f>IFERROR(__xludf.DUMMYFUNCTION("GOOGLETRANSLATE(B93, ""en"", ""pt-br"")"),"Digno e mais acessível - ótima TV, bom produto, vale a pena o dinheiro, mas, melhor produto nesse orçamento, revisão de produtos, boa TV, melhor produto, TV amigável ao orçamento")</f>
        <v>Digno e mais acessível - ótima TV, bom produto, vale a pena o dinheiro, mas, melhor produto nesse orçamento, revisão de produtos, boa TV, melhor produto, TV amigável ao orçamento</v>
      </c>
      <c r="E93" s="29" t="str">
        <f>IFERROR(__xludf.DUMMYFUNCTION("GOOGLETRANSLATE(C93, ""en"", ""pt-br"")"),"Esta TV OnePlus é ótima se você quiser uma gama acessível e intermediária apresenta TV. Consegui isso na oferta e valeu totalmente a pena.Pros: -1. O som é incrível - 100% satisfeito com a qualidade do som. Os alto -falantes Dolby Audio 20W são realmente "&amp;"ótimos para TV com certeza. Tamanho e Slim - é magro e parece elegante. Muito leve e útil para instalar. Fácil de instalar e montar na parede. A instalação e configuração do software TYE é muito fácil e qualquer um pode fazê -lo em casa. Ele é integrado a"&amp;" aplicativos móveis, redes remotas e wifi com muita rapidez e facilidade. O processo geral de inscrição e as instalações de aplicativos são rápidas e automáticas. Ele suporta todos os recursos inteligentes, como Netflix, Prime e YouTube. É facilmente inst"&amp;"alável e login para começar a usar rapidamente. Também é fácil digitalizar os canais da caixa de instalação e começar a visualizá-los. A qualidade da imagem é 776p. É médio e não muito claro. Mas vale a pena a faixa de preço. Não vou reclamar, pois o cust"&amp;"o da TV é muito acessível e essa qualidade é justificada. A conexão Bluetooth e WiFi às vezes podem se desconectar e causar alguns problemas. Encontrei esse problema de desconexão e tive que redefinir o dispositivo completo e fazer a inscrição completa no"&amp;"vamente. O restante é muito bom e adorei este produto. Eu sinto que valeu a pena pedir. Se você está procurando, algo é de médio alcance e só precisa para seus pais antigos e não tem uso inteligente extenso, basta 100%. Em seguida, escolha uma versão melh"&amp;"or com a qualidade Full HD e 4K. Esta TV não dará uma boa experiência para o esporte devido à menos qualidade de imagem, mas é muito bom para programas familiares diários e canais de TV. Uma última coisa que eu quero expressar e estou desapontado é isso. "&amp;"Eu recebi meu pedido entregue na sexta -feira E eu agendei minha instalação para sábado. Mas ninguém apareceu naquele dia e eu tive que reagir na terça -feira de manhã, e ainda hoje ninguém apareceu. Recebi uma ligação da Amazon para reagir para a noite d"&amp;"e terça -feira e ainda assim, ninguém apareceu. Esse é um serviço muito ruim e irresponsável da OnePlus e da Amazon. Estou muito decepcionado com o serviço e criticar muito esse comportamento. Uma empresa sempre deve cuidar da satisfação do cliente e você"&amp;" falhou em fazer isso. O que vocês esperam que façamos? Aguarde 5 a 6 dias para instalar minha TV mesmo quando for entregue e espere que vocês venham depois de tantos dias. Mesmo quando estou entregue minha TV inteligente em minha casa, tenho que esperar "&amp;"e não gostar, porque vocês não fizeram seu trabalho corretamente. Pelo menos mantém alguma decência e respeita os clientes que estão pagando uma grande quantia e pedindo um Grande item da sua empresa. Você deve tomar cuidado para que o dinheiro que gastei"&amp;" tenha valido a pena e não enfrentar nenhum problema. Muito desapontado com esse comportamento e serviço., Bom produto, a conectividade é mais rápida, mas o desempenho é um pouco mais lento, o maior problema que enfrento é que não tem um cabo auxiliar, pa"&amp;"ra que não seja capaz de conectar minha barra de som. ..... a porta HDMI é inútil, não funciona. Então, eu a conecto via Bluetooth, mas o problema é que ela não se conectará automaticamente, sempre que eu na TV, preciso conectá -la manualmente, é um recur"&amp;"so básico O que não é fornecido nesta TV, então outra desvantagem é que foi rápido no começo agora já se passaram 4 meses e é super lotado ..... mesmo depois da atualização é da mesma forma ..... sim, mas neste preço RANGE A qualidade da imagem é excelent"&amp;"e ...... Isso é tudo, boa qualidade em figura e volume é um pouco baixo, além desse produto, é bom. Friendia ao orçamento, fico feliz com isso., Depois de alguns dias, a TV se apresentará lentamente e o controle remoto é muito, graças, obrigado Amazon e O"&amp;"nePlus, 1. O som é bom2. Instalação fácil3. Muito fino e menos peso4. O reconhecimento de voz é bom, como a faixa de conectividade comobiliza e amigável, é pobre. Muitos tempos são desconectados. A profundidade corporal não é tão boa.")</f>
        <v>Esta TV OnePlus é ótima se você quiser uma gama acessível e intermediária apresenta TV. Consegui isso na oferta e valeu totalmente a pena.Pros: -1. O som é incrível - 100% satisfeito com a qualidade do som. Os alto -falantes Dolby Audio 20W são realmente ótimos para TV com certeza. Tamanho e Slim - é magro e parece elegante. Muito leve e útil para instalar. Fácil de instalar e montar na parede. A instalação e configuração do software TYE é muito fácil e qualquer um pode fazê -lo em casa. Ele é integrado a aplicativos móveis, redes remotas e wifi com muita rapidez e facilidade. O processo geral de inscrição e as instalações de aplicativos são rápidas e automáticas. Ele suporta todos os recursos inteligentes, como Netflix, Prime e YouTube. É facilmente instalável e login para começar a usar rapidamente. Também é fácil digitalizar os canais da caixa de instalação e começar a visualizá-los. A qualidade da imagem é 776p. É médio e não muito claro. Mas vale a pena a faixa de preço. Não vou reclamar, pois o custo da TV é muito acessível e essa qualidade é justificada. A conexão Bluetooth e WiFi às vezes podem se desconectar e causar alguns problemas. Encontrei esse problema de desconexão e tive que redefinir o dispositivo completo e fazer a inscrição completa novamente. O restante é muito bom e adorei este produto. Eu sinto que valeu a pena pedir. Se você está procurando, algo é de médio alcance e só precisa para seus pais antigos e não tem uso inteligente extenso, basta 100%. Em seguida, escolha uma versão melhor com a qualidade Full HD e 4K. Esta TV não dará uma boa experiência para o esporte devido à menos qualidade de imagem, mas é muito bom para programas familiares diários e canais de TV. Uma última coisa que eu quero expressar e estou desapontado é isso. Eu recebi meu pedido entregue na sexta -feira E eu agendei minha instalação para sábado. Mas ninguém apareceu naquele dia e eu tive que reagir na terça -feira de manhã, e ainda hoje ninguém apareceu. Recebi uma ligação da Amazon para reagir para a noite de terça -feira e ainda assim, ninguém apareceu. Esse é um serviço muito ruim e irresponsável da OnePlus e da Amazon. Estou muito decepcionado com o serviço e criticar muito esse comportamento. Uma empresa sempre deve cuidar da satisfação do cliente e você falhou em fazer isso. O que vocês esperam que façamos? Aguarde 5 a 6 dias para instalar minha TV mesmo quando for entregue e espere que vocês venham depois de tantos dias. Mesmo quando estou entregue minha TV inteligente em minha casa, tenho que esperar e não gostar, porque vocês não fizeram seu trabalho corretamente. Pelo menos mantém alguma decência e respeita os clientes que estão pagando uma grande quantia e pedindo um Grande item da sua empresa. Você deve tomar cuidado para que o dinheiro que gastei tenha valido a pena e não enfrentar nenhum problema. Muito desapontado com esse comportamento e serviço., Bom produto, a conectividade é mais rápida, mas o desempenho é um pouco mais lento, o maior problema que enfrento é que não tem um cabo auxiliar, para que não seja capaz de conectar minha barra de som. ..... a porta HDMI é inútil, não funciona. Então, eu a conecto via Bluetooth, mas o problema é que ela não se conectará automaticamente, sempre que eu na TV, preciso conectá -la manualmente, é um recurso básico O que não é fornecido nesta TV, então outra desvantagem é que foi rápido no começo agora já se passaram 4 meses e é super lotado ..... mesmo depois da atualização é da mesma forma ..... sim, mas neste preço RANGE A qualidade da imagem é excelente ...... Isso é tudo, boa qualidade em figura e volume é um pouco baixo, além desse produto, é bom. Friendia ao orçamento, fico feliz com isso., Depois de alguns dias, a TV se apresentará lentamente e o controle remoto é muito, graças, obrigado Amazon e OnePlus, 1. O som é bom2. Instalação fácil3. Muito fino e menos peso4. O reconhecimento de voz é bom, como a faixa de conectividade comobiliza e amigável, é pobre. Muitos tempos são desconectados. A profundidade corporal não é tão boa.</v>
      </c>
    </row>
    <row r="94">
      <c r="A94" s="9" t="s">
        <v>407</v>
      </c>
      <c r="B94" s="29" t="str">
        <f>VLOOKUP(dados!A94, reviews!A:G, 5, FALSE)</f>
        <v>Good product,Good one,Nice,Really nice product,Very first time change,Good,Fine product but could be better,Very nice it's charging like jet</v>
      </c>
      <c r="C94" s="29" t="str">
        <f>VLOOKUP(dados!A94, reviews!A:G, 6, FALSE)</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c r="D94" s="29" t="str">
        <f>IFERROR(__xludf.DUMMYFUNCTION("GOOGLETRANSLATE(B94, ""en"", ""pt-br"")"),"Bom produto, bom, bom, muito bom produto, mudança de primeira vez, bom, bom produto, mas pode ser melhor, muito bom, está cobrando como jato")</f>
        <v>Bom produto, bom, bom, muito bom produto, mudança de primeira vez, bom, bom produto, mas pode ser melhor, muito bom, está cobrando como jato</v>
      </c>
      <c r="E94" s="29" t="str">
        <f>IFERROR(__xludf.DUMMYFUNCTION("GOOGLETRANSLATE(C94, ""en"", ""pt-br"")"),"Bom produto, fio longo, carrega bom, legal, comprei este cabo para um produto digno de Rs.339 por esse preço, testei em vários adaptadores de carregador 33W e 18W, ele também suporta carregamento rápido. Isso a um bom preço à venda na Amazon e o produto é"&amp;" útil na garantia, mas para a garantia você precisa ir muito longe, não é prático por esse custo e meu micro para o conector do tipo C parou de funcionar após alguns dias., Gosto deste produto")</f>
        <v>Bom produto, fio longo, carrega bom, legal, comprei este cabo para um produto digno de Rs.339 por esse preço, testei em vários adaptadores de carregador 33W e 18W, ele também suporta carregamento rápido. Isso a um bom preço à venda na Amazon e o produto é útil na garantia, mas para a garantia você precisa ir muito longe, não é prático por esse custo e meu micro para o conector do tipo C parou de funcionar após alguns dias., Gosto deste produto</v>
      </c>
    </row>
    <row r="95">
      <c r="A95" s="9" t="s">
        <v>410</v>
      </c>
      <c r="B95" s="29" t="str">
        <f>VLOOKUP(dados!A95, reviews!A:G, 5, FALSE)</f>
        <v>Does its Job fine,Working perfect,working fine,Disappointed,Does the job.,Nice product with good quality,Good product,Nice Product</v>
      </c>
      <c r="C95" s="29" t="str">
        <f>VLOOKUP(dados!A95, reviews!A:G, 6, FALSE)</f>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👍,Value for money</v>
      </c>
      <c r="D95" s="29" t="str">
        <f>IFERROR(__xludf.DUMMYFUNCTION("GOOGLETRANSLATE(B95, ""en"", ""pt-br"")"),"Faz seu trabalho bem, funcionando perfeito, funcionando bem, decepcionado, faz o trabalho., Bom produto com boa qualidade, bom produto, bom produto")</f>
        <v>Faz seu trabalho bem, funcionando perfeito, funcionando bem, decepcionado, faz o trabalho., Bom produto com boa qualidade, bom produto, bom produto</v>
      </c>
      <c r="E95" s="29" t="str">
        <f>IFERROR(__xludf.DUMMYFUNCTION("GOOGLETRANSLATE(C95, ""en"", ""pt-br"")"),"Como conector, ele faz bem o seu trabalho., Pacote chegou a tempo .. trabalhando bem. Valor pelo dinheiro .., boa compra, https: //m.media-amazon.com/images/w/webp_402378-t1/images/i/61yx8qeucgl._sy88.jpg de grande valor, embora o fio tenha sido dobrado e"&amp;" eu Tive que desamarrar e desvendar isso. Faz bem o trabalho e, pelo preço, não pude perguntar mais., Bom produto com boa qualidade, estou usando isso desde muito tempo e isso nunca me decepciona ... deve comprar e boa qualidade de plástico 👍, valor pelo"&amp;" dinheiro")</f>
        <v>Como conector, ele faz bem o seu trabalho., Pacote chegou a tempo .. trabalhando bem. Valor pelo dinheiro .., boa compra, https: //m.media-amazon.com/images/w/webp_402378-t1/images/i/61yx8qeucgl._sy88.jpg de grande valor, embora o fio tenha sido dobrado e eu Tive que desamarrar e desvendar isso. Faz bem o trabalho e, pelo preço, não pude perguntar mais., Bom produto com boa qualidade, estou usando isso desde muito tempo e isso nunca me decepciona ... deve comprar e boa qualidade de plástico 👍, valor pelo dinheiro</v>
      </c>
    </row>
    <row r="96">
      <c r="A96" s="9" t="s">
        <v>414</v>
      </c>
      <c r="B96" s="29" t="str">
        <f>VLOOKUP(dados!A96, reviews!A:G, 5, FALSE)</f>
        <v>TV looks fine, however I see some lag while selecting the applications,Best TV in the Price range,Good for value,Good build quality,I am satisfied it's service till now if this will continue then it is very good,Affordable price for all,Very good tv,It's good</v>
      </c>
      <c r="C96" s="29" t="str">
        <f>VLOOKUP(dados!A96, reviews!A:G, 6, FALSE)</f>
        <v>TV looks fine, however I see some lag while selecting the applications such as Amazon prime etc. I didn’t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v>
      </c>
      <c r="D96" s="29" t="str">
        <f>IFERROR(__xludf.DUMMYFUNCTION("GOOGLETRANSLATE(B96, ""en"", ""pt-br"")"),"A TV parece boa, no entanto, vejo algum atraso ao selecionar os aplicativos, a melhor TV na faixa de preço, bom para valor, boa qualidade de construção, estou satisfeito até agora se isso continuar, então é um preço muito bom e acessível para todos , TV m"&amp;"uito boa, é bom")</f>
        <v>A TV parece boa, no entanto, vejo algum atraso ao selecionar os aplicativos, a melhor TV na faixa de preço, bom para valor, boa qualidade de construção, estou satisfeito até agora se isso continuar, então é um preço muito bom e acessível para todos , TV muito boa, é bom</v>
      </c>
      <c r="E96" s="29" t="str">
        <f>IFERROR(__xludf.DUMMYFUNCTION("GOOGLETRANSLATE(C96, ""en"", ""pt-br"")"),"A TV parece boa, no entanto, vejo alguns lag ao selecionar os aplicativos como o Amazon Prime etc. Não instalei nenhum novo aplicativo., Recebi a TV no horário. Boas coisas sobre TV e TCL: -1. Resposta rápida:- Após a entrega da TV, ligue para o atendimen"&amp;"to ao cliente para a instalação e, dentro de 2 horas, o técnico chegue e instalou a TV. Depois disso, recebeu a chamada do atendimento ao cliente para reunir a experiência e pingada no WhatsApp, para que, se no futuro, encontrasse algum problema, seja for"&amp;"necida ajuda rápida. Qualidade:- A qualidade da TV é boa e pode assistir a todos os conteúdos dos aplicativos na resolução máxima suportados pela TV, ou seja, 1080p.3. O negócio de roubo, durante a venda do GIF, recebeu a TV em 13299, que é apenas o preço"&amp;" do WoW.4. A qualidade do som é boa. O Android 11 é bom e o recurso extra que eu acho benéfico quando comparado ao meu antigo Android 9 TV é o recurso de pesquisa de voz que agora pesquisa o conteúdo de outros aplicativos também após a permissão que não e"&amp;"stá funcionando no Android 9 TV.6. Remoto Bluetooth com algum recurso extra. Comprei a TV como já possui o modelo TCL S6500 de 32 polegadas em 2018, quando é lançado e a TV está funcionando perfeitamente e, pois não encontrou nenhum problema, então compro"&amp;"u esta marca TV novamente quando necessário Second TV.imProvement: -1. O Remoto Bluetooth deve ter o botão de todos os aplicativos no Menu Remoto em vez do TCL, que minha TV Android S6500 anterior tem, devido ao qual deve se mover com algum clique extra q"&amp;"ue é irritante para meus pais usarem.2. No Remote Bluetooth, eles fornecem algum botão extra para se mover diretamente para o YouTube, Netflix, canal TCL, prime, guarda e mídia, em vez disso, alguma personalização será fornecida para que possamos configur"&amp;"ar os botões para alguns aplicativos de outros aplicativos conforme nosso uso pessoal. Desses botões, a mídia e o canal TCL são o botão mais inútil.3. A Android TV deve vir com pelo menos 1,5 GB, como com 1 GB de variante, a TV é pouco lenta e já possui m"&amp;"uitos aplicativos TCL pré -instalados que não podemos remover a experiência de TV em um pouco lento, no entanto, compre o modelo, sabendo essa limitação como já usando 1,5 GB Ram antigo variante da mesma marca. Outro recurso também são esses que são contr"&amp;"as, mas que já são mencionados na descrição e Não está fazendo experiência fluida ao usar a Android TV ao assistir a todos os conteúdos dos aplicativos., Bom para valor quase todos os aplicativos podem baixar, menos peso e bastante valioso para o orçament"&amp;"o ... e até mesmo o suporte ao cliente também disponível. , Tipo, bom para este preço. . Obrigado à Amazon, muito bom produto, https: //m.media-amazon.com/images/w/webp_402378-t1/images/i/61fo-pdjvel._sy88.jpg")</f>
        <v>A TV parece boa, no entanto, vejo alguns lag ao selecionar os aplicativos como o Amazon Prime etc. Não instalei nenhum novo aplicativo., Recebi a TV no horário. Boas coisas sobre TV e TCL: -1. Resposta rápida:- Após a entrega da TV, ligue para o atendimento ao cliente para a instalação e, dentro de 2 horas, o técnico chegue e instalou a TV. Depois disso, recebeu a chamada do atendimento ao cliente para reunir a experiência e pingada no WhatsApp, para que, se no futuro, encontrasse algum problema, seja fornecida ajuda rápida. Qualidade:- A qualidade da TV é boa e pode assistir a todos os conteúdos dos aplicativos na resolução máxima suportados pela TV, ou seja, 1080p.3. O negócio de roubo, durante a venda do GIF, recebeu a TV em 13299, que é apenas o preço do WoW.4. A qualidade do som é boa. O Android 11 é bom e o recurso extra que eu acho benéfico quando comparado ao meu antigo Android 9 TV é o recurso de pesquisa de voz que agora pesquisa o conteúdo de outros aplicativos também após a permissão que não está funcionando no Android 9 TV.6. Remoto Bluetooth com algum recurso extra. Comprei a TV como já possui o modelo TCL S6500 de 32 polegadas em 2018, quando é lançado e a TV está funcionando perfeitamente e, pois não encontrou nenhum problema, então comprou esta marca TV novamente quando necessário Second TV.imProvement: -1. O Remoto Bluetooth deve ter o botão de todos os aplicativos no Menu Remoto em vez do TCL, que minha TV Android S6500 anterior tem, devido ao qual deve se mover com algum clique extra que é irritante para meus pais usarem.2. No Remote Bluetooth, eles fornecem algum botão extra para se mover diretamente para o YouTube, Netflix, canal TCL, prime, guarda e mídia, em vez disso, alguma personalização será fornecida para que possamos configurar os botões para alguns aplicativos de outros aplicativos conforme nosso uso pessoal. Desses botões, a mídia e o canal TCL são o botão mais inútil.3. A Android TV deve vir com pelo menos 1,5 GB, como com 1 GB de variante, a TV é pouco lenta e já possui muitos aplicativos TCL pré -instalados que não podemos remover a experiência de TV em um pouco lento, no entanto, compre o modelo, sabendo essa limitação como já usando 1,5 GB Ram antigo variante da mesma marca. Outro recurso também são esses que são contras, mas que já são mencionados na descrição e Não está fazendo experiência fluida ao usar a Android TV ao assistir a todos os conteúdos dos aplicativos., Bom para valor quase todos os aplicativos podem baixar, menos peso e bastante valioso para o orçamento ... e até mesmo o suporte ao cliente também disponível. , Tipo, bom para este preço. . Obrigado à Amazon, muito bom produto, https: //m.media-amazon.com/images/w/webp_402378-t1/images/i/61fo-pdjvel._sy88.jpg</v>
      </c>
    </row>
    <row r="97">
      <c r="A97" s="9" t="s">
        <v>418</v>
      </c>
      <c r="B97" s="29" t="str">
        <f>VLOOKUP(dados!A97, reviews!A:G, 5, FALSE)</f>
        <v>Good product,Best produced,Working well as of now,Money worth,Good equipment,Writing after one month use. Working okay no issues till now,Nice product,Easy piece of great product</v>
      </c>
      <c r="C97" s="29" t="str">
        <f>VLOOKUP(dados!A97, reviews!A:G, 6, FALSE)</f>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v>
      </c>
      <c r="D97" s="29" t="str">
        <f>IFERROR(__xludf.DUMMYFUNCTION("GOOGLETRANSLATE(B97, ""en"", ""pt-br"")"),"Bom produto, melhor produzido, funcionando bem como agora, dinheiro, bom equipamento, escrevendo após um mês de uso. Funcionando bem sem problemas até agora, bom produto, um excelente produto de ótimo produto")</f>
        <v>Bom produto, melhor produzido, funcionando bem como agora, dinheiro, bom equipamento, escrevendo após um mês de uso. Funcionando bem sem problemas até agora, bom produto, um excelente produto de ótimo produto</v>
      </c>
      <c r="E97" s="29" t="str">
        <f>IFERROR(__xludf.DUMMYFUNCTION("GOOGLETRANSLATE(C97, ""en"", ""pt-br"")"),"Trabalhando muito bem ok, sahi paise ke hisab se sahi kam karta hai, então, o adaptador wifi está funcionando bem como a partir de agora. Possui um CD para instalação. No entanto, ele foi instalado sem o CD. Mas mostrou que a instalação não estava complet"&amp;"a, mesmo que fosse e pediu senha de segurança mais uma vez depois de reiniciar o laptop., Seu valor por dinheiro, ok, funcionando., Produção boa e valiosa, bom dongle Wi-Fi USB para casa e Office Works")</f>
        <v>Trabalhando muito bem ok, sahi paise ke hisab se sahi kam karta hai, então, o adaptador wifi está funcionando bem como a partir de agora. Possui um CD para instalação. No entanto, ele foi instalado sem o CD. Mas mostrou que a instalação não estava completa, mesmo que fosse e pediu senha de segurança mais uma vez depois de reiniciar o laptop., Seu valor por dinheiro, ok, funcionando., Produção boa e valiosa, bom dongle Wi-Fi USB para casa e Office Works</v>
      </c>
    </row>
    <row r="98">
      <c r="A98" s="9" t="s">
        <v>422</v>
      </c>
      <c r="B98" s="29" t="str">
        <f>VLOOKUP(dados!A98, reviews!A:G, 5, FALSE)</f>
        <v>Very hard to use,Good,Required Replacement but replaced one is Good,Good product &amp; connectivity,Used remote delivered,VFM, Perfectly Compatible.,Working fine with mi tv4,I've bought it 4 times in a year</v>
      </c>
      <c r="C98" s="29" t="str">
        <f>VLOOKUP(dados!A98, reviews!A:G, 6, FALSE)</f>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v>
      </c>
      <c r="D98" s="29" t="str">
        <f>IFERROR(__xludf.DUMMYFUNCTION("GOOGLETRANSLATE(B98, ""en"", ""pt-br"")"),"Muito difícil de usar, bom, substituição necessária, mas substituída uma é boa, bom produto e conectividade, entreguei remoto usado, VFM, perfeitamente compatível., Funcionando bem com o Mi TV4, comprei 4 vezes em um ano")</f>
        <v>Muito difícil de usar, bom, substituição necessária, mas substituída uma é boa, bom produto e conectividade, entreguei remoto usado, VFM, perfeitamente compatível., Funcionando bem com o Mi TV4, comprei 4 vezes em um ano</v>
      </c>
      <c r="E98" s="29" t="str">
        <f>IFERROR(__xludf.DUMMYFUNCTION("GOOGLETRANSLATE(C98, ""en"", ""pt-br"")"),"Não é uma relação custo / benefício. Não está satisfeito, bom, substituto necessário, mas substituído um é bom, bom emparelhamento e conectividade, obteve um controle remoto usado. Como você pode ver na foto, o botão traseiro é descolorido. Como está func"&amp;"ionando e precisamos de uma necessidade urgente de um controle remoto, não retornando. Compartilhando para que outras pessoas permaneçam cientes disso.Edit - solicitou uma substituição e a substituída parece boa., Quase parecia original. Apenas as marcaçõ"&amp;"es da marca estão ausentes. Trabalho bem com minha TV. Boa compatibilidade. Todos os recursos funcionam bem e, como esperado. O controle remoto deve ser à prova d'água. Por favor, torne -o à prova d'água. Vou pagar até 1500.")</f>
        <v>Não é uma relação custo / benefício. Não está satisfeito, bom, substituto necessário, mas substituído um é bom, bom emparelhamento e conectividade, obteve um controle remoto usado. Como você pode ver na foto, o botão traseiro é descolorido. Como está funcionando e precisamos de uma necessidade urgente de um controle remoto, não retornando. Compartilhando para que outras pessoas permaneçam cientes disso.Edit - solicitou uma substituição e a substituída parece boa., Quase parecia original. Apenas as marcações da marca estão ausentes. Trabalho bem com minha TV. Boa compatibilidade. Todos os recursos funcionam bem e, como esperado. O controle remoto deve ser à prova d'água. Por favor, torne -o à prova d'água. Vou pagar até 1500.</v>
      </c>
    </row>
    <row r="99">
      <c r="A99" s="9" t="s">
        <v>426</v>
      </c>
      <c r="B99" s="29" t="str">
        <f>VLOOKUP(dados!A99, reviews!A:G, 5, FALSE)</f>
        <v>Product is nice,Decent cable,It charges all the three types,Value of money,Product is good and worth of money,Good material.... working good,Very good,ठीक ठीक है</v>
      </c>
      <c r="C99" s="29" t="str">
        <f>VLOOKUP(dados!A99, reviews!A:G, 6, FALSE)</f>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ever✅,Every thing ok,Good,क्वालिटी में अच्छा नहीं है पर सही चल रहा है।</v>
      </c>
      <c r="D99" s="29" t="str">
        <f>IFERROR(__xludf.DUMMYFUNCTION("GOOGLETRANSLATE(B99, ""en"", ""pt-br"")"),"Produto é bom, cabo decente, cobra todos os três tipos, valor do dinheiro, produto é bom e valor de dinheiro, bom material ... trabalhando bem, muito bom, ठीक ठीक है")</f>
        <v>Produto é bom, cabo decente, cobra todos os três tipos, valor do dinheiro, produto é bom e valor de dinheiro, bom material ... trabalhando bem, muito bom, ठीक ठीक है</v>
      </c>
      <c r="E99" s="29" t="str">
        <f>IFERROR(__xludf.DUMMYFUNCTION("GOOGLETRANSLATE(C99, ""en"", ""pt-br"")"),"O produto é um cabo de carregamento decente e bom para o preço. Isso não carrega dados. Além disso, o retrator não é tão bom. Em alguns usos, ele para de se retrair, a menos que você segure as duas extremidades e tente puxar. Não há problemas na cobrança,"&amp;" acabei de receber o produto, parece bom, obteve um produto de cor preta, verificou todos os três tipos de cabeça de cabo. A durabilidade será conhecida após o uso regular. Parece que vale o valor., Bom produto, este é um produto útil sempre ✅, tudo bem, "&amp;"bom, क्वालिटी में अच्छा नहीं है पर सही चल हा है अच।।।")</f>
        <v>O produto é um cabo de carregamento decente e bom para o preço. Isso não carrega dados. Além disso, o retrator não é tão bom. Em alguns usos, ele para de se retrair, a menos que você segure as duas extremidades e tente puxar. Não há problemas na cobrança, acabei de receber o produto, parece bom, obteve um produto de cor preta, verificou todos os três tipos de cabeça de cabo. A durabilidade será conhecida após o uso regular. Parece que vale o valor., Bom produto, este é um produto útil sempre ✅, tudo bem, bom, क्वालिटी में अच्छा नहीं है पर सही चल हा है अच।।।</v>
      </c>
    </row>
    <row r="100">
      <c r="A100" s="9" t="s">
        <v>430</v>
      </c>
      <c r="B100" s="29" t="str">
        <f>VLOOKUP(dados!A100, reviews!A:G, 5, FALSE)</f>
        <v>Easy to use,Working fine - but errors while using USB and Ethernet adapter together.,Speed is just awesome go for it,Best price to buy,Awesome product,Overall good,Drains battery if you use on smartphones,Excellent product but it has 1 major and 1 minor inconvenience</v>
      </c>
      <c r="C100" s="29" t="str">
        <f>VLOOKUP(dados!A100, reviews!A:G, 6, FALSE)</f>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It’s compatible with all. It’s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I’m working at night.2) The cable is flat, which is like a double-edged sword. On one hand, it comes in handy when folding it on itself and redacting into the body. But when it’s not hidden and used with a laptop, with the adapter being visible, the flat cable folded sideways looks ugly.The product would’ve been a perfect 5/5 if TP Link didn’t make these strange design decisions. Hope this helps. Thanks.</v>
      </c>
      <c r="D100" s="29" t="str">
        <f>IFERROR(__xludf.DUMMYFUNCTION("GOOGLETRANSLATE(B100, ""en"", ""pt-br"")"),"Fácil de usar, funcionando bem - mas erros enquanto usa o adaptador USB e Ethernet juntos., A velocidade é simplesmente incrível, vá em frente, o melhor preço de comprar, produto incrível, bom bem, drena a bateria se você usar smartphones, excelente produ"&amp;"to, mas ele tem 1 maior e 1 menor inconveniente")</f>
        <v>Fácil de usar, funcionando bem - mas erros enquanto usa o adaptador USB e Ethernet juntos., A velocidade é simplesmente incrível, vá em frente, o melhor preço de comprar, produto incrível, bom bem, drena a bateria se você usar smartphones, excelente produto, mas ele tem 1 maior e 1 menor inconveniente</v>
      </c>
      <c r="E100" s="29" t="str">
        <f>IFERROR(__xludf.DUMMYFUNCTION("GOOGLETRANSLATE(C100, ""en"", ""pt-br"")"),"Com boa aparência, funcionando bem., Eu trouxe isso principalmente porque meu laptop Lenovo (Windows 11) possui apenas uma porta USB 3, sem slot Ethernet e uma porta C-Connector. Port USB Hub e Adaptador Ethernet Gigabit, usei isso para a conectividade Et"&amp;"hernet à minha rede de escritório. Simultaneamente, eu estava usando as portas USB no hub para conectividade do meu mouse sem fio e uma porta para disco rígido externo. Isso me deu problemas continuamente com a conectividade do mouse ou do HDD. Recebi err"&amp;"os como o dispositivo USB não detectado etc. Por um momento, eu estava tentando devolver o produto, mas desde que entreguei isso em Mumbai no meu escritório e depois voltei para casa em Karnataka, ele se recusou a processar o retorno em uma cidade diferen"&amp;"te. Agora está funcionando bem, está funcionando bem, Como não preciso de Ethernet em casa. A velocidade é mais do que sem fio, não sou usada, pois restrita no meu sistema., Usei -o com o laptop HP e Dell. É compatível com todos. É plug and play e fácil d"&amp;"e usar., Bom produto, funciona perfeitamente, uma marca confiável e confiável, com um design conveniente com um slot para dobrar o cabo. Funciona e funciona bem sempre. É um grande aborrecimento quando estou trabalhando à noite.2) O cabo é plano, o que é "&amp;"como uma faca de dois gumes. Por um lado, é útil ao dobrá -lo em si mesmo e redigir no corpo. Mas quando não está escondido e usado com um laptop, com o adaptador sendo visível, o cabo plano dobrado para o lado parecem feios. O produto seria um 5/5 perfei"&amp;"to se o link TP não fizesse essas decisões estranhas de design. Espero que isto ajude. Obrigado.")</f>
        <v>Com boa aparência, funcionando bem., Eu trouxe isso principalmente porque meu laptop Lenovo (Windows 11) possui apenas uma porta USB 3, sem slot Ethernet e uma porta C-Connector. Port USB Hub e Adaptador Ethernet Gigabit, usei isso para a conectividade Ethernet à minha rede de escritório. Simultaneamente, eu estava usando as portas USB no hub para conectividade do meu mouse sem fio e uma porta para disco rígido externo. Isso me deu problemas continuamente com a conectividade do mouse ou do HDD. Recebi erros como o dispositivo USB não detectado etc. Por um momento, eu estava tentando devolver o produto, mas desde que entreguei isso em Mumbai no meu escritório e depois voltei para casa em Karnataka, ele se recusou a processar o retorno em uma cidade diferente. Agora está funcionando bem, está funcionando bem, Como não preciso de Ethernet em casa. A velocidade é mais do que sem fio, não sou usada, pois restrita no meu sistema., Usei -o com o laptop HP e Dell. É compatível com todos. É plug and play e fácil de usar., Bom produto, funciona perfeitamente, uma marca confiável e confiável, com um design conveniente com um slot para dobrar o cabo. Funciona e funciona bem sempre. É um grande aborrecimento quando estou trabalhando à noite.2) O cabo é plano, o que é como uma faca de dois gumes. Por um lado, é útil ao dobrá -lo em si mesmo e redigir no corpo. Mas quando não está escondido e usado com um laptop, com o adaptador sendo visível, o cabo plano dobrado para o lado parecem feios. O produto seria um 5/5 perfeito se o link TP não fizesse essas decisões estranhas de design. Espero que isto ajude. Obrigado.</v>
      </c>
    </row>
    <row r="101">
      <c r="A101" s="9" t="s">
        <v>434</v>
      </c>
      <c r="B101" s="29" t="str">
        <f>VLOOKUP(dados!A101, reviews!A:G, 5, FALSE)</f>
        <v>Good,I don’t like this product,Awesome product,Best cable for iphone xs .. works well with fast charging brick,Low quality pin but wire is fine,Excellent quality,Awesome quality and fast charging,Works fine</v>
      </c>
      <c r="C101" s="29" t="str">
        <f>VLOOKUP(dados!A101, reviews!A:G, 6, FALSE)</f>
        <v>Good,,Quality of cable is good and fast charging and customer care support very helpful,Simply the best cable.. works really well with fast charging brick,Don’t buy if you have problem with loose pin…its pin is same as oroginal iPhone pin…but the wire quality is good…if you want to take for that…it just took 2 months for thier pin to break,Awesome charging wire,Awesome quality and fast charging,The product works fine. It is able to deliver fast charging when connected to a 20W charger. The cable is durable unlike the Apple OE cable.</v>
      </c>
      <c r="D101" s="29" t="str">
        <f>IFERROR(__xludf.DUMMYFUNCTION("GOOGLETRANSLATE(B101, ""en"", ""pt-br"")"),"Bom, eu não gosto deste produto, produto incrível, melhor cabo para iPhone XS.")</f>
        <v>Bom, eu não gosto deste produto, produto incrível, melhor cabo para iPhone XS.</v>
      </c>
      <c r="E101" s="29" t="str">
        <f>IFERROR(__xludf.DUMMYFUNCTION("GOOGLETRANSLATE(C101, ""en"", ""pt-br"")"),"Bom, a qualidade do cabo é boa e rápida e o suporte ao cliente é muito útil, simplesmente o melhor cabo. PIN do iPhone ... mas a qualidade do fio é boa ... se você deseja levar para isso ... levou 2 meses para que seu pino quebre, arame de carregamento in"&amp;"crível, qualidade incrível e carregamento rápido, o produto funciona bem. É capaz de fornecer carregamento rápido quando conectado a um carregador de 20W. O cabo é durável, diferentemente do cabo da Apple OE.")</f>
        <v>Bom, a qualidade do cabo é boa e rápida e o suporte ao cliente é muito útil, simplesmente o melhor cabo. PIN do iPhone ... mas a qualidade do fio é boa ... se você deseja levar para isso ... levou 2 meses para que seu pino quebre, arame de carregamento incrível, qualidade incrível e carregamento rápido, o produto funciona bem. É capaz de fornecer carregamento rápido quando conectado a um carregador de 20W. O cabo é durável, diferentemente do cabo da Apple OE.</v>
      </c>
    </row>
    <row r="102">
      <c r="A102" s="9" t="s">
        <v>438</v>
      </c>
      <c r="B102" s="29" t="str">
        <f>VLOOKUP(dados!A102, reviews!A:G, 5, FALSE)</f>
        <v>Nice cover,Good quality,Dealfreez Full Wrap Silicone Remote Cover Case is an excellent product,Remote Cover,Loved it!,Soft,Best product for the price,Look's good</v>
      </c>
      <c r="C102" s="29" t="str">
        <f>VLOOKUP(dados!A102, reviews!A:G, 6, FALSE)</f>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v>
      </c>
      <c r="D102" s="29" t="str">
        <f>IFERROR(__xludf.DUMMYFUNCTION("GOOGLETRANSLATE(B102, ""en"", ""pt-br"")"),"Bom capa, boa qualidade, Dealfreez Full Wrap Silicone Remote Cover Case é um excelente produto, capa remota, adorei!, Melhor produto para o preço, Look's Good")</f>
        <v>Bom capa, boa qualidade, Dealfreez Full Wrap Silicone Remote Cover Case é um excelente produto, capa remota, adorei!, Melhor produto para o preço, Look's Good</v>
      </c>
      <c r="E102" s="29" t="str">
        <f>IFERROR(__xludf.DUMMYFUNCTION("GOOGLETRANSLATE(C102, ""en"", ""pt-br"")"),", Os botões de borracha se soltaram dentro de meses., Dealfreez Wrap Full Wrap Silicone Remote Capa Case compatível com o Stick TV de 3ª geração é um excelente produto, um ótimo e um produto deve ter um produto., Bom produto, a qualidade do silício é Awes"&amp;"om, mas O preço está no lado um pouco mais alto, é muito bom, mas não sei sobre qualidade.")</f>
        <v>, Os botões de borracha se soltaram dentro de meses., Dealfreez Wrap Full Wrap Silicone Remote Capa Case compatível com o Stick TV de 3ª geração é um excelente produto, um ótimo e um produto deve ter um produto., Bom produto, a qualidade do silício é Awesom, mas O preço está no lado um pouco mais alto, é muito bom, mas não sei sobre qualidade.</v>
      </c>
    </row>
    <row r="103">
      <c r="A103" s="9" t="s">
        <v>442</v>
      </c>
      <c r="B103" s="29" t="str">
        <f>VLOOKUP(dados!A103, reviews!A:G, 5, FALSE)</f>
        <v>Exchange of the cable,Go for it !!,It works and it is worth,Superab,Works Well and Durable,Very nice product.,Gud product,Stopped working in less than a month</v>
      </c>
      <c r="C103" s="29" t="str">
        <f>VLOOKUP(dados!A103, reviews!A:G, 6, FALSE)</f>
        <v>I wanted a long cable but this is short just want to exchange . In one day you cannot judge it,Very nice product it’s surprisingly charge fast then the original one go for it. 🥹🥹✌️✌️,The color is also calming,Very nice,Good product for the price. Works well and charges fast.,Very nice.,Good product.. works fine and good quality product,Last time I bought a cable for 199 and it worked 8 months, this cable looked very fancy and didn't work for one month also.</v>
      </c>
      <c r="D103" s="29" t="str">
        <f>IFERROR(__xludf.DUMMYFUNCTION("GOOGLETRANSLATE(B103, ""en"", ""pt-br"")"),"Troca do cabo, vá em frente !!, funciona e vale a pena, Superab, funciona bem e produtos duráveis, muito agradáveis., Produto Gud, parou de trabalhar em menos de um mês")</f>
        <v>Troca do cabo, vá em frente !!, funciona e vale a pena, Superab, funciona bem e produtos duráveis, muito agradáveis., Produto Gud, parou de trabalhar em menos de um mês</v>
      </c>
      <c r="E103" s="29" t="str">
        <f>IFERROR(__xludf.DUMMYFUNCTION("GOOGLETRANSLATE(C103, ""en"", ""pt-br"")"),"Eu queria um cabo longo, mas isso é pouco querer trocar. Em um dia você não pode julgá -lo, um produto muito bom, é surpreendentemente cobrar rápido que o original vá em frente. 🥹🥹✌️✌️, a cor também é calmante, muito bom e bom produto pelo preço. Funcio"&amp;"na bem e carrega rapidamente., Muito bom., Bom produto .. funciona bem e de boa qualidade, da última vez que comprei um cabo para 199 e funcionou 8 meses, esse cabo parecia muito chique e não funcionou por um mês também .")</f>
        <v>Eu queria um cabo longo, mas isso é pouco querer trocar. Em um dia você não pode julgá -lo, um produto muito bom, é surpreendentemente cobrar rápido que o original vá em frente. 🥹🥹✌️✌️, a cor também é calmante, muito bom e bom produto pelo preço. Funciona bem e carrega rapidamente., Muito bom., Bom produto .. funciona bem e de boa qualidade, da última vez que comprei um cabo para 199 e funcionou 8 meses, esse cabo parecia muito chique e não funcionou por um mês também .</v>
      </c>
    </row>
    <row r="104">
      <c r="A104" s="9" t="s">
        <v>445</v>
      </c>
      <c r="B104" s="29" t="str">
        <f>VLOOKUP(dados!A104, reviews!A:G, 5, FALSE)</f>
        <v>ভালই কাজ করছে, পয়সা উসুল।,Just what I wanted.. works perfect,Great 👍,Good,Works fine with my Samsung smart TV.,Works perfectly,Not OEM. But works as expected.,Its a good buy works</v>
      </c>
      <c r="C104" s="29" t="str">
        <f>VLOOKUP(dados!A104, reviews!A:G, 6, FALSE)</f>
        <v>এই রেপ্লিকা রিমোট সেট টা কাজ করছে। স্যামসাং এলইডি 4 সিরিজের টিভি।,I bought it forMy Samsung E4000 series LED TV. The remote works. I use it mostly to control volume and source and it does its work. Am happy with it.At first they had delivered one remote that didn’t work and then I got a replacement which works as expected. Thank you!,Great 👍,It’s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v>
      </c>
      <c r="D104" s="29" t="str">
        <f>IFERROR(__xludf.DUMMYFUNCTION("GOOGLETRANSLATE(B104, ""en"", ""pt-br"")"),"ভালই কাজ করছে, পয়সা উসুল।।, exatamente o que eu queria. Funciona perfeita, ótima 👍, boa, funciona bem com minha Samsung Smart TV., Funciona perfeitamente, não OEM. Mas funciona como esperado., É uma boa compra funciona")</f>
        <v>ভালই কাজ করছে, পয়সা উসুল।।, exatamente o que eu queria. Funciona perfeita, ótima 👍, boa, funciona bem com minha Samsung Smart TV., Funciona perfeitamente, não OEM. Mas funciona como esperado., É uma boa compra funciona</v>
      </c>
      <c r="E104" s="29" t="str">
        <f>IFERROR(__xludf.DUMMYFUNCTION("GOOGLETRANSLATE(C104, ""en"", ""pt-br"")"),"এই রেপ্লিকা রিমোট সেট টা কাজ করছে।। স্যামসাং এলইডি 4 সিরিজের টিভি।।, comprei a Formy Samsung E4000 Series LED TV LED. Os trabalhos remotos. Eu o uso principalmente para controlar o volume e a fonte e faz seu trabalho. Estou feliz com isso. Primeiro, eles "&amp;"entregaram um controle remoto que não funcionou e depois recebi um substituto que funciona conforme o esperado. Obrigado!, Ótimo 👍, é uma réplica do meu antigo remoto da Samsung. Eu o usei há um mês e nenhum problema. Bom produto., Funciona bem com minha"&amp;" TV inteligente Samsung. Até agora, não há problemas, tudo o que o controle remoto original faz., Não é um produto genuíno. Parece quebradiço e um pouco duro nas bordas. Mais leve que o controle remoto original provavelmente devido à pior qualidade do plá"&amp;"stico. Mas para o meu uso, tudo bem, pois não há crianças para danificá -lo. Eu mal uso 2-4 botões em todo o controle remoto (interruptor de origem para HDMI para Chromecast, botões de volume, reprodução e pausa)., Funciona mesmo com a TV 3D Samsung de 40"&amp;" polegadas mais antiga com o Smart Remote One.")</f>
        <v>এই রেপ্লিকা রিমোট সেট টা কাজ করছে।। স্যামসাং এলইডি 4 সিরিজের টিভি।।, comprei a Formy Samsung E4000 Series LED TV LED. Os trabalhos remotos. Eu o uso principalmente para controlar o volume e a fonte e faz seu trabalho. Estou feliz com isso. Primeiro, eles entregaram um controle remoto que não funcionou e depois recebi um substituto que funciona conforme o esperado. Obrigado!, Ótimo 👍, é uma réplica do meu antigo remoto da Samsung. Eu o usei há um mês e nenhum problema. Bom produto., Funciona bem com minha TV inteligente Samsung. Até agora, não há problemas, tudo o que o controle remoto original faz., Não é um produto genuíno. Parece quebradiço e um pouco duro nas bordas. Mais leve que o controle remoto original provavelmente devido à pior qualidade do plástico. Mas para o meu uso, tudo bem, pois não há crianças para danificá -lo. Eu mal uso 2-4 botões em todo o controle remoto (interruptor de origem para HDMI para Chromecast, botões de volume, reprodução e pausa)., Funciona mesmo com a TV 3D Samsung de 40 polegadas mais antiga com o Smart Remote One.</v>
      </c>
    </row>
    <row r="105">
      <c r="A105" s="9" t="s">
        <v>449</v>
      </c>
      <c r="B105" s="29" t="str">
        <f>VLOOKUP(dados!A105, reviews!A:G, 5, FALSE)</f>
        <v>It is the best tv if you are getting it in 10-12k,Good price but the OS lags,GARBAGE QUALITY,Good product.,Good quality,Great experience everything is fantastic 🤠,Super picture quality and sound quality,Awesome</v>
      </c>
      <c r="C105" s="29" t="str">
        <f>VLOOKUP(dados!A105, reviews!A:G, 6, FALSE)</f>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v>
      </c>
      <c r="D105" s="29" t="str">
        <f>IFERROR(__xludf.DUMMYFUNCTION("GOOGLETRANSLATE(B105, ""en"", ""pt-br"")"),"É a melhor TV se você estiver obtendo em 10-12k, bom preço, mas o sistema operacional fica, qualidade de lixo, bom produto., Boa qualidade, ótima experiência, tudo é fantástico 🤠, qualidade de super imagem e qualidade de som, incrível")</f>
        <v>É a melhor TV se você estiver obtendo em 10-12k, bom preço, mas o sistema operacional fica, qualidade de lixo, bom produto., Boa qualidade, ótima experiência, tudo é fantástico 🤠, qualidade de super imagem e qualidade de som, incrível</v>
      </c>
      <c r="E105" s="29" t="str">
        <f>IFERROR(__xludf.DUMMYFUNCTION("GOOGLETRANSLATE(C105, ""en"", ""pt-br"")"),"Pros- xiomi 5a é o melhor em um orçamento de qualidade de qualidade- muito boa saída de áudio- cheia de featureCons- às vezes os atrasos da TV- às vezes prendendo esse alcance de prêmio, todas as TVs com contras. é bom, mas como está sendo executado no An"&amp;"droid 12, ele fica. Espero que, após algumas atualizações, o problema dos lags seja resolvido, produtos inúteis e qualidade inútil. Exibir problemas dentro de 7 meses e o centro de serviço não está atualizado. Vá para melhores marcas onde a qualidade é ga"&amp;"rantida. Eu gostaria que se houvesse opção de estrelas negativas., Usar como conecta a TV, a imagem é muito boa. Eu estava pulando um melhor nível de música. Globaly é um bom produto., Https: //m.media-amazon.com/images/w/webp_402378-t2/images/i/61spxdboj"&amp;"zl._sy88.jpg,Greater Então, sempre, boa qualidade, boa 👍 👍 👍")</f>
        <v>Pros- xiomi 5a é o melhor em um orçamento de qualidade de qualidade- muito boa saída de áudio- cheia de featureCons- às vezes os atrasos da TV- às vezes prendendo esse alcance de prêmio, todas as TVs com contras. é bom, mas como está sendo executado no Android 12, ele fica. Espero que, após algumas atualizações, o problema dos lags seja resolvido, produtos inúteis e qualidade inútil. Exibir problemas dentro de 7 meses e o centro de serviço não está atualizado. Vá para melhores marcas onde a qualidade é garantida. Eu gostaria que se houvesse opção de estrelas negativas., Usar como conecta a TV, a imagem é muito boa. Eu estava pulando um melhor nível de música. Globaly é um bom produto., Https: //m.media-amazon.com/images/w/webp_402378-t2/images/i/61spxdbojzl._sy88.jpg,Greater Então, sempre, boa qualidade, boa 👍 👍 👍</v>
      </c>
    </row>
    <row r="106">
      <c r="A106" s="9" t="s">
        <v>453</v>
      </c>
      <c r="B106" s="29" t="str">
        <f>VLOOKUP(dados!A106, reviews!A:G, 5, FALSE)</f>
        <v>Good product,Is worth the money you are paying for it,Good quality cable,Go for it!,Nice product☑️,Good buy,You can trust Wayona,Quality product  , Life of product is good  .</v>
      </c>
      <c r="C106" s="29" t="str">
        <f>VLOOKUP(dados!A106, reviews!A:G, 6, FALSE)</f>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product☑️,Good and convenient product for those who don’t want long dangling wires from their power banks😊,I bought a Wayona One Plus cable and then this cable a few years later, never faced an issue. Recommended it to my friends as well, no one faced an issue with Wayona products thus far. Worth it.,Quality product  , Life of product is good  .</v>
      </c>
      <c r="D106" s="29" t="str">
        <f>IFERROR(__xludf.DUMMYFUNCTION("GOOGLETRANSLATE(B106, ""en"", ""pt-br"")"),"Bom produto, vale o dinheiro que você está pagando por ele, cabo de boa qualidade, vá em frente!, Bom produto☑️, boa compra, você pode confiar em Wayona, produto de qualidade, a vida do produto é boa.")</f>
        <v>Bom produto, vale o dinheiro que você está pagando por ele, cabo de boa qualidade, vá em frente!, Bom produto☑️, boa compra, você pode confiar em Wayona, produto de qualidade, a vida do produto é boa.</v>
      </c>
      <c r="E106" s="29" t="str">
        <f>IFERROR(__xludf.DUMMYFUNCTION("GOOGLETRANSLATE(C106, ""en"", ""pt-br"")"),"Gosto do produto e o usei para o meu iPhone, o produto foi entregue rapidamente. Certamente funciona pelo preço que você paga por isso. Faz um bom trabalho de cobrar os iPhones sem atrasos. Eu vou recomendar. De fato, também comprou alguns outros produtos"&amp;" depois de pegar esse cabo., Sua qualidade de construção é excelente e cobra o telefone rapidamente, apesar de ser um cabo longo, o que é uma boa característica., Bom produto para uso bruto. Eu uso isso no meu carro desde o primeiro dia e ele levou todo o"&amp;" intemperismo. Bom produto, zero aborrecimentos, queixa zero. Vá em frente!, Produto agradável, produto bom e conveniente para quem não deseja fios longos e pendurados de seus bancos de energia😊, comprei um cabo Wayona Plus e, em seguida, esse cabo algun"&amp;"s anos depois, nunca enfrentou um problema. Recomendou isso aos meus amigos também, ninguém enfrentou um problema com os produtos Wayona até agora. Vale a pena., Produto de qualidade, a vida do produto é boa.")</f>
        <v>Gosto do produto e o usei para o meu iPhone, o produto foi entregue rapidamente. Certamente funciona pelo preço que você paga por isso. Faz um bom trabalho de cobrar os iPhones sem atrasos. Eu vou recomendar. De fato, também comprou alguns outros produtos depois de pegar esse cabo., Sua qualidade de construção é excelente e cobra o telefone rapidamente, apesar de ser um cabo longo, o que é uma boa característica., Bom produto para uso bruto. Eu uso isso no meu carro desde o primeiro dia e ele levou todo o intemperismo. Bom produto, zero aborrecimentos, queixa zero. Vá em frente!, Produto agradável, produto bom e conveniente para quem não deseja fios longos e pendurados de seus bancos de energia😊, comprei um cabo Wayona Plus e, em seguida, esse cabo alguns anos depois, nunca enfrentou um problema. Recomendou isso aos meus amigos também, ninguém enfrentou um problema com os produtos Wayona até agora. Vale a pena., Produto de qualidade, a vida do produto é boa.</v>
      </c>
    </row>
    <row r="107">
      <c r="A107" s="9" t="s">
        <v>457</v>
      </c>
      <c r="B107" s="29" t="str">
        <f>VLOOKUP(dados!A107, reviews!A:G, 5, FALSE)</f>
        <v>Good material, fast charging,Costly but good product,Support type c super fast charging,Good quality,Sturdy cable &amp; has decent charging capabilities.,Good buy.,Gud product.,Very good product</v>
      </c>
      <c r="C107" s="29" t="str">
        <f>VLOOKUP(dados!A107, reviews!A:G, 6, FALSE)</f>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v>
      </c>
      <c r="D107" s="29" t="str">
        <f>IFERROR(__xludf.DUMMYFUNCTION("GOOGLETRANSLATE(B107, ""en"", ""pt-br"")"),"Bom material, carregamento rápido, produto caro, mas bom, suporte super C, de boa qualidade, cabo de boa qualidade e recursos de carregamento decente., Boa compra., Produto Gud.")</f>
        <v>Bom material, carregamento rápido, produto caro, mas bom, suporte super C, de boa qualidade, cabo de boa qualidade e recursos de carregamento decente., Boa compra., Produto Gud.</v>
      </c>
      <c r="E107" s="29" t="str">
        <f>IFERROR(__xludf.DUMMYFUNCTION("GOOGLETRANSLATE(C107, ""en"", ""pt-br"")"),"OS Material OS muito bom, inicialmente cobra muito rápido, mas após 7 meses viu uma diferença na velocidade, entrei em contato com o vendedor para garantir, dentro de 1 dia eles me entregaram um novo sem nenhum custo. Seja um pouco macio ... é muito difíc"&amp;"il de dobrá -lo, o produto é bom, mas eu preciso de substituição o mais rápido possível. Porque parou de funcionar., O cabo é fisicamente resiliente e parece bom também. O cabo parou de funcionar em 7 meses - contatou o suporte ao cliente e garantiu uma s"&amp;"ubstituição em breve. Em suma, uma reivindicação de garantia sem complicações.")</f>
        <v>OS Material OS muito bom, inicialmente cobra muito rápido, mas após 7 meses viu uma diferença na velocidade, entrei em contato com o vendedor para garantir, dentro de 1 dia eles me entregaram um novo sem nenhum custo. Seja um pouco macio ... é muito difícil de dobrá -lo, o produto é bom, mas eu preciso de substituição o mais rápido possível. Porque parou de funcionar., O cabo é fisicamente resiliente e parece bom também. O cabo parou de funcionar em 7 meses - contatou o suporte ao cliente e garantiu uma substituição em breve. Em suma, uma reivindicação de garantia sem complicações.</v>
      </c>
    </row>
    <row r="108">
      <c r="A108" s="9" t="s">
        <v>461</v>
      </c>
      <c r="B108" s="29" t="str">
        <f>VLOOKUP(dados!A108, reviews!A:G, 5, FALSE)</f>
        <v>Satisfied,Charging is really fast,Value for money,Product review,Good quality,Good product,Good Product,As of now seems good</v>
      </c>
      <c r="C108" s="29" t="str">
        <f>VLOOKUP(dados!A108, reviews!A:G, 6, FALSE)</f>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v>
      </c>
      <c r="D108" s="29" t="str">
        <f>IFERROR(__xludf.DUMMYFUNCTION("GOOGLETRANSLATE(B108, ""en"", ""pt-br"")"),"Satisfeito, cobrar é muito rápido, valor ao dinheiro, revisão de produtos, boa qualidade, bom produto, bom produto, a partir de agora parece bom")</f>
        <v>Satisfeito, cobrar é muito rápido, valor ao dinheiro, revisão de produtos, boa qualidade, bom produto, bom produto, a partir de agora parece bom</v>
      </c>
      <c r="E108" s="29" t="str">
        <f>IFERROR(__xludf.DUMMYFUNCTION("GOOGLETRANSLATE(C108, ""en"", ""pt-br"")"),"Parece que o carregamento durável é bom que reclama, o carregamento é muito rápido, bom produto., Até agora, satisfeito com a qualidade., Este é um bom produto. A velocidade de carregamento é mais lenta que o cabo original do iPhone, de boa qualidade, rec"&amp;"omendaria https: //m.media-amazon.com/images/w/webp_402378-t1/images/i/81---f1zghl._sy88.jpg , O produto funcionou bem até a data e não estava tendo nenhum problema. A CABLE também é robusta o suficiente ... pediu substituição e a empresa está fazendo o m"&amp;"esmo ..., valor ao dinheiro")</f>
        <v>Parece que o carregamento durável é bom que reclama, o carregamento é muito rápido, bom produto., Até agora, satisfeito com a qualidade., Este é um bom produto. A velocidade de carregamento é mais lenta que o cabo original do iPhone, de boa qualidade, recomendaria https: //m.media-amazon.com/images/w/webp_402378-t1/images/i/81---f1zghl._sy88.jpg , O produto funcionou bem até a data e não estava tendo nenhum problema. A CABLE também é robusta o suficiente ... pediu substituição e a empresa está fazendo o mesmo ..., valor ao dinheiro</v>
      </c>
    </row>
    <row r="109">
      <c r="A109" s="9" t="s">
        <v>465</v>
      </c>
      <c r="B109" s="29" t="str">
        <f>VLOOKUP(dados!A109, reviews!A:G, 5, FALSE)</f>
        <v>No reasons to complain,Value for money,Nice,Works,Value for money,Go For It,Nice,It's fast charging good quality priduct</v>
      </c>
      <c r="C109" s="29" t="str">
        <f>VLOOKUP(dados!A109, reviews!A:G, 6, FALSE)</f>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v>
      </c>
      <c r="D109" s="29" t="str">
        <f>IFERROR(__xludf.DUMMYFUNCTION("GOOGLETRANSLATE(B109, ""en"", ""pt-br"")"),"Não há razões para reclamar, valor ao dinheiro, bom, obras, valor ao dinheiro, vá em frente, bom, é um priduto de boa qualidade para cobrar boa qualidade")</f>
        <v>Não há razões para reclamar, valor ao dinheiro, bom, obras, valor ao dinheiro, vá em frente, bom, é um priduto de boa qualidade para cobrar boa qualidade</v>
      </c>
      <c r="E109" s="29" t="str">
        <f>IFERROR(__xludf.DUMMYFUNCTION("GOOGLETRANSLATE(C109, ""en"", ""pt-br"")"),"Comprei o cabo original por ~ 1k e ele parou de funcionar depois de alguns meses. Este é uma fração de custo e está funcionando bem!, Bom produto para um dispositivo mais 6. Suporta carregamento rápido, tempo de carregamento idêntico ao cabo original. Dur"&amp;"abilidade ligeiramente baixa do que o original, pois o cabo é menos flexível. Funciona perfeita com a unidade de carregador móvel de bicicleta/carro também. Trabalhando no modo de carregamento de embrulho. O valor pelo dinheiro nessa faixa de preço e a qu"&amp;"alidade também é bom. Vá em frente, sem dúvida, por mais. Experimente você não se arrependeria., Parece resistente. O tempo dirá se é bom. Revisará após 6 meses, o carregamento rápido é a melhor parte que o valor")</f>
        <v>Comprei o cabo original por ~ 1k e ele parou de funcionar depois de alguns meses. Este é uma fração de custo e está funcionando bem!, Bom produto para um dispositivo mais 6. Suporta carregamento rápido, tempo de carregamento idêntico ao cabo original. Durabilidade ligeiramente baixa do que o original, pois o cabo é menos flexível. Funciona perfeita com a unidade de carregador móvel de bicicleta/carro também. Trabalhando no modo de carregamento de embrulho. O valor pelo dinheiro nessa faixa de preço e a qualidade também é bom. Vá em frente, sem dúvida, por mais. Experimente você não se arrependeria., Parece resistente. O tempo dirá se é bom. Revisará após 6 meses, o carregamento rápido é a melhor parte que o valor</v>
      </c>
    </row>
    <row r="110">
      <c r="A110" s="9" t="s">
        <v>469</v>
      </c>
      <c r="B110" s="29" t="str">
        <f>VLOOKUP(dados!A110, reviews!A:G, 5, FALSE)</f>
        <v>Good TV for the price. (But my experience was not perfect),Good but not best  @!@,Decent tv for the price but misses on basic smart features,Perfect one in our budget. Speedy and customer friendly approach from vu</v>
      </c>
      <c r="C110" s="29" t="str">
        <f>VLOOKUP(dados!A110, reviews!A:G, 6, FALSE)</f>
        <v>,Screen quality is good.It's been a month I bought it still working fine.Two main negatives are1• It doesn't have default option to directly start on tata sky tv, we have to select hdmi option from input menu to select tata sky which one is plugged in.2•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v>
      </c>
      <c r="D110" s="29" t="str">
        <f>IFERROR(__xludf.DUMMYFUNCTION("GOOGLETRANSLATE(B110, ""en"", ""pt-br"")"),"Boa TV pelo preço. (Mas minha experiência não foi perfeita), boa, mas não é a melhor @! @, TV decente pelo preço, mas perde os recursos inteligentes básicos, perfeitos em nosso orçamento. Abordagem rápida e amigável ao cliente da VU")</f>
        <v>Boa TV pelo preço. (Mas minha experiência não foi perfeita), boa, mas não é a melhor @! @, TV decente pelo preço, mas perde os recursos inteligentes básicos, perfeitos em nosso orçamento. Abordagem rápida e amigável ao cliente da VU</v>
      </c>
      <c r="E110" s="29" t="str">
        <f>IFERROR(__xludf.DUMMYFUNCTION("GOOGLETRANSLATE(C110, ""en"", ""pt-br"")"),", A qualidade da tela é boa. Faz um mês que eu o comprei ainda funcionando bem. Dois principais negativos são 1 • Não possui opção padrão para iniciar diretamente na TAT TATS, temos que selecionar a opção HDMI no menu de entrada para selecionar Tata Sky q"&amp;"ual está conectado. Tudo bem com ele ótimos gráficos.Clusão: se alguém pedir a mim se pode comprá -lo ou não uma resposta de mina será, nem sim nem. Assim como eu) então vá em frente. Definitivamente não !!., Eu sempre compro e recomendo a Samsung Sony ou"&amp;" LG para a TV. Mas, tive um orçamento difícil desta vez e escolhi a VU porque meus amigos o usam há pelo menos 4-5 anos sem muitos problemas. Enquanto a entrega e a instalação foram excelentes, e a TV em geral é um pacote decente que dá bom Clareza do que"&amp;" as TVs e o som chinês rivais, os recursos inteligentes são ruins aqui. Você pode conectar fones de ouvido Bluetooth, mas não há opção de desconectá -los. Eu tive que emparelhar e desparasta sempre. Não há botão de comando de voz no controle remoto. Mesmo"&amp;" usando o botão de tela para entrada de voz, nada é reconhecido. Meu reconhecimento de voz de 3k Fire Stick foi muito bom. Comprei a TV Vu Gloled 55 polegadas após sugestão de meus amigos técnicos e estudo on -line. O técnico da Amazon veio à minha casa p"&amp;"ara instalação no modo bêbado. Mas me comprometi com ele devido à agenda de trabalho lotada. Ele instalou a TV com seus pequenos parafusos em vez de parafusos de parede padrão da VU. Ele fez o que quiser. A instalação adequada não foi realizada. Apenas me"&amp;" acalmei e depois dei uma queixa aos serviços ao cliente da Amazon e da VU. A Amazon não foi respondida adequadamente até agora. Mas do lado da VU, recebi uma grande resposta da solução de problemas. Os executivos de Min 3 a 4 Customercare falaram comigo,"&amp;" finalmente o vice -presidente da VU Prashanth me telefonou e pediu desculpas por inconvenientes. Ele disse ao técnico bêbado não é da VU. Eu me sinto bem para os executivos de nível superior da VU têm interação comigo. De baixo para o nível superior, a e"&amp;"quipe VUS em contato comigo por um mês para resolver meu problema devido a ficar longe de casa. Antes de alguns dias atrás, o técnico chegou à minha casa novamente de Vu. Ele reinstalou minha TV em posição perfeita com dedicação. Eu nunca espero tanto com"&amp;"portamento amigável ao cliente da VU, muito obrigado Vu. Parabéns à equipe da VU ...")</f>
        <v>, A qualidade da tela é boa. Faz um mês que eu o comprei ainda funcionando bem. Dois principais negativos são 1 • Não possui opção padrão para iniciar diretamente na TAT TATS, temos que selecionar a opção HDMI no menu de entrada para selecionar Tata Sky qual está conectado. Tudo bem com ele ótimos gráficos.Clusão: se alguém pedir a mim se pode comprá -lo ou não uma resposta de mina será, nem sim nem. Assim como eu) então vá em frente. Definitivamente não !!., Eu sempre compro e recomendo a Samsung Sony ou LG para a TV. Mas, tive um orçamento difícil desta vez e escolhi a VU porque meus amigos o usam há pelo menos 4-5 anos sem muitos problemas. Enquanto a entrega e a instalação foram excelentes, e a TV em geral é um pacote decente que dá bom Clareza do que as TVs e o som chinês rivais, os recursos inteligentes são ruins aqui. Você pode conectar fones de ouvido Bluetooth, mas não há opção de desconectá -los. Eu tive que emparelhar e desparasta sempre. Não há botão de comando de voz no controle remoto. Mesmo usando o botão de tela para entrada de voz, nada é reconhecido. Meu reconhecimento de voz de 3k Fire Stick foi muito bom. Comprei a TV Vu Gloled 55 polegadas após sugestão de meus amigos técnicos e estudo on -line. O técnico da Amazon veio à minha casa para instalação no modo bêbado. Mas me comprometi com ele devido à agenda de trabalho lotada. Ele instalou a TV com seus pequenos parafusos em vez de parafusos de parede padrão da VU. Ele fez o que quiser. A instalação adequada não foi realizada. Apenas me acalmei e depois dei uma queixa aos serviços ao cliente da Amazon e da VU. A Amazon não foi respondida adequadamente até agora. Mas do lado da VU, recebi uma grande resposta da solução de problemas. Os executivos de Min 3 a 4 Customercare falaram comigo, finalmente o vice -presidente da VU Prashanth me telefonou e pediu desculpas por inconvenientes. Ele disse ao técnico bêbado não é da VU. Eu me sinto bem para os executivos de nível superior da VU têm interação comigo. De baixo para o nível superior, a equipe VUS em contato comigo por um mês para resolver meu problema devido a ficar longe de casa. Antes de alguns dias atrás, o técnico chegou à minha casa novamente de Vu. Ele reinstalou minha TV em posição perfeita com dedicação. Eu nunca espero tanto comportamento amigável ao cliente da VU, muito obrigado Vu. Parabéns à equipe da VU ...</v>
      </c>
    </row>
    <row r="111">
      <c r="A111" s="9" t="s">
        <v>473</v>
      </c>
      <c r="B111" s="29" t="str">
        <f>VLOOKUP(dados!A111, reviews!A:G, 5, FALSE)</f>
        <v>It's pretty good,Average quality,very good and useful usb cable,Good USB cable. My experience was very good it is long lasting,Good,Nice product and useful,-,Sturdy but does not support 33w charging</v>
      </c>
      <c r="C111" s="29" t="str">
        <f>VLOOKUP(dados!A111, reviews!A:G, 6, FALSE)</f>
        <v>It's a good product.,Like,Very good item strong and useful USB cableValue for moneyThanks to amazon and producer,https://m.media-amazon.com/images/W/WEBP_402378-T2/images/I/51112ZRE-1L._SY88.jpg,Good,Nice product and useful product,-,Sturdy but does not support 33w charging</v>
      </c>
      <c r="D111" s="29" t="str">
        <f>IFERROR(__xludf.DUMMYFUNCTION("GOOGLETRANSLATE(B111, ""en"", ""pt-br"")"),"É muito bom, qualidade média, cabo USB muito bom e útil, bom cabo USB. Minha experiência foi muito boa, é duradouro, bom, bom produto e útil,-, resistente, mas não suporta carregamento de 33w")</f>
        <v>É muito bom, qualidade média, cabo USB muito bom e útil, bom cabo USB. Minha experiência foi muito boa, é duradouro, bom, bom produto e útil,-, resistente, mas não suporta carregamento de 33w</v>
      </c>
      <c r="E111" s="29" t="str">
        <f>IFERROR(__xludf.DUMMYFUNCTION("GOOGLETRANSLATE(C111, ""en"", ""pt-br"")"),"É um bom produto., Tipo, um item muito bom forte e útil USB CableValue for Moneythanks para a Amazon e produtor, https: //m.media-amazon.com/images/w/webp_402378-t2/images/i/51112zre-1l ._Sy88.jpg, bom, bom produto e produto útil,-, robusto, mas não supor"&amp;"ta carregamento de 33w")</f>
        <v>É um bom produto., Tipo, um item muito bom forte e útil USB CableValue for Moneythanks para a Amazon e produtor, https: //m.media-amazon.com/images/w/webp_402378-t2/images/i/51112zre-1l ._Sy88.jpg, bom, bom produto e produto útil,-, robusto, mas não suporta carregamento de 33w</v>
      </c>
    </row>
    <row r="112">
      <c r="A112" s="9" t="s">
        <v>477</v>
      </c>
      <c r="B112" s="29" t="str">
        <f>VLOOKUP(dados!A112, reviews!A:G, 5, FALSE)</f>
        <v>Good.,Low price &amp; value for money,Value for money,As per price ,product is excellent 👌,The product is great but you might get scammed on Amazon,Very good 👍,Nice tv,Budget free</v>
      </c>
      <c r="C112" s="29" t="str">
        <f>VLOOKUP(dados!A112, reviews!A:G, 6, FALSE)</f>
        <v>Middle class family ke liye kafi achha he, ameer log kripya doori banaye rakhen, or galat review dene se bachen.😹😹😹,Sound quality is good 😊😊,Tv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v>
      </c>
      <c r="D112" s="29" t="str">
        <f>IFERROR(__xludf.DUMMYFUNCTION("GOOGLETRANSLATE(B112, ""en"", ""pt-br"")"),"Bom., Preço baixo e valor pelo dinheiro, valor ao dinheiro, conforme preço, produto é excelente 👌, o produto é ótimo, mas você pode ser enganado na Amazon, muito bom 👍, bom TV, orçamento grátis")</f>
        <v>Bom., Preço baixo e valor pelo dinheiro, valor ao dinheiro, conforme preço, produto é excelente 👌, o produto é ótimo, mas você pode ser enganado na Amazon, muito bom 👍, bom TV, orçamento grátis</v>
      </c>
      <c r="E112" s="29" t="str">
        <f>IFERROR(__xludf.DUMMYFUNCTION("GOOGLETRANSLATE(C112, ""en"", ""pt-br"")"),"Família de classe média ke liye kafi achha ele, log da Ameer Lripya Doori Banaye Rakhen, ou Galat Review Dene Se Bachen.😹😹😹, a qualidade do som é boa 😊😊, a TV é boa, mas o Croma não está presente em algumas cidades e lá o serviço é pingelelse É bom e"&amp;" valor ao dinheiro, a qualidade do som pode ser melhor, antes de comprar qualquer produto da Amazon, você definitivamente deve comprar produtos na EMI, pois definitivamente será enganado por eles sob o nome fofo do EMI grátis. A Amazon está trapaceando to"&amp;"talmente usando a palavra livre em seus manuais para atrair clientes. A TV que comprei é ótima., Qualidade da imagem é boa, mas o som pode ser mais claro e agradável qualidade de imagem, às vezes as linhas vêm na tela. Ainda não sabia qual é o problema. C"&amp;"aso contrário, tudo está bem. Orçamento grátis. Feliz pelo produto.")</f>
        <v>Família de classe média ke liye kafi achha ele, log da Ameer Lripya Doori Banaye Rakhen, ou Galat Review Dene Se Bachen.😹😹😹, a qualidade do som é boa 😊😊, a TV é boa, mas o Croma não está presente em algumas cidades e lá o serviço é pingelelse É bom e valor ao dinheiro, a qualidade do som pode ser melhor, antes de comprar qualquer produto da Amazon, você definitivamente deve comprar produtos na EMI, pois definitivamente será enganado por eles sob o nome fofo do EMI grátis. A Amazon está trapaceando totalmente usando a palavra livre em seus manuais para atrair clientes. A TV que comprei é ótima., Qualidade da imagem é boa, mas o som pode ser mais claro e agradável qualidade de imagem, às vezes as linhas vêm na tela. Ainda não sabia qual é o problema. Caso contrário, tudo está bem. Orçamento grátis. Feliz pelo produto.</v>
      </c>
    </row>
    <row r="113">
      <c r="A113" s="9" t="s">
        <v>481</v>
      </c>
      <c r="B113" s="29" t="str">
        <f>VLOOKUP(dados!A113, reviews!A:G, 5, FALSE)</f>
        <v>Just buy it dont even 2nd guess it,Quality is good,Nylon braided quiet sturdy,Amazing,Feels like steel harnessed wire - strong,Sturdy and durable. Useful for charging Power Banks,good,Nice quality</v>
      </c>
      <c r="C113" s="29" t="str">
        <f>VLOOKUP(dados!A113, reviews!A:G, 6, FALSE)</f>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v>
      </c>
      <c r="D113" s="29" t="str">
        <f>IFERROR(__xludf.DUMMYFUNCTION("GOOGLETRANSLATE(B113, ""en"", ""pt-br"")"),"Basta comprar, nem o segundo adivinhe, a qualidade é boa, nylon trançado silencioso robusto, incrível, parece um fio de aço - forte, forte e durável. Útil para cobrar bancos de energia, boa, boa qualidade")</f>
        <v>Basta comprar, nem o segundo adivinhe, a qualidade é boa, nylon trançado silencioso robusto, incrível, parece um fio de aço - forte, forte e durável. Útil para cobrar bancos de energia, boa, boa qualidade</v>
      </c>
      <c r="E113" s="29" t="str">
        <f>IFERROR(__xludf.DUMMYFUNCTION("GOOGLETRANSLATE(C113, ""en"", ""pt-br"")"),"Um cabo incrível por 300 dólares, ok de carregamento. Parece muito resistente e durável., Charagem rápida de até 25watts 2m de comprimento e realmente durável. Procurei como a 4ª vez passou por meus cabos mais antigos para os membros da família ainda em e"&amp;"stado de trabalho. Comprei em 2019 e quase os últimos três anos Publique um uso pesado ... vou comprar de novo! Cabo de carregamento USB C de boa qualidade, de boa qualidade, que permite o carregamento rápido para os telefones Samsung M21, bem como M33 5G"&amp;" 24 W, buscando telefones. Comprimento do cabo de 2 metros útil para manter o telefone na mesa enquanto carrega o adaptador conectado à saída elétrica. Melhor valor. Custos de 2 m semelhantes custam 3x ou 4x no mercado de varejo. Este é o melhor preço, ót"&amp;"imo produto. Quer isso, pois minha bateria portátil possui slot USB e iPad e Kindle Reader possui portas USB-C. Se encaixa perfeitamente na minha necessidade. Cobra muito rápido., Bom, muito bom no geral")</f>
        <v>Um cabo incrível por 300 dólares, ok de carregamento. Parece muito resistente e durável., Charagem rápida de até 25watts 2m de comprimento e realmente durável. Procurei como a 4ª vez passou por meus cabos mais antigos para os membros da família ainda em estado de trabalho. Comprei em 2019 e quase os últimos três anos Publique um uso pesado ... vou comprar de novo! Cabo de carregamento USB C de boa qualidade, de boa qualidade, que permite o carregamento rápido para os telefones Samsung M21, bem como M33 5G 24 W, buscando telefones. Comprimento do cabo de 2 metros útil para manter o telefone na mesa enquanto carrega o adaptador conectado à saída elétrica. Melhor valor. Custos de 2 m semelhantes custam 3x ou 4x no mercado de varejo. Este é o melhor preço, ótimo produto. Quer isso, pois minha bateria portátil possui slot USB e iPad e Kindle Reader possui portas USB-C. Se encaixa perfeitamente na minha necessidade. Cobra muito rápido., Bom, muito bom no geral</v>
      </c>
    </row>
    <row r="114">
      <c r="A114" s="9" t="s">
        <v>485</v>
      </c>
      <c r="B114" s="29" t="str">
        <f>VLOOKUP(dados!A114, reviews!A:G, 5, FALSE)</f>
        <v>Good tv and features in this budget.,Genuine products,Offers a lot of functionality for 32 inch,Best Buy under Rs. 16000/-,A perfect TV for your room,Super 👌 👍,Nice,It's amazing with this price 15.5K.</v>
      </c>
      <c r="C114" s="29" t="str">
        <f>VLOOKUP(dados!A114, reviews!A:G, 6, FALSE)</f>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v>
      </c>
      <c r="D114" s="29" t="str">
        <f>IFERROR(__xludf.DUMMYFUNCTION("GOOGLETRANSLATE(B114, ""en"", ""pt-br"")"),"Boas TV e recursos neste orçamento., Produtos genuínos, oferece muita funcionalidade por 32 polegadas, Best Buy Under Rs. 16000/-, uma TV perfeita para o seu quarto, super 👌 👍, legal, é incrível com este preço 15,5k.")</f>
        <v>Boas TV e recursos neste orçamento., Produtos genuínos, oferece muita funcionalidade por 32 polegadas, Best Buy Under Rs. 16000/-, uma TV perfeita para o seu quarto, super 👌 👍, legal, é incrível com este preço 15,5k.</v>
      </c>
      <c r="E114" s="29" t="str">
        <f>IFERROR(__xludf.DUMMYFUNCTION("GOOGLETRANSLATE(C114, ""en"", ""pt-br"")"),"Entregue no tempo. O pacote estava em boas condições, obrigado Amazon. Foi instalado dentro de um dia. Escrever esta resenha depois de usar a TV por mais de uma semana. A qualidade da imagem é boa. O som pode ser melhor. Dosnt 'significa que é ruim. conec"&amp;"tividade é boa. Não há problemas com software ou hardware até agora. Além disso, um bom produto neste orçamento. Mais uma vez, obrigado Amazon e LG., Esta é uma boa TV inteligente, eu queria exibir o meu PS4. Eu estava pensando entre um monitor e TV. Como"&amp;" não há necessidade de exibir com alta resolução, optei por esta TV. Eu uso esta TV há 3 meses. Abaixo estão minhas observações ao usar esta TV como uma TV secundária ou TV.Pros: 1. Esta TV vem com o software da TV OLED maior do significado LG, até certo "&amp;"ponto melhor. Como estou usando principalmente como uma TV para jogos, adoro o modo de jogo. Você pode realmente ver a diferença quando brinca com e sem o modo de jogo. PIC e as respostas são modificadas e mais rápidas com o modo de jogo ativo. Você pode "&amp;"conectar o fone de ouvido Bluetooth à TV. Ótimo ao assistir filmes como uma opção secundária. O serviço LG é o melhor !!! Provavelmente, no dia seguinte, instale a TV (montagem na parede) gratuitamente - muito rápida e limpa.CONS: 1. Sem fone de ouvido na"&amp;" TV2. Você pode conectar um fones de ouvido Bluetooth à TV. No entanto, para os jogadores, o modo de jogo é desativado quando a saída de som da TV é através de fones de ouvido. No entanto, há uma contorna para isso., É um bom produto da LG na faixa de 15k"&amp;".Pros: 1. Suporte Bluetooth para o meu fone de ouvido sem fio2. A saída de áudio é suficiente para o tamanho da sala de 12 × 12.3. A instalação de montagem na parede é livre de custo da LG.4. O Smart Remote nesse intervalo é realmente apreciável da LG. Do"&amp;"ubt Samsung Fornece Smart Remote isso nesse intervalo. A qualidade da imagem é decente. ,,, Adoro o produto LG e feliz em comprar este produto com 15,5k. É uma TV inteligente muito boa, com recursos incríveis, consistem em bom processador, remoto intelige"&amp;"nte, boa tela LCD e qualidade de som também é boa. Recompensado para comprar.")</f>
        <v>Entregue no tempo. O pacote estava em boas condições, obrigado Amazon. Foi instalado dentro de um dia. Escrever esta resenha depois de usar a TV por mais de uma semana. A qualidade da imagem é boa. O som pode ser melhor. Dosnt 'significa que é ruim. conectividade é boa. Não há problemas com software ou hardware até agora. Além disso, um bom produto neste orçamento. Mais uma vez, obrigado Amazon e LG., Esta é uma boa TV inteligente, eu queria exibir o meu PS4. Eu estava pensando entre um monitor e TV. Como não há necessidade de exibir com alta resolução, optei por esta TV. Eu uso esta TV há 3 meses. Abaixo estão minhas observações ao usar esta TV como uma TV secundária ou TV.Pros: 1. Esta TV vem com o software da TV OLED maior do significado LG, até certo ponto melhor. Como estou usando principalmente como uma TV para jogos, adoro o modo de jogo. Você pode realmente ver a diferença quando brinca com e sem o modo de jogo. PIC e as respostas são modificadas e mais rápidas com o modo de jogo ativo. Você pode conectar o fone de ouvido Bluetooth à TV. Ótimo ao assistir filmes como uma opção secundária. O serviço LG é o melhor !!! Provavelmente, no dia seguinte, instale a TV (montagem na parede) gratuitamente - muito rápida e limpa.CONS: 1. Sem fone de ouvido na TV2. Você pode conectar um fones de ouvido Bluetooth à TV. No entanto, para os jogadores, o modo de jogo é desativado quando a saída de som da TV é através de fones de ouvido. No entanto, há uma contorna para isso., É um bom produto da LG na faixa de 15k.Pros: 1. Suporte Bluetooth para o meu fone de ouvido sem fio2. A saída de áudio é suficiente para o tamanho da sala de 12 × 12.3. A instalação de montagem na parede é livre de custo da LG.4. O Smart Remote nesse intervalo é realmente apreciável da LG. Doubt Samsung Fornece Smart Remote isso nesse intervalo. A qualidade da imagem é decente. ,,, Adoro o produto LG e feliz em comprar este produto com 15,5k. É uma TV inteligente muito boa, com recursos incríveis, consistem em bom processador, remoto inteligente, boa tela LCD e qualidade de som também é boa. Recompensado para comprar.</v>
      </c>
    </row>
    <row r="115">
      <c r="A115" s="9" t="s">
        <v>489</v>
      </c>
      <c r="B115" s="29" t="str">
        <f>VLOOKUP(dados!A115, reviews!A:G, 5, FALSE)</f>
        <v>Better..!!,Charging speed is not guaranteed!,Exactly as advertised,Excellent warp charge cable,Nice,Amazing cable,Best fast charging cable,Really a good cable, Recommend</v>
      </c>
      <c r="C115" s="29" t="str">
        <f>VLOOKUP(dados!A115, reviews!A:G, 6, FALSE)</f>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v>
      </c>
      <c r="D115" s="29" t="str">
        <f>IFERROR(__xludf.DUMMYFUNCTION("GOOGLETRANSLATE(B115, ""en"", ""pt-br"")"),"Melhor .. !!, a velocidade de carregamento não é garantida!, Exatamente como anunciado, excelente cabo de carga, bom, cabo incrível, melhor cabo de carregamento rápido, realmente um bom cabo, recomendo")</f>
        <v>Melhor .. !!, a velocidade de carregamento não é garantida!, Exatamente como anunciado, excelente cabo de carga, bom, cabo incrível, melhor cabo de carregamento rápido, realmente um bom cabo, recomendo</v>
      </c>
      <c r="E115" s="29" t="str">
        <f>IFERROR(__xludf.DUMMYFUNCTION("GOOGLETRANSLATE(C115, ""en"", ""pt-br"")"),"Sim, esse suporte a cabo 65W Carregamento rápido testado no meu tijolo de 65W do Realme 7 Pro .. Cable e Pins Qualidade parece boa. Como não consegui encontrar o cabo original para o carregador de 65W do Realme, eu estava procurando por um bom tempo para "&amp;"um bom ...,, A velocidade de carregamento depende do número de fatores e somente em melhores condições ele vai acima de 50 watts e a marca afirma apenas que 65 watts cobrará se você usar o carregador da caixa de entrada da marca. Para mim, pessoalmente, t"&amp;"estei em várias ocasiões usando -o por um mês ou dois nunca recebi velocidade acima de 38 watts e testei com o cabo que recebi da caixa e também me deu a mesma velocidade, então compre com cuidado se você ' As condições são boas e você obtém velocidade ma"&amp;"is tha 50wats do que só você deve comprá -lo ou deve ir com cabos 3a/4a, pois eles são mais baratos e mais duráveis ​​cabos trançados, o cabo suporta carregamento rápido (estou usando um carregador OnePlus 65W ) como anunciado. Se pudesse ter sido redondo"&amp;" e trançado em vez de um cabo de fita plana, isso o tornaria mais durável. Na minha experiência, os cabos trançados são fáceis de embrulhar e armazenar quando não estão em uso e não ficam desgastados facilmente. Meu cabo parou de carregamento rápido após "&amp;"dois meses de uso, mas o suporte à garantia foi excelente, enviei o cabo em um centro próximo e um novo cabo foi enviado em 3 dias. Eu uso cabos de barco há cerca de 6 anos (um cabo de um telefone Moto G4 ainda está comigo e em uso) e vai se ater a eles. "&amp;".It Warp cobra, pois suporta a fonte de alimentação 6A. O cabo é longo e resistente em comparação com o cabo OnePlus típico na caixa. O preço do cabo OnePlus original é 890 MRP, mas eu tenho 400 e não é diferente de outros fios de terceiros. Definitivamen"&amp;"te vale a pena. 👍🏻, melhor no segmento de preços e em emaranhado de material durável Alsi sem 3 anos de garantia, basta comprá -lo, um cabo de carregamento rápido de muito boa qualidade, obtendo um bom carregamento rápido através do laptop também.Flat C"&amp;"able Design o torna mais durável., Eu tenho um OnePlus 7T com carga de 30 watts, meu fio original foi destruído Alguns anos atrás e estava procurando um cabo com 6V-5A para carregamento rápido, eu havia comprado muitos fios, mas o telefone não estava carr"&amp;"egando tão rápido quanto o 5He original. Este fio tem uma boa qualidade de construção e pode fazer 65 watts (6.5a).")</f>
        <v>Sim, esse suporte a cabo 65W Carregamento rápido testado no meu tijolo de 65W do Realme 7 Pro .. Cable e Pins Qualidade parece boa. Como não consegui encontrar o cabo original para o carregador de 65W do Realme, eu estava procurando por um bom tempo para um bom ...,, A velocidade de carregamento depende do número de fatores e somente em melhores condições ele vai acima de 50 watts e a marca afirma apenas que 65 watts cobrará se você usar o carregador da caixa de entrada da marca. Para mim, pessoalmente, testei em várias ocasiões usando -o por um mês ou dois nunca recebi velocidade acima de 38 watts e testei com o cabo que recebi da caixa e também me deu a mesma velocidade, então compre com cuidado se você ' As condições são boas e você obtém velocidade mais tha 50wats do que só você deve comprá -lo ou deve ir com cabos 3a/4a, pois eles são mais baratos e mais duráveis ​​cabos trançados, o cabo suporta carregamento rápido (estou usando um carregador OnePlus 65W ) como anunciado. Se pudesse ter sido redondo e trançado em vez de um cabo de fita plana, isso o tornaria mais durável. Na minha experiência, os cabos trançados são fáceis de embrulhar e armazenar quando não estão em uso e não ficam desgastados facilmente. Meu cabo parou de carregamento rápido após dois meses de uso, mas o suporte à garantia foi excelente, enviei o cabo em um centro próximo e um novo cabo foi enviado em 3 dias. Eu uso cabos de barco há cerca de 6 anos (um cabo de um telefone Moto G4 ainda está comigo e em uso) e vai se ater a eles. .It Warp cobra, pois suporta a fonte de alimentação 6A. O cabo é longo e resistente em comparação com o cabo OnePlus típico na caixa. O preço do cabo OnePlus original é 890 MRP, mas eu tenho 400 e não é diferente de outros fios de terceiros. Definitivamente vale a pena. 👍🏻, melhor no segmento de preços e em emaranhado de material durável Alsi sem 3 anos de garantia, basta comprá -lo, um cabo de carregamento rápido de muito boa qualidade, obtendo um bom carregamento rápido através do laptop também.Flat Cable Design o torna mais durável., Eu tenho um OnePlus 7T com carga de 30 watts, meu fio original foi destruído Alguns anos atrás e estava procurando um cabo com 6V-5A para carregamento rápido, eu havia comprado muitos fios, mas o telefone não estava carregando tão rápido quanto o 5He original. Este fio tem uma boa qualidade de construção e pode fazer 65 watts (6.5a).</v>
      </c>
    </row>
    <row r="116">
      <c r="A116" s="9" t="s">
        <v>493</v>
      </c>
      <c r="B116" s="29" t="str">
        <f>VLOOKUP(dados!A116, reviews!A:G, 5, FALSE)</f>
        <v>Good,Good,Nice Product,Good looking 👌 good protection for remote control,It's a very good cover..I liked it.,Good,Expensive,Nice</v>
      </c>
      <c r="C116" s="29" t="str">
        <f>VLOOKUP(dados!A116, reviews!A:G, 6, FALSE)</f>
        <v>Good product,Good,Nice product, fits exactly.,Good product,Fantastic remote cover to buy. It fits the LG 2022 model's UQ80 as well...A very good product.,Done the job but value high.,Product isn't bad, but the rate is very Expensive.,Nice</v>
      </c>
      <c r="D116" s="29" t="str">
        <f>IFERROR(__xludf.DUMMYFUNCTION("GOOGLETRANSLATE(B116, ""en"", ""pt-br"")"),"Bom, bom, bom produto, boa aparência 👌 boa proteção para controle remoto, é uma capa muito boa ... eu gostei., Bom, caro, legal")</f>
        <v>Bom, bom, bom produto, boa aparência 👌 boa proteção para controle remoto, é uma capa muito boa ... eu gostei., Bom, caro, legal</v>
      </c>
      <c r="E116" s="29" t="str">
        <f>IFERROR(__xludf.DUMMYFUNCTION("GOOGLETRANSLATE(C116, ""en"", ""pt-br"")"),"Bom produto, bom, bom produto, se encaixa exatamente., Bom produto, capa remota fantástica para comprar. Ele também se encaixa no UQ80 do modelo LG 2022 ... um produto muito bom., Feito o trabalho, mas valor alto., O produto não é ruim, mas a taxa é muito"&amp;" cara.")</f>
        <v>Bom produto, bom, bom produto, se encaixa exatamente., Bom produto, capa remota fantástica para comprar. Ele também se encaixa no UQ80 do modelo LG 2022 ... um produto muito bom., Feito o trabalho, mas valor alto., O produto não é ruim, mas a taxa é muito cara.</v>
      </c>
    </row>
    <row r="117">
      <c r="A117" s="9" t="s">
        <v>497</v>
      </c>
      <c r="B117" s="29" t="str">
        <f>VLOOKUP(dados!A117, reviews!A:G, 5, FALSE)</f>
        <v>Fast charging cable,Good product,Don't buy,Excellent design and Material quality,  Amazing Charging speed,it support's fast charging and also support android auto for car,Good type c cable in less price,Fast charging not support,NOT A FAST CHARGING CABLE</v>
      </c>
      <c r="C117" s="29" t="str">
        <f>VLOOKUP(dados!A117, reviews!A:G, 6, FALSE)</f>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v>
      </c>
      <c r="D117" s="29" t="str">
        <f>IFERROR(__xludf.DUMMYFUNCTION("GOOGLETRANSLATE(B117, ""en"", ""pt-br"")"),"Cabo de carregamento rápido, bom produto, não compra, excelente design e qualidade de material, velocidade de carregamento incrível, o carregamento rápido do suporte e também apoia o Android Auto para carro, bom cabo do tipo C em menos preço, carregamento"&amp;" rápido, não um suporte, não um rápido Cabo de carregamento")</f>
        <v>Cabo de carregamento rápido, bom produto, não compra, excelente design e qualidade de material, velocidade de carregamento incrível, o carregamento rápido do suporte e também apoia o Android Auto para carro, bom cabo do tipo C em menos preço, carregamento rápido, não um suporte, não um rápido Cabo de carregamento</v>
      </c>
      <c r="E117" s="29" t="str">
        <f>IFERROR(__xludf.DUMMYFUNCTION("GOOGLETRANSLATE(C117, ""en"", ""pt-br"")"),"É um produto incrível. Cabo de carregamento móvel rápido. Eu gosto., Um bom produto só gostaria que estivesse disponível em branco preto com facilidade., Durante um mês, eu não tive problemas com isso, então começou a se tornar cada vez mais inútil. Não c"&amp;"ompre. Parece bem, mas é tão ruim quanto um cabo local. Meu telefone carrega lentamente, precisa desconectar e conectar os cabos das portas e remontá -las e ainda assim reduziria a bateria. Não usei um cabo pior. Muito decepcionante e desperdício de dinhe"&amp;"iro. Além disso, a embalagem estava aberta e não foi selada quando eu a recebi. O vendedor é uma fraude., Pouco mais aderência deve ser dada enquanto plug-in no lado do pino tipo C. Então, ele pode remover suavemente, em vez de repentino com pouco idiota."&amp;", Primeiro de tudo, a porta em forma de L 'para facilitar fácil Para usar, enquanto está usando-o para o meu carro para Android Auto.over-All é excelente., https: //m.media-amazon.com/images/i/81ucbjvmdml._sy88.jpg.realme 6 30w Adaptador de carregamento r"&amp;"ápido. É um Vooc de cabo de carregamento lento não suporta, embora eles o chamam de cabo de carregamento rápido, na verdade não é um cabo de carregamento rápido. Eu o tentei com meu adaptador de carregamento rápido da Samsung. É um cabo de carregamento le"&amp;"nto, mas a aparência, a robustez etc. são impressionantes. Planeamento para devolver o produto.")</f>
        <v>É um produto incrível. Cabo de carregamento móvel rápido. Eu gosto., Um bom produto só gostaria que estivesse disponível em branco preto com facilidade., Durante um mês, eu não tive problemas com isso, então começou a se tornar cada vez mais inútil. Não compre. Parece bem, mas é tão ruim quanto um cabo local. Meu telefone carrega lentamente, precisa desconectar e conectar os cabos das portas e remontá -las e ainda assim reduziria a bateria. Não usei um cabo pior. Muito decepcionante e desperdício de dinheiro. Além disso, a embalagem estava aberta e não foi selada quando eu a recebi. O vendedor é uma fraude., Pouco mais aderência deve ser dada enquanto plug-in no lado do pino tipo C. Então, ele pode remover suavemente, em vez de repentino com pouco idiota., Primeiro de tudo, a porta em forma de L 'para facilitar fácil Para usar, enquanto está usando-o para o meu carro para Android Auto.over-All é excelente., https: //m.media-amazon.com/images/i/81ucbjvmdml._sy88.jpg.realme 6 30w Adaptador de carregamento rápido. É um Vooc de cabo de carregamento lento não suporta, embora eles o chamam de cabo de carregamento rápido, na verdade não é um cabo de carregamento rápido. Eu o tentei com meu adaptador de carregamento rápido da Samsung. É um cabo de carregamento lento, mas a aparência, a robustez etc. são impressionantes. Planeamento para devolver o produto.</v>
      </c>
    </row>
    <row r="118">
      <c r="A118" s="9" t="s">
        <v>501</v>
      </c>
      <c r="B118" s="29" t="str">
        <f>VLOOKUP(dados!A118, reviews!A:G, 5, FALSE)</f>
        <v>Average,As good as original,expensive,Bought it in aug and by oct it is not working.will i get a refund or replacement,A useful compatible product.,Volume button doesn't work at all,Works.,Best Remote,Connect Very Well</v>
      </c>
      <c r="C118" s="29" t="str">
        <f>VLOOKUP(dados!A118, reviews!A:G, 6, FALSE)</f>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v>
      </c>
      <c r="D118" s="29" t="str">
        <f>IFERROR(__xludf.DUMMYFUNCTION("GOOGLETRANSLATE(B118, ""en"", ""pt-br"")"),"Média, tão boa quanto original, cara, comprou em agosto e, em outubro, não está funcionando. Será um reembolso ou substituição, um produto compatível útil. O botão de volume não funciona, funciona., Melhor remoto, Conecte -se muito bem")</f>
        <v>Média, tão boa quanto original, cara, comprou em agosto e, em outubro, não está funcionando. Será um reembolso ou substituição, um produto compatível útil. O botão de volume não funciona, funciona., Melhor remoto, Conecte -se muito bem</v>
      </c>
      <c r="E118" s="29" t="str">
        <f>IFERROR(__xludf.DUMMYFUNCTION("GOOGLETRANSLATE(C118, ""en"", ""pt-br"")"),"Às vezes, o controle remoto é desconectado com o dispositivo automaticamente., Pressione o botão inicial por 10-20 segundos, está funcionando sem problemas como o original., Não é uma relação custo / benefício, não trabalhando. Nem três meses, valor ao di"&amp;"nheiro., Submetendo após quase 10 dias de uso. O botão de volume não funciona desde o dia 1. A tampa da bateria traseira é perdida e pode cair a qualquer momento. Outras funções no controle remoto, como comandos de voz Alexa, menu, botão doméstico, rolos "&amp;"funcionam bem., Funciona bem. Instruções erradas ... um pouco muito caro. Faz o trabalho., Eu gostei de um remoto de Nova York, assim como o original")</f>
        <v>Às vezes, o controle remoto é desconectado com o dispositivo automaticamente., Pressione o botão inicial por 10-20 segundos, está funcionando sem problemas como o original., Não é uma relação custo / benefício, não trabalhando. Nem três meses, valor ao dinheiro., Submetendo após quase 10 dias de uso. O botão de volume não funciona desde o dia 1. A tampa da bateria traseira é perdida e pode cair a qualquer momento. Outras funções no controle remoto, como comandos de voz Alexa, menu, botão doméstico, rolos funcionam bem., Funciona bem. Instruções erradas ... um pouco muito caro. Faz o trabalho., Eu gostei de um remoto de Nova York, assim como o original</v>
      </c>
    </row>
    <row r="119">
      <c r="A119" s="9" t="s">
        <v>505</v>
      </c>
      <c r="B119" s="29" t="str">
        <f>VLOOKUP(dados!A119, reviews!A:G, 5, FALSE)</f>
        <v>Good,Not happy with this product.,👍Quality,Not bad,good to charge at home, not in vehicles,Easy to store and use built in quality of plastic roll could have been better,Good,A useful device.</v>
      </c>
      <c r="C119" s="29" t="str">
        <f>VLOOKUP(dados!A119, reviews!A:G, 6, FALSE)</f>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v>
      </c>
      <c r="D119" s="29" t="str">
        <f>IFERROR(__xludf.DUMMYFUNCTION("GOOGLETRANSLATE(B119, ""en"", ""pt-br"")"),"Bom, não estou feliz com este produto., 👍 👍 👍ality, nada mal, bom para carregar em casa, não em veículos, fácil de armazenar e usar a qualidade de rolagem plástica de plástico poderia ter sido melhor, bom e um dispositivo útil.")</f>
        <v>Bom, não estou feliz com este produto., 👍 👍 👍ality, nada mal, bom para carregar em casa, não em veículos, fácil de armazenar e usar a qualidade de rolagem plástica de plástico poderia ter sido melhor, bom e um dispositivo útil.</v>
      </c>
      <c r="E119" s="29" t="str">
        <f>IFERROR(__xludf.DUMMYFUNCTION("GOOGLETRANSLATE(C119, ""en"", ""pt-br"")"),"A velocidade de carregamento lenta, a velocidade de carregamento não é rápida, não está feliz com este produto BCOZ, esse é um preço altamente em comparação com sua qualidade e o fio não é realmente retraído facilmente. Precisa empurrar a mão. Não é recom"&amp;"endado, ele não suporta a conectividade do Apple Car Play. Boa qualidade. Mas quando a encerramento do cabo na maioria das vezes fica emaranhada., Útil, cobra, mas não suporta o jogo de carro da Apple, a qualidade do rolo de plástico poderia ter sido melh"&amp;"or, útil, 3 tipos de carregamento único, o dispositivo Fica emaranhado facilmente se você não o envolve e sai com as duas extremidades tangenciais ao carretel de moradia. Caso contrário, é um dispositivo compacto e útil em seu carro.")</f>
        <v>A velocidade de carregamento lenta, a velocidade de carregamento não é rápida, não está feliz com este produto BCOZ, esse é um preço altamente em comparação com sua qualidade e o fio não é realmente retraído facilmente. Precisa empurrar a mão. Não é recomendado, ele não suporta a conectividade do Apple Car Play. Boa qualidade. Mas quando a encerramento do cabo na maioria das vezes fica emaranhada., Útil, cobra, mas não suporta o jogo de carro da Apple, a qualidade do rolo de plástico poderia ter sido melhor, útil, 3 tipos de carregamento único, o dispositivo Fica emaranhado facilmente se você não o envolve e sai com as duas extremidades tangenciais ao carretel de moradia. Caso contrário, é um dispositivo compacto e útil em seu carro.</v>
      </c>
    </row>
    <row r="120">
      <c r="A120" s="9" t="s">
        <v>509</v>
      </c>
      <c r="B120" s="29" t="str">
        <f>VLOOKUP(dados!A120, reviews!A:G, 5, FALSE)</f>
        <v>A well-priced product.,Lenthy cord.,Product is working as expected.,Lengthy cable, works for car dashcam,Product is okay but they give 50rs for giving 5 stars.,Misleading length (1.2m), rest fine,Good Product,Good</v>
      </c>
      <c r="C120" s="29" t="str">
        <f>VLOOKUP(dados!A120, reviews!A:G, 6, FALSE)</f>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v>
      </c>
      <c r="D120" s="29" t="str">
        <f>IFERROR(__xludf.DUMMYFUNCTION("GOOGLETRANSLATE(B120, ""en"", ""pt-br"")"),"Um produto bem com preços., Lenthy Cord., O produto está funcionando como esperado., Cabo longo, trabalha para o carro, o produto é bom, mas eles dão 50rs para dar 5 estrelas., Comprimento enganoso (1,2m), descanse bem, bom Produto, bom")</f>
        <v>Um produto bem com preços., Lenthy Cord., O produto está funcionando como esperado., Cabo longo, trabalha para o carro, o produto é bom, mas eles dão 50rs para dar 5 estrelas., Comprimento enganoso (1,2m), descanse bem, bom Produto, bom</v>
      </c>
      <c r="E120" s="29" t="str">
        <f>IFERROR(__xludf.DUMMYFUNCTION("GOOGLETRANSLATE(C120, ""en"", ""pt-br"")"),"Estou escrevendo esta resenha após 2 meses, o primeiro cabo teve um corte e teve que ser substituído, o segundo cabo está funcionando bem, sem problemas, usando -o para me cobrar do controlador PS3, funciona bem, a um bom preço, planejando escolher Outro "&amp;"como um sobressalente., Produto OK., Comprei este cabo para carregar meu alto -falante Bluetooth de 10W e seu funcionamento como esperado., É demorado e utilizável para o carro de carro. A qualidade é média e a extremidade micro tipo B fica muito apertada"&amp;". Caso contrário, tudo é bom. Mas continue verificando o preço do Amazon Basics Cable desse tipo, o preço cai muitas vezes. Essa é a melhor qualidade., Este é um dos bons produtos nessa faixa de preço. A qualidade é boa, usá -lo para o meu bloco de refrig"&amp;"eração do laptop. A construção geral parece resistente, mas a longevidade não pode confirmar. Além disso, você não pode conectar 2 PCs usando um USB masculino para masculino. Não é assim que funciona. Pare de escrever críticas negativas depois de usar est"&amp;"e cabo para algo para o qual ele não se destinou. Pode confirmar que é ~ 1,2 m como a maioria dos outros produtos e não 1,5 milhão, como o vendedor reivindica tanto no título quanto em adesivos no produto. esse. Mas eu precisava de um comprimento de 1,5 m"&amp;" para uso perfeito. Tão decepcionado como tenho que girar a almofada de resfriamento e usá -lo (a cabo fica curto em cerca de 15 cm)., Funciona bem. O cabo é macio e flexível. Com toda a probabilidade, também durará muito., Mas a qualidade do pobre")</f>
        <v>Estou escrevendo esta resenha após 2 meses, o primeiro cabo teve um corte e teve que ser substituído, o segundo cabo está funcionando bem, sem problemas, usando -o para me cobrar do controlador PS3, funciona bem, a um bom preço, planejando escolher Outro como um sobressalente., Produto OK., Comprei este cabo para carregar meu alto -falante Bluetooth de 10W e seu funcionamento como esperado., É demorado e utilizável para o carro de carro. A qualidade é média e a extremidade micro tipo B fica muito apertada. Caso contrário, tudo é bom. Mas continue verificando o preço do Amazon Basics Cable desse tipo, o preço cai muitas vezes. Essa é a melhor qualidade., Este é um dos bons produtos nessa faixa de preço. A qualidade é boa, usá -lo para o meu bloco de refrigeração do laptop. A construção geral parece resistente, mas a longevidade não pode confirmar. Além disso, você não pode conectar 2 PCs usando um USB masculino para masculino. Não é assim que funciona. Pare de escrever críticas negativas depois de usar este cabo para algo para o qual ele não se destinou. Pode confirmar que é ~ 1,2 m como a maioria dos outros produtos e não 1,5 milhão, como o vendedor reivindica tanto no título quanto em adesivos no produto. esse. Mas eu precisava de um comprimento de 1,5 m para uso perfeito. Tão decepcionado como tenho que girar a almofada de resfriamento e usá -lo (a cabo fica curto em cerca de 15 cm)., Funciona bem. O cabo é macio e flexível. Com toda a probabilidade, também durará muito., Mas a qualidade do pobre</v>
      </c>
    </row>
    <row r="121">
      <c r="A121" s="9" t="s">
        <v>513</v>
      </c>
      <c r="B121" s="29" t="str">
        <f>VLOOKUP(dados!A121, reviews!A:G, 5, FALSE)</f>
        <v>its not for fast charging as per my use and this don't support in car for android auto.,Great,Can be used as spare in an emergency.,Good,good for car drives,Not worth Doesn't charge,Good one from portronics,Excellent cable</v>
      </c>
      <c r="C121" s="29" t="str">
        <f>VLOOKUP(dados!A121, reviews!A:G, 6, FALSE)</f>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 👍.,Product is superb, Cable is durable and thick nylon string is used.3 pins are most useful.My 5000 mah mobile battery can charge in 2 hrs fully. Other devices can charge early.While charging no device's are hitting.</v>
      </c>
      <c r="D121" s="29" t="str">
        <f>IFERROR(__xludf.DUMMYFUNCTION("GOOGLETRANSLATE(B121, ""en"", ""pt-br"")"),"Não é para cobrança rápida de acordo com meu uso e isso não suporta carros para Android Auto., ótimo, pode ser usado como sobressalência em emergência., Bom, bom para unidades de carro, não vale a pena, não cobra, bom de retratos, excelente cabo")</f>
        <v>Não é para cobrança rápida de acordo com meu uso e isso não suporta carros para Android Auto., ótimo, pode ser usado como sobressalência em emergência., Bom, bom para unidades de carro, não vale a pena, não cobra, bom de retratos, excelente cabo</v>
      </c>
      <c r="E121" s="29" t="str">
        <f>IFERROR(__xludf.DUMMYFUNCTION("GOOGLETRANSLATE(C121, ""en"", ""pt-br"")"),"Eu gosto do produto feito, mas ele não suporta carregamento rápido e ele não se conecta ao Android Auto no carro., Ótimo, os conectores são compatíveis. A entrega de energia de carregamento depende do adaptador usado. A qualidade de construção é boa. Leng"&amp;"ht., 3 leads trabalhando, amigável para unidades de carro, não cobra adequadamente, tentou todas as maneiras possíveis. É muito lento e pode suportar apenas um dispositivo de cada vez., Qualidade, resistência e fonte de alimentação estão oferecendo o melh"&amp;"or 👌 👍 👍., O produto é excelente, o cabo é durável e a corda de nylon espessa é usada.3 Os pinos são mais úteis. Minha bateria móvel de 5000 mAh pode carregar em 2 horas completamente. Outros dispositivos podem carregar mais cedo. Enquanto cobra nenhum"&amp;" dispositivo está atingindo.")</f>
        <v>Eu gosto do produto feito, mas ele não suporta carregamento rápido e ele não se conecta ao Android Auto no carro., Ótimo, os conectores são compatíveis. A entrega de energia de carregamento depende do adaptador usado. A qualidade de construção é boa. Lenght., 3 leads trabalhando, amigável para unidades de carro, não cobra adequadamente, tentou todas as maneiras possíveis. É muito lento e pode suportar apenas um dispositivo de cada vez., Qualidade, resistência e fonte de alimentação estão oferecendo o melhor 👌 👍 👍., O produto é excelente, o cabo é durável e a corda de nylon espessa é usada.3 Os pinos são mais úteis. Minha bateria móvel de 5000 mAh pode carregar em 2 horas completamente. Outros dispositivos podem carregar mais cedo. Enquanto cobra nenhum dispositivo está atingindo.</v>
      </c>
    </row>
    <row r="122">
      <c r="A122" s="9" t="s">
        <v>517</v>
      </c>
      <c r="B122" s="29" t="str">
        <f>VLOOKUP(dados!A122, reviews!A:G, 5, FALSE)</f>
        <v>Perfect product,Better than the original cable,Better then original,Good,The Very Best,Works absolutely fine,Charging is very slow.,Best Product</v>
      </c>
      <c r="C122" s="29" t="str">
        <f>VLOOKUP(dados!A122, reviews!A:G, 6, FALSE)</f>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v>
      </c>
      <c r="D122" s="29" t="str">
        <f>IFERROR(__xludf.DUMMYFUNCTION("GOOGLETRANSLATE(B122, ""en"", ""pt-br"")"),"Produto perfeito, melhor que o cabo original, melhor que original, bom, o melhor, funciona absolutamente bem, o carregamento é muito lento., Melhor produto")</f>
        <v>Produto perfeito, melhor que o cabo original, melhor que original, bom, o melhor, funciona absolutamente bem, o carregamento é muito lento., Melhor produto</v>
      </c>
      <c r="E122" s="29" t="str">
        <f>IFERROR(__xludf.DUMMYFUNCTION("GOOGLETRANSLATE(C122, ""en"", ""pt-br"")"),"Bom cabo. Tenho produto original e é durável e leve, a qualidade é de primeira qualidade e também é difícil como o inferno muito durável e cobra os dispositivos como o cabo original da marca. Nunca precisa se preocupar com o desgaste dos cabos., Carregame"&amp;"nto rápido, superficial de qualidade, usando para carregar i Telefone X com o carregador Samsung 25 watts, ele funciona bem, cobra o telefone em 90 minutos, vamos ver quanto tempo dura, até que até Agora não há problemas, 100% produto original de Belkin, "&amp;"funciona absolutamente bem ,, muito melhor qualidade que a Apple com suporte rápido de carregamento.")</f>
        <v>Bom cabo. Tenho produto original e é durável e leve, a qualidade é de primeira qualidade e também é difícil como o inferno muito durável e cobra os dispositivos como o cabo original da marca. Nunca precisa se preocupar com o desgaste dos cabos., Carregamento rápido, superficial de qualidade, usando para carregar i Telefone X com o carregador Samsung 25 watts, ele funciona bem, cobra o telefone em 90 minutos, vamos ver quanto tempo dura, até que até Agora não há problemas, 100% produto original de Belkin, funciona absolutamente bem ,, muito melhor qualidade que a Apple com suporte rápido de carregamento.</v>
      </c>
    </row>
    <row r="123">
      <c r="A123" s="9" t="s">
        <v>521</v>
      </c>
      <c r="B123" s="29" t="str">
        <f>VLOOKUP(dados!A123, reviews!A:G, 5, FALSE)</f>
        <v>Some buttons not working in first week of purchase,Good,4,Must buy product,Quality of product is wonderful,Very bad experience as I have received a working remove and not being able to return it,Orignal product,Good product and good customer service</v>
      </c>
      <c r="C123" s="29" t="str">
        <f>VLOOKUP(dados!A123, reviews!A:G, 6, FALSE)</f>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tries,एक दम मस्त चलरहा है,https://m.media-amazon.com/images/I/61QADVOkXnL._SY88.jpg</v>
      </c>
      <c r="D123" s="29" t="str">
        <f>IFERROR(__xludf.DUMMYFUNCTION("GOOGLETRANSLATE(B123, ""en"", ""pt-br"")"),"Alguns botões que não estão funcionando na primeira semana de compra, Good, 4, devem comprar produto, a qualidade do produto é maravilhosa, uma experiência muito ruim, pois recebi uma remoção de trabalho e não é capaz de devolvê -lo, produto orignal, bom "&amp;"produto e bom cliente serviço")</f>
        <v>Alguns botões que não estão funcionando na primeira semana de compra, Good, 4, devem comprar produto, a qualidade do produto é maravilhosa, uma experiência muito ruim, pois recebi uma remoção de trabalho e não é capaz de devolvê -lo, produto orignal, bom produto e bom cliente serviço</v>
      </c>
      <c r="E123" s="29" t="str">
        <f>IFERROR(__xludf.DUMMYFUNCTION("GOOGLETRANSLATE(C123, ""en"", ""pt-br"")"),"Alguns botões não funcionam na primeira semana de compra. Qualidade não até a marca., Https: //m.media-amazon.com/images/i/61yee372yjl._sy88.jpg.works conforme esperado., Bom produto com grande compatibilidade com o Firestick, gostou da concessionária, co"&amp;"nstrução e acabamento, Além disso, não está funcionando, além de não ser capaz de iniciar o retorno/reembolso após tantas tentativas, एक दम मस्त चलरहा है, https://m.media-amazon.com/images/i/61qadvokxnl._sy88.jpg")</f>
        <v>Alguns botões não funcionam na primeira semana de compra. Qualidade não até a marca., Https: //m.media-amazon.com/images/i/61yee372yjl._sy88.jpg.works conforme esperado., Bom produto com grande compatibilidade com o Firestick, gostou da concessionária, construção e acabamento, Além disso, não está funcionando, além de não ser capaz de iniciar o retorno/reembolso após tantas tentativas, एक दम मस्त चलरहा है, https://m.media-amazon.com/images/i/61qadvokxnl._sy88.jpg</v>
      </c>
    </row>
    <row r="124">
      <c r="A124" s="9" t="s">
        <v>525</v>
      </c>
      <c r="B124" s="29" t="str">
        <f>VLOOKUP(dados!A124, reviews!A:G, 5, FALSE)</f>
        <v>Value for money!! But don't expect Flagship quality.,Good,Good product,Good,God,Value for money,Nice product,Youtub is slow but all perform best</v>
      </c>
      <c r="C124" s="29" t="str">
        <f>VLOOKUP(dados!A124, reviews!A:G, 6, FALSE)</f>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v>
      </c>
      <c r="D124" s="29" t="str">
        <f>IFERROR(__xludf.DUMMYFUNCTION("GOOGLETRANSLATE(B124, ""en"", ""pt-br"")"),"Custo-benefício!! Mas não espere qualidade de carro -chefe., Bom, bom produto, bom, Deus, valor ao dinheiro, bom produto, o youtub é lento, mas todos têm melhor desempenho")</f>
        <v>Custo-benefício!! Mas não espere qualidade de carro -chefe., Bom, bom produto, bom, Deus, valor ao dinheiro, bom produto, o youtub é lento, mas todos têm melhor desempenho</v>
      </c>
      <c r="E124" s="29" t="str">
        <f>IFERROR(__xludf.DUMMYFUNCTION("GOOGLETRANSLATE(C124, ""en"", ""pt-br"")"),"A TV é boa como tal, há vários problemas para isso, você recebe o que pagou para não se gabar disso. A imagem parece nítida, o som é horrível, leve, pernas frágeis e corpo, a TV parece menos, a menos que você o lige. Esta TV não suporta pré -vídeo pronta "&amp;"para uso, chegar ao atendimento ao cliente resolverá facilmente o problema. Existem lag notáveis ​​durante a participação na elenco/ tela. No geral, o produto é bom para um pequeno escritório, loja ou streaming casual para quarto ou cozinha., 5 estrelas.,"&amp;" Bom produto, valor para dinheiro, bom, o produto é bom. Neste preço, você pode obter o melhor produto, o processador muito lento plg melhorar, o trabalho inteligente é lento, mas o som de imagem ok 👍🏻")</f>
        <v>A TV é boa como tal, há vários problemas para isso, você recebe o que pagou para não se gabar disso. A imagem parece nítida, o som é horrível, leve, pernas frágeis e corpo, a TV parece menos, a menos que você o lige. Esta TV não suporta pré -vídeo pronta para uso, chegar ao atendimento ao cliente resolverá facilmente o problema. Existem lag notáveis ​​durante a participação na elenco/ tela. No geral, o produto é bom para um pequeno escritório, loja ou streaming casual para quarto ou cozinha., 5 estrelas., Bom produto, valor para dinheiro, bom, o produto é bom. Neste preço, você pode obter o melhor produto, o processador muito lento plg melhorar, o trabalho inteligente é lento, mas o som de imagem ok 👍🏻</v>
      </c>
    </row>
    <row r="125">
      <c r="A125" s="9" t="s">
        <v>529</v>
      </c>
      <c r="B125" s="29" t="str">
        <f>VLOOKUP(dados!A125, reviews!A:G, 5, FALSE)</f>
        <v>Hisense Vivid 4K TV Initial Impressions,Picture quality,Best in class Audio &amp; picture quality,Good products,Amazing,Good,Good product,Good size for small leaving room of 18'*9'6" ,sound quality is also good for small leaving room.</v>
      </c>
      <c r="C125" s="29" t="str">
        <f>VLOOKUP(dados!A125, reviews!A:G, 6, FALSE)</f>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v>
      </c>
      <c r="D125" s="29" t="str">
        <f>IFERROR(__xludf.DUMMYFUNCTION("GOOGLETRANSLATE(B125, ""en"", ""pt-br"")"),"Hisense Vivid 4K TV Impressões iniciais, qualidade da imagem, melhor em qualidade de áudio e qualidade da imagem, bons produtos, incrível, bom, bom produto, bom tamanho para pequena sala de saída de 18 '*9'6 "", a qualidade do som também é boa para pequen"&amp;"os saindo da sala.")</f>
        <v>Hisense Vivid 4K TV Impressões iniciais, qualidade da imagem, melhor em qualidade de áudio e qualidade da imagem, bons produtos, incrível, bom, bom produto, bom tamanho para pequena sala de saída de 18 '*9'6 ", a qualidade do som também é boa para pequenos saindo da sala.</v>
      </c>
      <c r="E125" s="29" t="str">
        <f>IFERROR(__xludf.DUMMYFUNCTION("GOOGLETRANSLATE(C125, ""en"", ""pt-br"")"),"Olá a todos, em primeiro lugar, fiquei muito cético em comprar a TV online. Secundário, sou um grande fã das marcas da Sony e LG., Em terceiro lugar, como tenho garoto de 4 anos em casa, estava com tanto medo de gastar dinheiro além de 15k. Claro, no prim"&amp;"eiro dia de venda para membros do Prime, quando o Festival da Amazon Great Indian começou, eu vi um e o Hisense A6H custava menos de 20 mil ofertas bancárias e meu favorito Sony 43inch custou 35k. Mas descartou a Sony apenas de caro e assustada, se meu fi"&amp;"lho enquanto toca a quebra. Então, eu estava procurando continuamente por TVs amigáveis ​​ao orçamento, como TCL, Redmi Nokia e Iffalcon, mas não gostei da TV de 32 polegadas. De repente, fora do nada, na quinta-feira, em 20 de outubro, vi essa oferta de "&amp;"sopro na TV vívida em 4K dele, mas com medo de comprar, mas senti que a oferta era tentadora, então assumiu o risco e a comprava por 15.740/- (preço de negócio 20.990 .. . ICICI Bank Credit Card Card Instant Desconto 5.250/-) Então, tecnicamente, o compro"&amp;"u para 15740/- então eu senti valer a pena o risco e comprei. Em 22 de outubro, a TV foi entregue para mim e imediatamente levantei a solicitação de instalação e o técnico veio em 23 de outubro e instalei a TV. Que minha jornada de pesquisa para a instala"&amp;"ção. , Posso ver claramente que os negros não são tão profundos que são um pouco de tipo acinzentado; no entanto, as cores não estão muito saturadas, senti que elas são normais e quando olhei para a TV de lados, posso dizer claramente que não se aproxima "&amp;"de IPS Exibição do painel. Mas, sim, para um usuário médio como eu, é suficiente.2- Remoto- são simples, são fornecidas grandes teclas de atalho dos aplicativos. YT, Amazon Prime Video, Hotstar, que é bom. Assistente de voz está ativado. Experiência simpl"&amp;"es e amigável. Ele não tem mãos livres do Google Assistant.3- Som- eu pessoalmente senti se o áudio de 30 watts foi dado na TV, teria sido ótimo, mas apenas 24watts, que é nítido e claro, embora eu tenha aumentado o volume até 70 para o CHK, mas sem disto"&amp;"rções nada É claro diálogos e baixo, mas se uma barra de som for adicionada, será adicionada vantagem.4- UI- vem com o Android 9, isso não importa para mim, pois eu sou um usuário muito comum, então executa o programa para mim, eu Espero que o Hisense env"&amp;"ie o OTA Update5-Now para o ponto principal, pois você pode ver minhas fotos, vejo especialmente no aplicativo de vídeo Amazon Prime, na tela azul, existem algumas linhas que não sei se é um problema com o painel ou o aplicativo. Precisa CHK com o atendim"&amp;"ento ao cliente da Amazon pelo motivo. Se algum usuário puder ajudar ou me esclarecer sobre esse assunto que seria super.6- Conclusão- Francamente falando, comprei esta TV apenas BCZ, recebi quase menos de 15000 (comprado por 17520/- incluindo garantia es"&amp;"tendida por 2+2 anos) BCZ Mesmo que algum acidente aconteça quando as crianças que brincam não vão me beliscar. Então, da minha perspectiva, senti que está tudo bem com alguns problemas menores, como som. Eu só preciso ter clareza nessa questão de vídeo p"&amp;"rivilegiada. Se isso for classificado, ficarei feliz. Como o Mi Redmi Vu etc. O VA Pannel funciona bem e oferece uma boa quantidade de negros.Pros: Android TVSoundColourCons: Remoto, adorei a qualidade da imagem, a qualidade média da imagem, mas ok para e"&amp;"sse preço, que vale o custo. Boa qualidade e clareza, bom, bom produto, boa equipe de suporte, pois a unidade atingiu dentro de 11 horas de instalação realizada no horário do instalador chamado. Demonstração adequadamente dada. E a chamada da empresa tamb"&amp;"ém recebida em 3 dias para confirmação da entrega e instalação de materiais feitas de maneira correta.")</f>
        <v>Olá a todos, em primeiro lugar, fiquei muito cético em comprar a TV online. Secundário, sou um grande fã das marcas da Sony e LG., Em terceiro lugar, como tenho garoto de 4 anos em casa, estava com tanto medo de gastar dinheiro além de 15k. Claro, no primeiro dia de venda para membros do Prime, quando o Festival da Amazon Great Indian começou, eu vi um e o Hisense A6H custava menos de 20 mil ofertas bancárias e meu favorito Sony 43inch custou 35k. Mas descartou a Sony apenas de caro e assustada, se meu filho enquanto toca a quebra. Então, eu estava procurando continuamente por TVs amigáveis ​​ao orçamento, como TCL, Redmi Nokia e Iffalcon, mas não gostei da TV de 32 polegadas. De repente, fora do nada, na quinta-feira, em 20 de outubro, vi essa oferta de sopro na TV vívida em 4K dele, mas com medo de comprar, mas senti que a oferta era tentadora, então assumiu o risco e a comprava por 15.740/- (preço de negócio 20.990 .. . ICICI Bank Credit Card Card Instant Desconto 5.250/-) Então, tecnicamente, o comprou para 15740/- então eu senti valer a pena o risco e comprei. Em 22 de outubro, a TV foi entregue para mim e imediatamente levantei a solicitação de instalação e o técnico veio em 23 de outubro e instalei a TV. Que minha jornada de pesquisa para a instalação. , Posso ver claramente que os negros não são tão profundos que são um pouco de tipo acinzentado; no entanto, as cores não estão muito saturadas, senti que elas são normais e quando olhei para a TV de lados, posso dizer claramente que não se aproxima de IPS Exibição do painel. Mas, sim, para um usuário médio como eu, é suficiente.2- Remoto- são simples, são fornecidas grandes teclas de atalho dos aplicativos. YT, Amazon Prime Video, Hotstar, que é bom. Assistente de voz está ativado. Experiência simples e amigável. Ele não tem mãos livres do Google Assistant.3- Som- eu pessoalmente senti se o áudio de 30 watts foi dado na TV, teria sido ótimo, mas apenas 24watts, que é nítido e claro, embora eu tenha aumentado o volume até 70 para o CHK, mas sem distorções nada É claro diálogos e baixo, mas se uma barra de som for adicionada, será adicionada vantagem.4- UI- vem com o Android 9, isso não importa para mim, pois eu sou um usuário muito comum, então executa o programa para mim, eu Espero que o Hisense envie o OTA Update5-Now para o ponto principal, pois você pode ver minhas fotos, vejo especialmente no aplicativo de vídeo Amazon Prime, na tela azul, existem algumas linhas que não sei se é um problema com o painel ou o aplicativo. Precisa CHK com o atendimento ao cliente da Amazon pelo motivo. Se algum usuário puder ajudar ou me esclarecer sobre esse assunto que seria super.6- Conclusão- Francamente falando, comprei esta TV apenas BCZ, recebi quase menos de 15000 (comprado por 17520/- incluindo garantia estendida por 2+2 anos) BCZ Mesmo que algum acidente aconteça quando as crianças que brincam não vão me beliscar. Então, da minha perspectiva, senti que está tudo bem com alguns problemas menores, como som. Eu só preciso ter clareza nessa questão de vídeo privilegiada. Se isso for classificado, ficarei feliz. Como o Mi Redmi Vu etc. O VA Pannel funciona bem e oferece uma boa quantidade de negros.Pros: Android TVSoundColourCons: Remoto, adorei a qualidade da imagem, a qualidade média da imagem, mas ok para esse preço, que vale o custo. Boa qualidade e clareza, bom, bom produto, boa equipe de suporte, pois a unidade atingiu dentro de 11 horas de instalação realizada no horário do instalador chamado. Demonstração adequadamente dada. E a chamada da empresa também recebida em 3 dias para confirmação da entrega e instalação de materiais feitas de maneira correta.</v>
      </c>
    </row>
    <row r="126">
      <c r="A126" s="9" t="s">
        <v>533</v>
      </c>
      <c r="B126" s="29" t="str">
        <f>VLOOKUP(dados!A126, reviews!A:G, 5, FALSE)</f>
        <v>Worth the price,Mi Smart Tv 32" :- 7/10 average.,Worth using since 1.5 years,expect more from mi,Worth for money.,Good product,It’s good,Go for it without thinking twice.</v>
      </c>
      <c r="C126" s="29" t="str">
        <f>VLOOKUP(dados!A126, reviews!A:G, 6, FALSE)</f>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v>
      </c>
      <c r="D126" s="29" t="str">
        <f>IFERROR(__xludf.DUMMYFUNCTION("GOOGLETRANSLATE(B126, ""en"", ""pt-br"")"),"Vale o preço, Mi Smart TV 32 "":- 7/10 Média., Vale a pena usar desde 1,5 anos, espere mais do MI, que vale a pena., Bom produto, é bom, vá em frente sem pensar duas vezes.")</f>
        <v>Vale o preço, Mi Smart TV 32 ":- 7/10 Média., Vale a pena usar desde 1,5 anos, espere mais do MI, que vale a pena., Bom produto, é bom, vá em frente sem pensar duas vezes.</v>
      </c>
      <c r="E126" s="29" t="str">
        <f>IFERROR(__xludf.DUMMYFUNCTION("GOOGLETRANSLATE(C126, ""en"", ""pt-br"")"),"Vale o preço. Eu uso os provedores de cabos locais configurados. Com minha TV anterior (Samsung), eu não estava enfrentando esse problema. O único problema que estou enfrentando é cada vez que desligo a TV da rede elétrica, tenho que ir para as configuraç"&amp;"ões e ligar as configurações para as configurações dos alto -falantes de TV, apesar de nenhum outro alto -falante ou wifi ou dente azul ou telefone celular estará na proximidade . Como resultado, parei de desligar a TV da rede elétrica. Eu apenas uso o co"&amp;"ntrole remoto para colocá -lo em pé. Mas isso é um problema a longo prazo, a tela é muito boa. O som é médio de iam usando a barra de som, então não há problemas para mim. Não sei quanto tempo durará devido ao meu painel Pro 55 4 Pro Mi 55 4, em 2,5 anos."&amp;" Comprei esta TV com garantia de 2 anos no painel., Melhore a resposta do software e melhore a qualidade da imagem. Vale a pena dinheiro para esse orçamento (4K)., Eu usei de 2 a 4 dias. A qualidade da imagem parece boa e impressionante. Vá em frente ... "&amp;"espero que a qualidade de longo prazo também seja boa., Esta TV é muito boa, mas nessa coisa ruim é essa TV em algum momento de parar enquanto toca apenas um vídeo do YouTube, mas, caso contrário, é um bom produto, é bom e valor Por dinheiro, foto incríve"&amp;"l e qualidade do som. Qualidade 4K a esse preço. É realmente bom .")</f>
        <v>Vale o preço. Eu uso os provedores de cabos locais configurados. Com minha TV anterior (Samsung), eu não estava enfrentando esse problema. O único problema que estou enfrentando é cada vez que desligo a TV da rede elétrica, tenho que ir para as configurações e ligar as configurações para as configurações dos alto -falantes de TV, apesar de nenhum outro alto -falante ou wifi ou dente azul ou telefone celular estará na proximidade . Como resultado, parei de desligar a TV da rede elétrica. Eu apenas uso o controle remoto para colocá -lo em pé. Mas isso é um problema a longo prazo, a tela é muito boa. O som é médio de iam usando a barra de som, então não há problemas para mim. Não sei quanto tempo durará devido ao meu painel Pro 55 4 Pro Mi 55 4, em 2,5 anos. Comprei esta TV com garantia de 2 anos no painel., Melhore a resposta do software e melhore a qualidade da imagem. Vale a pena dinheiro para esse orçamento (4K)., Eu usei de 2 a 4 dias. A qualidade da imagem parece boa e impressionante. Vá em frente ... espero que a qualidade de longo prazo também seja boa., Esta TV é muito boa, mas nessa coisa ruim é essa TV em algum momento de parar enquanto toca apenas um vídeo do YouTube, mas, caso contrário, é um bom produto, é bom e valor Por dinheiro, foto incrível e qualidade do som. Qualidade 4K a esse preço. É realmente bom .</v>
      </c>
    </row>
    <row r="127">
      <c r="A127" s="9" t="s">
        <v>537</v>
      </c>
      <c r="B127" s="29" t="str">
        <f>VLOOKUP(dados!A127, reviews!A:G, 5, FALSE)</f>
        <v>Worth Buying,Good one!!,Very nice seller service.,Nice cable,Nice product 👍,Does not work universally for all devices,so far good can be a bit lower,It's a good product you can buy and trust.</v>
      </c>
      <c r="C127" s="29" t="str">
        <f>VLOOKUP(dados!A127, reviews!A:G, 6, FALSE)</f>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v>
      </c>
      <c r="D127" s="29" t="str">
        <f>IFERROR(__xludf.DUMMYFUNCTION("GOOGLETRANSLATE(B127, ""en"", ""pt-br"")"),"Vale a pena comprar, bom !!, serviço de vendedor muito bom., Belo cabo, bom produto 👍, não funciona universalmente para todos os dispositivos, até agora pode ser um pouco menor, é um bom produto que você pode comprar e confiar.")</f>
        <v>Vale a pena comprar, bom !!, serviço de vendedor muito bom., Belo cabo, bom produto 👍, não funciona universalmente para todos os dispositivos, até agora pode ser um pouco menor, é um bom produto que você pode comprar e confiar.</v>
      </c>
      <c r="E127" s="29" t="str">
        <f>IFERROR(__xludf.DUMMYFUNCTION("GOOGLETRANSLATE(C127, ""en"", ""pt-br"")"),"Realmente vale a pena. Estou usando -o para obter saída em outra tela do meu laptop através deste fio. Até agora, é muito bom e a qualidade de construção é muito boa., Tive problemas com meu último cabo HDMI, pois qualquer pessoa em casa ligando/desligand"&amp;"o qualquer switch my desktop display dispara para um segundo ., Excelente produto e serviço. Valor do dinheiro, este cabo é muito útil se a sua CPU tiver uma porta de exibição e o monitor possui a porta HDMI. Outra maneira, não funcionará. O cabo é de boa"&amp;" qualidade. Melhor embalagem da Amazon., Produto Nice, meu PC possui uma porta HDMI enquanto meu monitor LG possui. Porta DP .. Meu monitor não detecta isso como um sinal de entrada válido ao usar este conversor. Uma conexão normal da porta DP para DP fun"&amp;"ciona muito bem ... é, portanto, importante observar que o cabo pode não funcionar universalmente., Exibição de 6 pés para o cabo HDMI funcionando bem muito bem em 500 inr., O produto é bom. Tempo suficiente para a configuração do meu PC. Ainda não experi"&amp;"mentei nenhuma conexão solta com isso. Tenho usado quase 4 meses. Você pode ir em frente.")</f>
        <v>Realmente vale a pena. Estou usando -o para obter saída em outra tela do meu laptop através deste fio. Até agora, é muito bom e a qualidade de construção é muito boa., Tive problemas com meu último cabo HDMI, pois qualquer pessoa em casa ligando/desligando qualquer switch my desktop display dispara para um segundo ., Excelente produto e serviço. Valor do dinheiro, este cabo é muito útil se a sua CPU tiver uma porta de exibição e o monitor possui a porta HDMI. Outra maneira, não funcionará. O cabo é de boa qualidade. Melhor embalagem da Amazon., Produto Nice, meu PC possui uma porta HDMI enquanto meu monitor LG possui. Porta DP .. Meu monitor não detecta isso como um sinal de entrada válido ao usar este conversor. Uma conexão normal da porta DP para DP funciona muito bem ... é, portanto, importante observar que o cabo pode não funcionar universalmente., Exibição de 6 pés para o cabo HDMI funcionando bem muito bem em 500 inr., O produto é bom. Tempo suficiente para a configuração do meu PC. Ainda não experimentei nenhuma conexão solta com isso. Tenho usado quase 4 meses. Você pode ir em frente.</v>
      </c>
    </row>
    <row r="128">
      <c r="A128" s="9" t="s">
        <v>541</v>
      </c>
      <c r="B128" s="29" t="str">
        <f>VLOOKUP(dados!A128, reviews!A:G, 5, FALSE)</f>
        <v>Good product,Hdmi cable,Nice,Do buy without any doubt,Working as expected,Thanks Amazon for its premium choice,Good product,Works well and good quality</v>
      </c>
      <c r="C128" s="29" t="str">
        <f>VLOOKUP(dados!A128, reviews!A:G, 6, FALSE)</f>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v>
      </c>
      <c r="D128" s="29" t="str">
        <f>IFERROR(__xludf.DUMMYFUNCTION("GOOGLETRANSLATE(B128, ""en"", ""pt-br"")"),"Bom produto, cabo HDMI, Nice, compre sem dúvida, trabalhando como esperado, agradeça a Amazon por sua escolha premium, bom produto, funciona bem e de boa qualidade")</f>
        <v>Bom produto, cabo HDMI, Nice, compre sem dúvida, trabalhando como esperado, agradeça a Amazon por sua escolha premium, bom produto, funciona bem e de boa qualidade</v>
      </c>
      <c r="E128" s="29" t="str">
        <f>IFERROR(__xludf.DUMMYFUNCTION("GOOGLETRANSLATE(C128, ""en"", ""pt-br"")"),"Parece ok. Não tentei com vídeos de qualidade em HD. Valor do dinheiro., Muito alto e em um cabo HDMI do Amazon Basic, Nice, comprei isso para o meu Android TV Stick e funciona muito bem com ele. A qualidade do cabo é muito boa e rica. Não perde o A quali"&amp;"dade da imagem e do som da TV Stick, está funcionando como esperado, comprei o divisor, mas não funcionou corretamente e pediu para o fio feminino masculino HDMI, o que me ajudou a ver fontes corretamente, bom. Serve o propósito. Tive que comprar isso, co"&amp;"mo por algum motivo estranho, o Amazon Firestick (Bern trabalhando por 3 anos) não está mais funcionando quando conectado à minha porta HDMI da Samsung TVS (todas as 4 portas). A pesquisa no Google não ajudou, pois esse problema parece ser comum nas TVs S"&amp;"amsung, mas sem solução possível. Então, queria verificar se o Firestick funciona no meu monitor de computador, mas o slot HDMI no monitor era inacessível para uma conexão direta e, portanto, comprou este cabo. O Firestick funcionou bem com o Monitor. O m"&amp;"ais estranho é que o Firestick funciona bem quando conectado à mesma TV Samsung usando este cabo. Problema resolvido, embora nenhuma idéia de como diabos foi consertada :), a qualidade deste cabo é muito boa. Estou usando -o há alguns meses, para conectar"&amp;" um laptop ou uma área de trabalho a um monitor Dell. A qualidade da imagem para HD completa funciona bem junto com a saída de som, não tenho certeza de 4K, já que eu não tenho um monitor 4K. O preço deve ser menor que Rs. 250 que eu paguei, deve estar no"&amp;" Rs. 100/- para Rs. 150/- Considerando a qualidade e outros produtos alternativos disponíveis nas lojas de tijolo e argamassa. Se você estiver disposto a pagar um pouco mais, isso é bom.")</f>
        <v>Parece ok. Não tentei com vídeos de qualidade em HD. Valor do dinheiro., Muito alto e em um cabo HDMI do Amazon Basic, Nice, comprei isso para o meu Android TV Stick e funciona muito bem com ele. A qualidade do cabo é muito boa e rica. Não perde o A qualidade da imagem e do som da TV Stick, está funcionando como esperado, comprei o divisor, mas não funcionou corretamente e pediu para o fio feminino masculino HDMI, o que me ajudou a ver fontes corretamente, bom. Serve o propósito. Tive que comprar isso, como por algum motivo estranho, o Amazon Firestick (Bern trabalhando por 3 anos) não está mais funcionando quando conectado à minha porta HDMI da Samsung TVS (todas as 4 portas). A pesquisa no Google não ajudou, pois esse problema parece ser comum nas TVs Samsung, mas sem solução possível. Então, queria verificar se o Firestick funciona no meu monitor de computador, mas o slot HDMI no monitor era inacessível para uma conexão direta e, portanto, comprou este cabo. O Firestick funcionou bem com o Monitor. O mais estranho é que o Firestick funciona bem quando conectado à mesma TV Samsung usando este cabo. Problema resolvido, embora nenhuma idéia de como diabos foi consertada :), a qualidade deste cabo é muito boa. Estou usando -o há alguns meses, para conectar um laptop ou uma área de trabalho a um monitor Dell. A qualidade da imagem para HD completa funciona bem junto com a saída de som, não tenho certeza de 4K, já que eu não tenho um monitor 4K. O preço deve ser menor que Rs. 250 que eu paguei, deve estar no Rs. 100/- para Rs. 150/- Considerando a qualidade e outros produtos alternativos disponíveis nas lojas de tijolo e argamassa. Se você estiver disposto a pagar um pouco mais, isso é bom.</v>
      </c>
    </row>
    <row r="129">
      <c r="A129" s="9" t="s">
        <v>545</v>
      </c>
      <c r="B129" s="29" t="str">
        <f>VLOOKUP(dados!A129, reviews!A:G, 5, FALSE)</f>
        <v>IFalcon 32inch smart TV,It's good,Good in Smart TV,Better,Smart android tv,Value for money,Meet expectations,Nice product .</v>
      </c>
      <c r="C129" s="29" t="str">
        <f>VLOOKUP(dados!A129, reviews!A:G, 6, FALSE)</f>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👍👍👍,Value for money product is ok as per price,Good picture quality, sound as well</v>
      </c>
      <c r="D129" s="29" t="str">
        <f>IFERROR(__xludf.DUMMYFUNCTION("GOOGLETRANSLATE(B129, ""en"", ""pt-br"")"),"TV inteligente Ifalcon 32inch, é bom, bom em TV inteligente, melhor, TV Android inteligente, valor ao dinheiro, atenda às expectativas, produto agradável.")</f>
        <v>TV inteligente Ifalcon 32inch, é bom, bom em TV inteligente, melhor, TV Android inteligente, valor ao dinheiro, atenda às expectativas, produto agradável.</v>
      </c>
      <c r="E129" s="29" t="str">
        <f>IFERROR(__xludf.DUMMYFUNCTION("GOOGLETRANSLATE(C129, ""en"", ""pt-br"")"),"Além do despacho do item da Amazon, a Ifalcon Smart TV é uma boa compra para o valor do dinheiro. A imagem é cristalina, aproveite com internet de alta velocidade., Https: //m.media-amazon.com/images/i/515glvxkxsl._sy88.jpg,Good na TV inteligente, mas bai"&amp;"xa qualidade de som., Https: // m. Media-Amazon.com/images/i/61antt6yiol._sy88.jpg., em 8k, vale a pena, valor para dinheiro. 👍👍👍, o produto de valor para dinheiro está ok de acordo com o preço, boa qualidade de imagem, som também")</f>
        <v>Além do despacho do item da Amazon, a Ifalcon Smart TV é uma boa compra para o valor do dinheiro. A imagem é cristalina, aproveite com internet de alta velocidade., Https: //m.media-amazon.com/images/i/515glvxkxsl._sy88.jpg,Good na TV inteligente, mas baixa qualidade de som., Https: // m. Media-Amazon.com/images/i/61antt6yiol._sy88.jpg., em 8k, vale a pena, valor para dinheiro. 👍👍👍, o produto de valor para dinheiro está ok de acordo com o preço, boa qualidade de imagem, som também</v>
      </c>
    </row>
    <row r="130">
      <c r="A130" s="9" t="s">
        <v>549</v>
      </c>
      <c r="B130" s="29" t="str">
        <f>VLOOKUP(dados!A130, reviews!A:G, 5, FALSE)</f>
        <v>Works for LG 4K LED,Awesome product,Good copy Remote,This remote works!!! A relief!,Good replacement for the original remote control,Timely helped me for my TV,It will work(for me😊),Just works</v>
      </c>
      <c r="C130" s="29" t="str">
        <f>VLOOKUP(dados!A130, reviews!A:G, 6, FALSE)</f>
        <v>My LG smart 4K TV’s magic remote went kaput and since LG’s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v>
      </c>
      <c r="D130" s="29" t="str">
        <f>IFERROR(__xludf.DUMMYFUNCTION("GOOGLETRANSLATE(B130, ""en"", ""pt-br"")"),"Funciona para LG 4K LED, produto incrível, boa cópia remota, este remoto funciona !!! Um alívio!, Bom substituto para o controle remoto original, o tempo de tempo me ajudou para a minha TV, funcionará (para mim), apenas funciona")</f>
        <v>Funciona para LG 4K LED, produto incrível, boa cópia remota, este remoto funciona !!! Um alívio!, Bom substituto para o controle remoto original, o tempo de tempo me ajudou para a minha TV, funcionará (para mim), apenas funciona</v>
      </c>
      <c r="E130" s="29" t="str">
        <f>IFERROR(__xludf.DUMMYFUNCTION("GOOGLETRANSLATE(C130, ""en"", ""pt-br"")"),"O Magic Remote Remote da LG Smart 4K TV ficou Kaput e, como os controles remotos mágicos da LG são super caros, decidi experimentar este. Além do mouse de ar e gestos de movimento, tudo o mais funciona absolutamente bem. Além disso, o controle remoto leve"&amp;" e seu fator de forma parecem muito agradáveis ​​e aconchegantes nas mãos. No entanto, os botões não têm pontos ou rebites sobre seus botões, o que às vezes faz você esquecer qual chave você está pressionando. Além disso, é um ótimo controlador remoto., E"&amp;"ste produto é bom para o trabalho da minha caixa de TV, https: //m.media -amazon.com/images/i/61xuqna3jrl._sy88.jpg.After Tendo o meu Magic Remote Go Kaput original, eu não tinha certeza se esse controle remoto funcionaria na minha TV inteligente LG de 55"&amp;" polegadas. No entanto, um grande alívio, funciona e funciona como um operador suave usando as teclas. Não há necessidade de configurar etc. Ele não possui um botão de voz ou rolagem, mas eu não estava usando esse recurso no meu controle remoto mágico ori"&amp;"ginal, pois isso consome baterias em grande parte, forçando você a trocar as baterias a cada 4 dias. Não gaste dinheiro comprando os caros, vá para isso., Funcionalmente muito bom e é um bom substituto para o controle remoto original, no qual o interrupto"&amp;"r de energia parou de funcionar. Eu não tive que usar a maioria das outras funções., Bom desempenho, barato e melhor alternativa para o seu controle remoto da LG. A opção Magic Mouse não está lá, mas funciona bem com minha TV LG, funciona como esperado. A"&amp;" resposta é pouco lenta, mas ainda está bem.")</f>
        <v>O Magic Remote Remote da LG Smart 4K TV ficou Kaput e, como os controles remotos mágicos da LG são super caros, decidi experimentar este. Além do mouse de ar e gestos de movimento, tudo o mais funciona absolutamente bem. Além disso, o controle remoto leve e seu fator de forma parecem muito agradáveis ​​e aconchegantes nas mãos. No entanto, os botões não têm pontos ou rebites sobre seus botões, o que às vezes faz você esquecer qual chave você está pressionando. Além disso, é um ótimo controlador remoto., Este produto é bom para o trabalho da minha caixa de TV, https: //m.media -amazon.com/images/i/61xuqna3jrl._sy88.jpg.After Tendo o meu Magic Remote Go Kaput original, eu não tinha certeza se esse controle remoto funcionaria na minha TV inteligente LG de 55 polegadas. No entanto, um grande alívio, funciona e funciona como um operador suave usando as teclas. Não há necessidade de configurar etc. Ele não possui um botão de voz ou rolagem, mas eu não estava usando esse recurso no meu controle remoto mágico original, pois isso consome baterias em grande parte, forçando você a trocar as baterias a cada 4 dias. Não gaste dinheiro comprando os caros, vá para isso., Funcionalmente muito bom e é um bom substituto para o controle remoto original, no qual o interruptor de energia parou de funcionar. Eu não tive que usar a maioria das outras funções., Bom desempenho, barato e melhor alternativa para o seu controle remoto da LG. A opção Magic Mouse não está lá, mas funciona bem com minha TV LG, funciona como esperado. A resposta é pouco lenta, mas ainda está bem.</v>
      </c>
    </row>
    <row r="131">
      <c r="A131" s="9" t="s">
        <v>553</v>
      </c>
      <c r="B131" s="29" t="str">
        <f>VLOOKUP(dados!A131, reviews!A:G, 5, FALSE)</f>
        <v>Solid and quality material,Good product, everything good to buy,Clear and Cristal clear sound,Good,Super,Value for money,Good cable but over priced,Decent quality and 4.6M long</v>
      </c>
      <c r="C131" s="29" t="str">
        <f>VLOOKUP(dados!A131, reviews!A:G, 6, FALSE)</f>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v>
      </c>
      <c r="D131" s="29" t="str">
        <f>IFERROR(__xludf.DUMMYFUNCTION("GOOGLETRANSLATE(B131, ""en"", ""pt-br"")"),"Material sólido e de qualidade, bom produto, tudo bom para comprar, som claro e claro, bom, super, valor pelo dinheiro, bom cabo, mas com preço decente, qualidade decente e 4,6m de comprimento")</f>
        <v>Material sólido e de qualidade, bom produto, tudo bom para comprar, som claro e claro, bom, super, valor pelo dinheiro, bom cabo, mas com preço decente, qualidade decente e 4,6m de comprimento</v>
      </c>
      <c r="E131" s="29" t="str">
        <f>IFERROR(__xludf.DUMMYFUNCTION("GOOGLETRANSLATE(C131, ""en"", ""pt-br"")"),"Composto de material de boa qualidade .... sem problemas até a data ..... Regalidade pelo dinheiro, verifiquei muitos produtos na Amazon, este é um produto muito bom, usado para conectar o misturador ao meu obage DT 31 Tower Speakers, oferece melhor Quali"&amp;"dade do som, eu o uso para conectar meu sistema de som Zebronics 5.1 ao meu PC e sim, ele faz o trabalho muito bom !!!!, bom, usando com sub, o cabo é bom, os conectores também são fortes. Mas o preço é muito alto., Trabalhando tão bem quanto 1,5 milhão d"&amp;"e cabos que minha empresa de alto -falantes forneceu. Boa qualidade, ouro completo. Looks premium.")</f>
        <v>Composto de material de boa qualidade .... sem problemas até a data ..... Regalidade pelo dinheiro, verifiquei muitos produtos na Amazon, este é um produto muito bom, usado para conectar o misturador ao meu obage DT 31 Tower Speakers, oferece melhor Qualidade do som, eu o uso para conectar meu sistema de som Zebronics 5.1 ao meu PC e sim, ele faz o trabalho muito bom !!!!, bom, usando com sub, o cabo é bom, os conectores também são fortes. Mas o preço é muito alto., Trabalhando tão bem quanto 1,5 milhão de cabos que minha empresa de alto -falantes forneceu. Boa qualidade, ouro completo. Looks premium.</v>
      </c>
    </row>
    <row r="132">
      <c r="A132" s="9" t="s">
        <v>559</v>
      </c>
      <c r="B132" s="29" t="str">
        <f>VLOOKUP(dados!A132, reviews!A:G, 5, FALSE)</f>
        <v>Wonderful TV and Awful installation service from amazon,Acer Television Review,It's a good product for that price.,Good for the price,Almost a complete package,Nice Product,Good product,Super designed</v>
      </c>
      <c r="C132" s="29" t="str">
        <f>VLOOKUP(dados!A132, reviews!A:G, 6, FALSE)</f>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v>
      </c>
      <c r="D132" s="29" t="str">
        <f>IFERROR(__xludf.DUMMYFUNCTION("GOOGLETRANSLATE(B132, ""en"", ""pt-br"")"),"TV maravilhoso e serviço de instalação horrível da Amazon, Acer Television Review, é um bom produto para esse preço., Bom para o preço, quase um pacote completo, bom produto, bom produto, super projetado")</f>
        <v>TV maravilhoso e serviço de instalação horrível da Amazon, Acer Television Review, é um bom produto para esse preço., Bom para o preço, quase um pacote completo, bom produto, bom produto, super projetado</v>
      </c>
      <c r="E132" s="29" t="str">
        <f>IFERROR(__xludf.DUMMYFUNCTION("GOOGLETRANSLATE(C132, ""en"", ""pt-br"")"),"Sobre a TV-Maravilhosa ------------------------------------------- -------------------- Provavelmente a melhor TV nessa faixa de preço (INR13000) .GOOD-Interface do Google, carregado com recursos, consumo leve de energia de 55 watts, design estável-Sound "&amp;"E a qualidade da imagem é muito boa, mas se você a comparar com marcas premium, obviamente não é tão bom. Console de jogos, cabo de prato antigo e antena de TV direta como bem construído em Chromecast para lançar qualquer aplicativo compatível diretamente"&amp;" do telefone para a TV na mesma rede WiFi para conectar o telefone -1. Via recurso de elenco em aplicativos móveis - nenhuma senha necessária só precisa estar na mesma rede wifi2. Via Chromecast App - Projeto apenas mídia selecionada (fotos, vídeos) ou se"&amp;"nões de telefone inteiras para conectar o PC/laptop -1. Opção Windows Cast-projete toda a tela do laptop na TV usando a opção Windows Cast (precisa ser conectado na mesma rede WiFi. --------------------------------------- 1. O técnico trouxe um gancho de "&amp;"suspensão barato que tinha MRP INR116 e pediu INR499 por isso sem nenhum recibo. Ele continuou dizendo que não estava à venda e a empresa havia enviado isso especialmente. No entanto, ele claramente havia mencionado MRP2. Fui ao mercado e comprei um gabin"&amp;"ete muito melhor Por apenas INR200 e para a instalação disso também, o técnico foi realmente inflexível para perfurar os dois orifícios necessários no topo. Ele apenas perfurou um na parte superior e outro na parte inferior e manteve todos os outros paraf"&amp;"usos sobressalentes (que eu havia comprado) com ele. Após cerca de meia hora de discussões, ele finalmente perfurou os outros orifícios necessários. E por tudo isso, ele continuou me xingando que eu perdi seu tempo. Não havia assistência da pessoa que rep"&amp;"resentava a agência de serviços também. Este processo inteiro levou Duas horas para concluir isso também com muitos argumentos. Essa foi a pior experiência de instalação da minha vida até agora. É apenas uma farsa. Em vez disso, chame o suporte do Acer. E"&amp;"les farão o trabalho muito melhor., Depois de usá -lo por 2 meses, aqui estão os prós e os contras: Prós: 1. Ótima qualidade de imagem. É incrível. Os negros são muito bons e são ajustáveis. O som com 30dB é muito bom4. Parece ótimo com besel5 fino. O con"&amp;"trole remoto vem com botões OTT favoritos. Upscaling de conteúdo é muito bom.CONS: 1. O controle remoto poderia ter sido melhor. Não posso usar o DTH Remote para ativar a televisão e definir a caixa superior. A operação remota é um pouco complexa. Tecnolo"&amp;"gia de movimento não é ótima. Há um borrão perceptível ao assistir a Moving Ballson Ott, mas diminui quando você muda para o DTH. No geral, é uma boa compra a esse preço. Acho que estou recebendo uma qualidade e som de imagem bastante melhor. Estou satisf"&amp;"eito com o produto., O produto tem uma boa qualidade de imagem. Bom produto a esse preço com som de 25W. Aplicativos funcionando sem problemas. 3 meses mais velho e sem problemas ainda. Está funcionando sem problemas., Você obtém recursos decentes pelo pr"&amp;"eço que paga. A resolução da tela pode ser. Volte como você pode encontrar pixalação. No geral, é bom, fico impressionado com a qualidade da imagem desta TV 720p (pronta para HD). É realmente um painel incrível. Achei adequado para uma distância de visual"&amp;"ização entre 6 e 10 pés. Qualquer um mais próximo pode não parecer muito nítido e mais longe, parecerá um tamanho muito pequeno. Os alto -falantes também são muito bons para o preço e podem ficar muito altos sem distorções. No entanto, como o alto -falant"&amp;"e está disparando para baixo, a experiência varia de acordo com se a TV está montada na parede ou mantida em um estande. O controle remoto é bom, a pesquisa de voz funciona bem para mim. A TV Start Up leva muito tempo na minha opinião, mas não a comparei "&amp;"com nenhuma outra TV de 32 polegadas e, portanto, não sei onde está entre os colegas. O único aspecto negativo que enfrentei é a experiência de usar meus fones de ouvido Bluetooth. Em primeiro lugar, a conexão às vezes não acontece automaticamente após um"&amp;"a reinicialização - o que significa que eu tenho que remover e redescobrir o dispositivo através do menu que não é simples. Em segundo lugar, o sinal em si parece ser muito fraco e, mesmo a uma distância de 8 pés na frente da TV, o sinal quebra, mesmo se "&amp;"você mover a cabeça em 2-3 polegadas. No entanto, ainda estou super feliz com esta TV. Eu o recebi por 8k durante a oferta de lançamento e vale totalmente a pena e é recomendado do meu lado., Nesta faixa de preço (₹ 11499/-), é um produto de boa qualidade"&amp;" neste mercado ... o acerto só deve funcionar com a qualidade do som melhoria, caso contrário, a qualidade da picture é realmente impressionante, conectividade Wi -Fi boa, fácil de instalar, o design da tela sem corpo é premium e também o suporte ao Googl"&amp;"e Voice é bom (às vezes atrasado). Não há grandes questões encontradas nesta TV. Apenas vá em frente., Vellu por dinheiro. Bom produto, dinheiro muito bom de produtos")</f>
        <v>Sobre a TV-Maravilhosa ------------------------------------------- -------------------- Provavelmente a melhor TV nessa faixa de preço (INR13000) .GOOD-Interface do Google, carregado com recursos, consumo leve de energia de 55 watts, design estável-Sound E a qualidade da imagem é muito boa, mas se você a comparar com marcas premium, obviamente não é tão bom. Console de jogos, cabo de prato antigo e antena de TV direta como bem construído em Chromecast para lançar qualquer aplicativo compatível diretamente do telefone para a TV na mesma rede WiFi para conectar o telefone -1. Via recurso de elenco em aplicativos móveis - nenhuma senha necessária só precisa estar na mesma rede wifi2. Via Chromecast App - Projeto apenas mídia selecionada (fotos, vídeos) ou senões de telefone inteiras para conectar o PC/laptop -1. Opção Windows Cast-projete toda a tela do laptop na TV usando a opção Windows Cast (precisa ser conectado na mesma rede WiFi. --------------------------------------- 1. O técnico trouxe um gancho de suspensão barato que tinha MRP INR116 e pediu INR499 por isso sem nenhum recibo. Ele continuou dizendo que não estava à venda e a empresa havia enviado isso especialmente. No entanto, ele claramente havia mencionado MRP2. Fui ao mercado e comprei um gabinete muito melhor Por apenas INR200 e para a instalação disso também, o técnico foi realmente inflexível para perfurar os dois orifícios necessários no topo. Ele apenas perfurou um na parte superior e outro na parte inferior e manteve todos os outros parafusos sobressalentes (que eu havia comprado) com ele. Após cerca de meia hora de discussões, ele finalmente perfurou os outros orifícios necessários. E por tudo isso, ele continuou me xingando que eu perdi seu tempo. Não havia assistência da pessoa que representava a agência de serviços também. Este processo inteiro levou Duas horas para concluir isso também com muitos argumentos. Essa foi a pior experiência de instalação da minha vida até agora. É apenas uma farsa. Em vez disso, chame o suporte do Acer. Eles farão o trabalho muito melhor., Depois de usá -lo por 2 meses, aqui estão os prós e os contras: Prós: 1. Ótima qualidade de imagem. É incrível. Os negros são muito bons e são ajustáveis. O som com 30dB é muito bom4. Parece ótimo com besel5 fino. O controle remoto vem com botões OTT favoritos. Upscaling de conteúdo é muito bom.CONS: 1. O controle remoto poderia ter sido melhor. Não posso usar o DTH Remote para ativar a televisão e definir a caixa superior. A operação remota é um pouco complexa. Tecnologia de movimento não é ótima. Há um borrão perceptível ao assistir a Moving Ballson Ott, mas diminui quando você muda para o DTH. No geral, é uma boa compra a esse preço. Acho que estou recebendo uma qualidade e som de imagem bastante melhor. Estou satisfeito com o produto., O produto tem uma boa qualidade de imagem. Bom produto a esse preço com som de 25W. Aplicativos funcionando sem problemas. 3 meses mais velho e sem problemas ainda. Está funcionando sem problemas., Você obtém recursos decentes pelo preço que paga. A resolução da tela pode ser. Volte como você pode encontrar pixalação. No geral, é bom, fico impressionado com a qualidade da imagem desta TV 720p (pronta para HD). É realmente um painel incrível. Achei adequado para uma distância de visualização entre 6 e 10 pés. Qualquer um mais próximo pode não parecer muito nítido e mais longe, parecerá um tamanho muito pequeno. Os alto -falantes também são muito bons para o preço e podem ficar muito altos sem distorções. No entanto, como o alto -falante está disparando para baixo, a experiência varia de acordo com se a TV está montada na parede ou mantida em um estande. O controle remoto é bom, a pesquisa de voz funciona bem para mim. A TV Start Up leva muito tempo na minha opinião, mas não a comparei com nenhuma outra TV de 32 polegadas e, portanto, não sei onde está entre os colegas. O único aspecto negativo que enfrentei é a experiência de usar meus fones de ouvido Bluetooth. Em primeiro lugar, a conexão às vezes não acontece automaticamente após uma reinicialização - o que significa que eu tenho que remover e redescobrir o dispositivo através do menu que não é simples. Em segundo lugar, o sinal em si parece ser muito fraco e, mesmo a uma distância de 8 pés na frente da TV, o sinal quebra, mesmo se você mover a cabeça em 2-3 polegadas. No entanto, ainda estou super feliz com esta TV. Eu o recebi por 8k durante a oferta de lançamento e vale totalmente a pena e é recomendado do meu lado., Nesta faixa de preço (₹ 11499/-), é um produto de boa qualidade neste mercado ... o acerto só deve funcionar com a qualidade do som melhoria, caso contrário, a qualidade da picture é realmente impressionante, conectividade Wi -Fi boa, fácil de instalar, o design da tela sem corpo é premium e também o suporte ao Google Voice é bom (às vezes atrasado). Não há grandes questões encontradas nesta TV. Apenas vá em frente., Vellu por dinheiro. Bom produto, dinheiro muito bom de produtos</v>
      </c>
    </row>
    <row r="133">
      <c r="A133" s="9" t="s">
        <v>562</v>
      </c>
      <c r="B133" s="29" t="str">
        <f>VLOOKUP(dados!A133, reviews!A:G, 5, FALSE)</f>
        <v>Good material, fast charging,Costly but good product,Support type c super fast charging,Good quality,Sturdy cable &amp; has decent charging capabilities.,Good buy.,Gud product.,Very good product</v>
      </c>
      <c r="C133" s="29" t="str">
        <f>VLOOKUP(dados!A133, reviews!A:G, 6, FALSE)</f>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v>
      </c>
      <c r="D133" s="29" t="str">
        <f>IFERROR(__xludf.DUMMYFUNCTION("GOOGLETRANSLATE(B133, ""en"", ""pt-br"")"),"Bom material, carregamento rápido, produto caro, mas bom, suporte super C, de boa qualidade, cabo de boa qualidade e recursos de carregamento decente., Boa compra., Produto Gud.")</f>
        <v>Bom material, carregamento rápido, produto caro, mas bom, suporte super C, de boa qualidade, cabo de boa qualidade e recursos de carregamento decente., Boa compra., Produto Gud.</v>
      </c>
      <c r="E133" s="29" t="str">
        <f>IFERROR(__xludf.DUMMYFUNCTION("GOOGLETRANSLATE(C133, ""en"", ""pt-br"")"),"OS Material OS muito bom, inicialmente cobra muito rápido, mas após 7 meses viu uma diferença na velocidade, entrei em contato com o vendedor para garantir, dentro de 1 dia eles me entregaram um novo sem nenhum custo. Seja um pouco macio ... é muito difíc"&amp;"il de dobrá -lo, o produto é bom, mas eu preciso de substituição o mais rápido possível. Porque parou de funcionar., O cabo é fisicamente resiliente e parece bom também. O cabo parou de funcionar em 7 meses - contatou o suporte ao cliente e garantiu uma s"&amp;"ubstituição em breve. Em suma, uma reivindicação de garantia sem complicações.")</f>
        <v>OS Material OS muito bom, inicialmente cobra muito rápido, mas após 7 meses viu uma diferença na velocidade, entrei em contato com o vendedor para garantir, dentro de 1 dia eles me entregaram um novo sem nenhum custo. Seja um pouco macio ... é muito difícil de dobrá -lo, o produto é bom, mas eu preciso de substituição o mais rápido possível. Porque parou de funcionar., O cabo é fisicamente resiliente e parece bom também. O cabo parou de funcionar em 7 meses - contatou o suporte ao cliente e garantiu uma substituição em breve. Em suma, uma reivindicação de garantia sem complicações.</v>
      </c>
    </row>
    <row r="134">
      <c r="A134" s="9" t="s">
        <v>566</v>
      </c>
      <c r="B134" s="29" t="str">
        <f>VLOOKUP(dados!A134, reviews!A:G, 5, FALSE)</f>
        <v>Good Quality but cheap color,Good product ,at this price,Good product,अच्छा है।,Nice product with finishing issues,Perfect Gen 3 Echo Dot Holder,Happy,Your power outlet has to bear the weight</v>
      </c>
      <c r="C134" s="29" t="str">
        <f>VLOOKUP(dados!A134, reviews!A:G, 6, FALSE)</f>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v>
      </c>
      <c r="D134" s="29" t="str">
        <f>IFERROR(__xludf.DUMMYFUNCTION("GOOGLETRANSLATE(B134, ""en"", ""pt-br"")"),"Cor de boa qualidade, mas barata, bom produto, a esse preço, bom produto, अच्छा है।, bom produto com problemas de acabamento, suporte perfeito para o eco da geração 3, feliz, sua saída precisa suportar o peso")</f>
        <v>Cor de boa qualidade, mas barata, bom produto, a esse preço, bom produto, अच्छा है।, bom produto com problemas de acabamento, suporte perfeito para o eco da geração 3, feliz, sua saída precisa suportar o peso</v>
      </c>
      <c r="E134" s="29" t="str">
        <f>IFERROR(__xludf.DUMMYFUNCTION("GOOGLETRANSLATE(C134, ""en"", ""pt-br"")"),"A cor não é a mesma que é mostrada nas imagens. Descanse, a qualidade é boa., Vá em frente ,,, ,, é útil e forte também. Mas compre apenas a venda ou preço com desconto. Bit esteja alerta do entregador do DTDC da Amazon. Mesmo eles estão prontos para qual"&amp;"quer coisa como Gundas., Usando de vários meses. Produto muito bom. Se você deseja evitar o cabo, este é o melhor produto., Eco Dot 3rd, o produto faz seu trabalho, mas a qualidade pode ser melhorada. As bordas não são suaves e são feitas de plástico de b"&amp;"aixa qualidade. Sem brilho, exceto uma perspectiva maçante. Ainda bem, para comprar neste preço., O produto detém corretamente o ponto de eco e os cabos sem impedir a colocação plana na parede. A posição do suporte também pode ser deslocada levemente (em "&amp;"termos de distância da parede) porque o suporte pode deslizar no adaptador. Esses são os maiores profissionais do produto, como para os contras, o produto pode melhorar a qualidade e a textura plástica. Não vá para isso .. pode cair")</f>
        <v>A cor não é a mesma que é mostrada nas imagens. Descanse, a qualidade é boa., Vá em frente ,,, ,, é útil e forte também. Mas compre apenas a venda ou preço com desconto. Bit esteja alerta do entregador do DTDC da Amazon. Mesmo eles estão prontos para qualquer coisa como Gundas., Usando de vários meses. Produto muito bom. Se você deseja evitar o cabo, este é o melhor produto., Eco Dot 3rd, o produto faz seu trabalho, mas a qualidade pode ser melhorada. As bordas não são suaves e são feitas de plástico de baixa qualidade. Sem brilho, exceto uma perspectiva maçante. Ainda bem, para comprar neste preço., O produto detém corretamente o ponto de eco e os cabos sem impedir a colocação plana na parede. A posição do suporte também pode ser deslocada levemente (em termos de distância da parede) porque o suporte pode deslizar no adaptador. Esses são os maiores profissionais do produto, como para os contras, o produto pode melhorar a qualidade e a textura plástica. Não vá para isso .. pode cair</v>
      </c>
    </row>
    <row r="135">
      <c r="A135" s="9" t="s">
        <v>574</v>
      </c>
      <c r="B135" s="29" t="str">
        <f>VLOOKUP(dados!A135, reviews!A:G, 5, FALSE)</f>
        <v>Very useful,Good Product,Good,Very very short wire,Good quality, suitable to use with Powerbank,Great,Not satisfactory,bad not use no working usb cebels no replec prodacts</v>
      </c>
      <c r="C135" s="29" t="str">
        <f>VLOOKUP(dados!A135, reviews!A:G, 6, FALSE)</f>
        <v>The 2 in 1 charger is very much useful as there are still people who uses micro usb as well as c,Nice cable 👌🏼  2 in 1 , budget product and durable,Good,I am not satisfied 🙈,Quality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v>
      </c>
      <c r="D135" s="29" t="str">
        <f>IFERROR(__xludf.DUMMYFUNCTION("GOOGLETRANSLATE(B135, ""en"", ""pt-br"")"),"Muito útil, bom produto, bom, fio muito curto, boa qualidade, adequado para usar com o PowerBank, ótimo, não satisfatório, ruim, não use sem trabalho USB chebel")</f>
        <v>Muito útil, bom produto, bom, fio muito curto, boa qualidade, adequado para usar com o PowerBank, ótimo, não satisfatório, ruim, não use sem trabalho USB chebel</v>
      </c>
      <c r="E135" s="29" t="str">
        <f>IFERROR(__xludf.DUMMYFUNCTION("GOOGLETRANSLATE(C135, ""en"", ""pt-br"")"),"O carregador 2 em 1 é muito útil, pois ainda existem pessoas que usam micro USB e C, bom cabo 👌🏼 2 em 1, produto orçamentário e durável, bom, não estou satisfeito 🙈, a qualidade do produto é boa. Carregamento rápido suportado. Não pode usar com carrega"&amp;"dores de parede, pois o comprimento é curto. Bom usar com PowerBank e laptops., Justificando preço, tamanho do fio muito pequeno, não woking prodact amazon isuss cebals bad prodactsi eu sou eu uso esse produto não retenção pleess pikup prodats prodats")</f>
        <v>O carregador 2 em 1 é muito útil, pois ainda existem pessoas que usam micro USB e C, bom cabo 👌🏼 2 em 1, produto orçamentário e durável, bom, não estou satisfeito 🙈, a qualidade do produto é boa. Carregamento rápido suportado. Não pode usar com carregadores de parede, pois o comprimento é curto. Bom usar com PowerBank e laptops., Justificando preço, tamanho do fio muito pequeno, não woking prodact amazon isuss cebals bad prodactsi eu sou eu uso esse produto não retenção pleess pikup prodats prodats</v>
      </c>
    </row>
    <row r="136">
      <c r="A136" s="9" t="s">
        <v>578</v>
      </c>
      <c r="B136" s="29" t="str">
        <f>VLOOKUP(dados!A136, reviews!A:G, 5, FALSE)</f>
        <v>Sturdy and good quality,Small cable, works fine,Average,Good one,It affects iPhones’ battery health,Did not like,awesome product,Good</v>
      </c>
      <c r="C136" s="29" t="str">
        <f>VLOOKUP(dados!A136, reviews!A:G, 6, FALSE)</f>
        <v>https://m.media-amazon.com/images/I/71SaXlf9TZL._SY88.jpg,Small cable otherwise good,,I like the product.,Quality is good but after a month immediately I lose 9% of battery health so that’s why I stop using it,Not sturdy, cable will break in just weeks,i suggest this product,Nice</v>
      </c>
      <c r="D136" s="29" t="str">
        <f>IFERROR(__xludf.DUMMYFUNCTION("GOOGLETRANSLATE(B136, ""en"", ""pt-br"")"),"Resistente e de boa qualidade, pequeno cabo, funciona bem, médio, bom, afeta a saúde da bateria dos iPhones, não gostou, produto incrível, bom")</f>
        <v>Resistente e de boa qualidade, pequeno cabo, funciona bem, médio, bom, afeta a saúde da bateria dos iPhones, não gostou, produto incrível, bom</v>
      </c>
      <c r="E136" s="29" t="str">
        <f>IFERROR(__xludf.DUMMYFUNCTION("GOOGLETRANSLATE(C136, ""en"", ""pt-br"")"),"https://m.media-amazon.com/images/i/71saxlf9tzl._sy88.jpg.small Cable Caso contrário, eu gosto do produto., Qualidade é boa, mas depois de um mês imediatamente perco 9% da saúde da bateria, então É por isso que paro")</f>
        <v>https://m.media-amazon.com/images/i/71saxlf9tzl._sy88.jpg.small Cable Caso contrário, eu gosto do produto., Qualidade é boa, mas depois de um mês imediatamente perco 9% da saúde da bateria, então É por isso que paro</v>
      </c>
    </row>
    <row r="137">
      <c r="A137" s="9" t="s">
        <v>582</v>
      </c>
      <c r="B137" s="29" t="str">
        <f>VLOOKUP(dados!A137, reviews!A:G, 5, FALSE)</f>
        <v>Love Amazon but lg is misleading,Amazing product,Worst service from LG,Good,Simply beautiful,Satisfied with the TV,Great deal,It is quite ok</v>
      </c>
      <c r="C137" s="29" t="str">
        <f>VLOOKUP(dados!A137, reviews!A:G, 6, FALSE)</f>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v>
      </c>
      <c r="D137" s="29" t="str">
        <f>IFERROR(__xludf.DUMMYFUNCTION("GOOGLETRANSLATE(B137, ""en"", ""pt-br"")"),"Love Amazon, mas a LG é enganosa, produto incrível, o pior serviço da LG, bom, simplesmente bonito, satisfeito com a TV, muito, está tudo bem")</f>
        <v>Love Amazon, mas a LG é enganosa, produto incrível, o pior serviço da LG, bom, simplesmente bonito, satisfeito com a TV, muito, está tudo bem</v>
      </c>
      <c r="E137" s="29" t="str">
        <f>IFERROR(__xludf.DUMMYFUNCTION("GOOGLETRANSLATE(C137, ""en"", ""pt-br"")"),"Não há remoto mágico e a LG deve incluí -lo por padrão, pois facilita a vida. O Magic Remote custa cerca de 3k aproximadamente. Ligue e pergunte qual é o problema e quando informado sobre o problema que ele disse que precisa ser substituído, mas nenhum co"&amp;"rpo veio com ele. Então eu esperei 2 dias novamente e nada estava aparecendo no aplicativo da Amazon sobre substituição, então duvidando que eu chamei o cliente da Amazon Cuide -se novamente e expliquei tudo de novo e finalmente falei com alguém e ela dis"&amp;"se que o substituirá e recebi outra data em 4 dias. Essa vez a substituição veio e foi boa., Amazing Picture Quality e Som Clarity, mas apenas desvantagens é que ele não veio com um controle remoto mágico., A televisão é boa, mas o serviço de instalação é"&amp;" patético antes de tudo o que não entraram em contato conosco até 2 dias após a entrega da TV e ficamos frustrados e ligamos para o atendimento ao cliente da LG e eles aceitaram o nosso Problema e envie um técnico após 2 horas e, ao instalar a montagem, e"&amp;"le instalou 3 parafusos com sucesso, mas ele quebrou o último parafuso e perguntamos a ele que não causará um problema no futuro, ele disse que não seria, mas não acreditamos nele ., Bom, muito boa qualidade de boa qualidade neste preço, boa escolha, melh"&amp;"or negócio, eu gosto de LGWORTH por preço. Muito bom")</f>
        <v>Não há remoto mágico e a LG deve incluí -lo por padrão, pois facilita a vida. O Magic Remote custa cerca de 3k aproximadamente. Ligue e pergunte qual é o problema e quando informado sobre o problema que ele disse que precisa ser substituído, mas nenhum corpo veio com ele. Então eu esperei 2 dias novamente e nada estava aparecendo no aplicativo da Amazon sobre substituição, então duvidando que eu chamei o cliente da Amazon Cuide -se novamente e expliquei tudo de novo e finalmente falei com alguém e ela disse que o substituirá e recebi outra data em 4 dias. Essa vez a substituição veio e foi boa., Amazing Picture Quality e Som Clarity, mas apenas desvantagens é que ele não veio com um controle remoto mágico., A televisão é boa, mas o serviço de instalação é patético antes de tudo o que não entraram em contato conosco até 2 dias após a entrega da TV e ficamos frustrados e ligamos para o atendimento ao cliente da LG e eles aceitaram o nosso Problema e envie um técnico após 2 horas e, ao instalar a montagem, ele instalou 3 parafusos com sucesso, mas ele quebrou o último parafuso e perguntamos a ele que não causará um problema no futuro, ele disse que não seria, mas não acreditamos nele ., Bom, muito boa qualidade de boa qualidade neste preço, boa escolha, melhor negócio, eu gosto de LGWORTH por preço. Muito bom</v>
      </c>
    </row>
    <row r="138">
      <c r="A138" s="9" t="s">
        <v>586</v>
      </c>
      <c r="B138" s="29" t="str">
        <f>VLOOKUP(dados!A138, reviews!A:G, 5, FALSE)</f>
        <v>The metal pin is losing it's strength,Sahi h bs 44 rupe ki and dilivery charge 40,Good Charging cable,Good sturdy micro usb cable with good charging speeds,Cheapest micro USB cable in the market,boat is better than this,I bought this for 199rs best charging cable for all mobiles,Good</v>
      </c>
      <c r="C138" s="29" t="str">
        <f>VLOOKUP(dados!A138, reviews!A:G, 6, FALSE)</f>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v>
      </c>
      <c r="D138" s="29" t="str">
        <f>IFERROR(__xludf.DUMMYFUNCTION("GOOGLETRANSLATE(B138, ""en"", ""pt-br"")"),"O pino de metal está perdendo a força, Sahi H BS 44 Rupe Ki e Dilivery Charge 40, bom cabo de carregamento, bom cabo robusto micro USB com boas velocidades de carregamento, cabo micro USB mais barato do mercado, o barco é melhor do que isso, comprei isso "&amp;"Para o melhor cabo de carregamento de 199Rs para todos os celulares, bom")</f>
        <v>O pino de metal está perdendo a força, Sahi H BS 44 Rupe Ki e Dilivery Charge 40, bom cabo de carregamento, bom cabo robusto micro USB com boas velocidades de carregamento, cabo micro USB mais barato do mercado, o barco é melhor do que isso, comprei isso Para o melhor cabo de carregamento de 199Rs para todos os celulares, bom</v>
      </c>
      <c r="E138" s="29" t="str">
        <f>IFERROR(__xludf.DUMMYFUNCTION("GOOGLETRANSLATE(C138, ""en"", ""pt-br"")"),"É um bom cabo de dados e eu recomendo a compra, o único problema foi que o pino de metal não é fixo firmemente, por isso ficou solto, caso contrário, nenhum problema deve comprar, https: //m.media-amazon.com/images/ I/615SGNWV1ML._SY88.JPG, Cabo de carreg"&amp;"amento, que é resistente, não é um cabo de carregamento rápido, mas os três pontos de venda fazem o trabalho., Bom cabo Micro USB com boas velocidades de carregamento. Por favor, não aumente os preços, bom produto, um cabo simplico microUSB, 😂, melhor pa"&amp;"ra este preço, bom")</f>
        <v>É um bom cabo de dados e eu recomendo a compra, o único problema foi que o pino de metal não é fixo firmemente, por isso ficou solto, caso contrário, nenhum problema deve comprar, https: //m.media-amazon.com/images/ I/615SGNWV1ML._SY88.JPG, Cabo de carregamento, que é resistente, não é um cabo de carregamento rápido, mas os três pontos de venda fazem o trabalho., Bom cabo Micro USB com boas velocidades de carregamento. Por favor, não aumente os preços, bom produto, um cabo simplico microUSB, 😂, melhor para este preço, bom</v>
      </c>
    </row>
    <row r="139">
      <c r="A139" s="9" t="s">
        <v>590</v>
      </c>
      <c r="B139" s="29" t="str">
        <f>VLOOKUP(dados!A139, reviews!A:G, 5, FALSE)</f>
        <v>Fantastic Ultra High Speed HDMI cable,Amazing product,Regarding cable</v>
      </c>
      <c r="C139" s="29" t="str">
        <f>VLOOKUP(dados!A139, reviews!A:G, 6, FALSE)</f>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v>
      </c>
      <c r="D139" s="29" t="str">
        <f>IFERROR(__xludf.DUMMYFUNCTION("GOOGLETRANSLATE(B139, ""en"", ""pt-br"")"),"Cabo HDMI de alta velocidade ultra -alta fantástico, produto incrível, sobre o cabo")</f>
        <v>Cabo HDMI de alta velocidade ultra -alta fantástico, produto incrível, sobre o cabo</v>
      </c>
      <c r="E139" s="29" t="str">
        <f>IFERROR(__xludf.DUMMYFUNCTION("GOOGLETRANSLATE(C139, ""en"", ""pt-br"")"),"Absolutamente valor pelo dinheiro. Eu o conecto com minha TV UHD de 55 polegadas Samsung, JBL 3.1 Soundbar e Jio Set Top Box. Tudo está trabalhando zakkaass !! A qualidade da imagem melhorou em comparação com o meu cabo anterior. Agora, recebendo o Dolby "&amp;"5.1 com esta configuração. Polegares para este item., Melhor produto a preço justo. A qualidade do cabo é muito boa., Deve comprar a limpeza da imagem até a marca")</f>
        <v>Absolutamente valor pelo dinheiro. Eu o conecto com minha TV UHD de 55 polegadas Samsung, JBL 3.1 Soundbar e Jio Set Top Box. Tudo está trabalhando zakkaass !! A qualidade da imagem melhorou em comparação com o meu cabo anterior. Agora, recebendo o Dolby 5.1 com esta configuração. Polegares para este item., Melhor produto a preço justo. A qualidade do cabo é muito boa., Deve comprar a limpeza da imagem até a marca</v>
      </c>
    </row>
    <row r="140">
      <c r="A140" s="9" t="s">
        <v>594</v>
      </c>
      <c r="B140" s="29" t="str">
        <f>VLOOKUP(dados!A140, reviews!A:G, 5, FALSE)</f>
        <v>Works like Charm,Useful,Good,Very nice,Doesn't perform like an original.,Working properly,Most of the functions work,It’s Working</v>
      </c>
      <c r="C140" s="29" t="str">
        <f>VLOOKUP(dados!A140, reviews!A:G, 6, FALSE)</f>
        <v>The remote looks very similar to the original one. Doesn’t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sturdy.,It’s working but buttons are not good.</v>
      </c>
      <c r="D140" s="29" t="str">
        <f>IFERROR(__xludf.DUMMYFUNCTION("GOOGLETRANSLATE(B140, ""en"", ""pt-br"")"),"Funciona como charme, útil, bom, muito bom, não funciona como um original., Funcionando corretamente, a maioria das funções funciona, está funcionando")</f>
        <v>Funciona como charme, útil, bom, muito bom, não funciona como um original., Funcionando corretamente, a maioria das funções funciona, está funcionando</v>
      </c>
      <c r="E140" s="29" t="str">
        <f>IFERROR(__xludf.DUMMYFUNCTION("GOOGLETRANSLATE(C140, ""en"", ""pt-br"")"),"O controle remoto parece muito semelhante ao original. Não precisa de nenhuma configuração específica e já está sintonizada com a nossa TV liderada pela Sony Bravia., Trabalhando perfeitamente, funcionando bem até agora, melhor remoto do mercado. Estou us"&amp;"ando e controlando a Sony Smart TV. Fácil de usar. Trabalhando sem problemas até a data. Todas as funções estão funcionando. Melhor substituição remota em preço competitivo., Não funciona como um produto original., Razoável, mas de boa qualidade, como o e"&amp;"sperado, todas as funções necessárias funcionam sem problemas. O controle remoto é feito de plástico de alta qualidade, não tenho certeza de quantos anos vai durar, mas a qualidade da qualidade da qualidade e se sente robusta., Está funcionando, mas os bo"&amp;"tões não são bons.")</f>
        <v>O controle remoto parece muito semelhante ao original. Não precisa de nenhuma configuração específica e já está sintonizada com a nossa TV liderada pela Sony Bravia., Trabalhando perfeitamente, funcionando bem até agora, melhor remoto do mercado. Estou usando e controlando a Sony Smart TV. Fácil de usar. Trabalhando sem problemas até a data. Todas as funções estão funcionando. Melhor substituição remota em preço competitivo., Não funciona como um produto original., Razoável, mas de boa qualidade, como o esperado, todas as funções necessárias funcionam sem problemas. O controle remoto é feito de plástico de alta qualidade, não tenho certeza de quantos anos vai durar, mas a qualidade da qualidade da qualidade e se sente robusta., Está funcionando, mas os botões não são bons.</v>
      </c>
    </row>
    <row r="141">
      <c r="A141" s="9" t="s">
        <v>598</v>
      </c>
      <c r="B141" s="29" t="str">
        <f>VLOOKUP(dados!A141, reviews!A:G, 5, FALSE)</f>
        <v>Just buy it dont even 2nd guess it,Quality is good,Nylon braided quiet sturdy,Amazing,Feels like steel harnessed wire - strong,Sturdy and durable. Useful for charging Power Banks,good,Nice quality</v>
      </c>
      <c r="C141" s="29" t="str">
        <f>VLOOKUP(dados!A141, reviews!A:G, 6, FALSE)</f>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v>
      </c>
      <c r="D141" s="29" t="str">
        <f>IFERROR(__xludf.DUMMYFUNCTION("GOOGLETRANSLATE(B141, ""en"", ""pt-br"")"),"Basta comprar, nem o segundo adivinhe, a qualidade é boa, nylon trançado silencioso robusto, incrível, parece um fio de aço - forte, forte e durável. Útil para cobrar bancos de energia, boa, boa qualidade")</f>
        <v>Basta comprar, nem o segundo adivinhe, a qualidade é boa, nylon trançado silencioso robusto, incrível, parece um fio de aço - forte, forte e durável. Útil para cobrar bancos de energia, boa, boa qualidade</v>
      </c>
      <c r="E141" s="29" t="str">
        <f>IFERROR(__xludf.DUMMYFUNCTION("GOOGLETRANSLATE(C141, ""en"", ""pt-br"")"),"Um cabo incrível por 300 dólares, ok de carregamento. Parece muito resistente e durável., Charagem rápida de até 25watts 2m de comprimento e realmente durável. Procurei como a 4ª vez passou por meus cabos mais antigos para os membros da família ainda em e"&amp;"stado de trabalho. Comprei em 2019 e quase os últimos três anos Publique um uso pesado ... vou comprar de novo! Cabo de carregamento USB C de boa qualidade, de boa qualidade, que permite o carregamento rápido para os telefones Samsung M21, bem como M33 5G"&amp;" 24 W, buscando telefones. Comprimento do cabo de 2 metros útil para manter o telefone na mesa enquanto carrega o adaptador conectado à saída elétrica. Melhor valor. Custos de 2 m semelhantes custam 3x ou 4x no mercado de varejo. Este é o melhor preço, ót"&amp;"imo produto. Quer isso, pois minha bateria portátil possui slot USB e iPad e Kindle Reader possui portas USB-C. Se encaixa perfeitamente na minha necessidade. Cobra muito rápido., Bom, muito bom no geral")</f>
        <v>Um cabo incrível por 300 dólares, ok de carregamento. Parece muito resistente e durável., Charagem rápida de até 25watts 2m de comprimento e realmente durável. Procurei como a 4ª vez passou por meus cabos mais antigos para os membros da família ainda em estado de trabalho. Comprei em 2019 e quase os últimos três anos Publique um uso pesado ... vou comprar de novo! Cabo de carregamento USB C de boa qualidade, de boa qualidade, que permite o carregamento rápido para os telefones Samsung M21, bem como M33 5G 24 W, buscando telefones. Comprimento do cabo de 2 metros útil para manter o telefone na mesa enquanto carrega o adaptador conectado à saída elétrica. Melhor valor. Custos de 2 m semelhantes custam 3x ou 4x no mercado de varejo. Este é o melhor preço, ótimo produto. Quer isso, pois minha bateria portátil possui slot USB e iPad e Kindle Reader possui portas USB-C. Se encaixa perfeitamente na minha necessidade. Cobra muito rápido., Bom, muito bom no geral</v>
      </c>
    </row>
    <row r="142">
      <c r="A142" s="9" t="s">
        <v>602</v>
      </c>
      <c r="B142" s="29" t="str">
        <f>VLOOKUP(dados!A142, reviews!A:G, 5, FALSE)</f>
        <v>Changing speed,Make it better,Superb Build Quality,Highly satisfied,Best Charging Cable Ever,Good value for money option,Cable quality,Nice</v>
      </c>
      <c r="C142" s="29" t="str">
        <f>VLOOKUP(dados!A142, reviews!A:G, 6, FALSE)</f>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v>
      </c>
      <c r="D142" s="29" t="str">
        <f>IFERROR(__xludf.DUMMYFUNCTION("GOOGLETRANSLATE(B142, ""en"", ""pt-br"")"),"Alterar velocidade, torná -lo melhor, excelente qualidade de construção, altamente satisfeita, melhor cabo de carregamento de todos os tempos, boa opção de valor para dinheiro, qualidade do cabo, Nice")</f>
        <v>Alterar velocidade, torná -lo melhor, excelente qualidade de construção, altamente satisfeita, melhor cabo de carregamento de todos os tempos, boa opção de valor para dinheiro, qualidade do cabo, Nice</v>
      </c>
      <c r="E142" s="29" t="str">
        <f>IFERROR(__xludf.DUMMYFUNCTION("GOOGLETRANSLATE(C142, ""en"", ""pt-br"")"),"O produto foi bom, seu carregamento incrível, não posso dizer nada sobre durabilidade e robustez como a parte que se conecta ao adaptador parece estar em um estado altamente vulnerável. Com um monte de mão, pode ser dobrado, pois meu último acorde de carr"&amp;"egamento era, então tive que comprar este. Algo deve ser feito sobre isso., Muito bem vale a pena o dinheiro, tive que substituir o cabo que recebi pelo meu laptop. Optei Zoul e estou muito satisfeito com o cabo. É durável e funciona perfeitamente., Este "&amp;"é um produto incrível da ZOUL. Comprei muitos outros cabos antes de outras marcas, mas eles não funcionaram tão bem. Mas isso, devo dizer que é o melhor de tudo em termos de poder de cobrança, durabilidade e robustez. Muita recomendação !!, eu uso este ca"&amp;"bo há mais de 6 meses com meu Galaxy S22, ele está funcionando perfeitamente. O carregamento rápido funciona conforme o esperado e o comprimento de 2m torna conveniente usá -lo na cama. Recomendaria para quem procura um cabo longo. De fato, meu irmão comp"&amp;"rou um depois de me ver comprar., O cabo tem um bom comprimento, cobra muito rápido,")</f>
        <v>O produto foi bom, seu carregamento incrível, não posso dizer nada sobre durabilidade e robustez como a parte que se conecta ao adaptador parece estar em um estado altamente vulnerável. Com um monte de mão, pode ser dobrado, pois meu último acorde de carregamento era, então tive que comprar este. Algo deve ser feito sobre isso., Muito bem vale a pena o dinheiro, tive que substituir o cabo que recebi pelo meu laptop. Optei Zoul e estou muito satisfeito com o cabo. É durável e funciona perfeitamente., Este é um produto incrível da ZOUL. Comprei muitos outros cabos antes de outras marcas, mas eles não funcionaram tão bem. Mas isso, devo dizer que é o melhor de tudo em termos de poder de cobrança, durabilidade e robustez. Muita recomendação !!, eu uso este cabo há mais de 6 meses com meu Galaxy S22, ele está funcionando perfeitamente. O carregamento rápido funciona conforme o esperado e o comprimento de 2m torna conveniente usá -lo na cama. Recomendaria para quem procura um cabo longo. De fato, meu irmão comprou um depois de me ver comprar., O cabo tem um bom comprimento, cobra muito rápido,</v>
      </c>
    </row>
    <row r="143">
      <c r="A143" s="9" t="s">
        <v>606</v>
      </c>
      <c r="B143" s="29" t="str">
        <f>VLOOKUP(dados!A143, reviews!A:G, 5, FALSE)</f>
        <v>Works flawlessly on Ubuntu 22.04 (if installed correctly),Best for kali. Do not read another review.,Nice product,From 0 to 70 …,Good External Wifi Signal Provider,Superb,Awesome and easy to use,Good product</v>
      </c>
      <c r="C143" s="29" t="str">
        <f>VLOOKUP(dados!A143, reviews!A:G, 6, FALSE)</f>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v>
      </c>
      <c r="D143" s="29" t="str">
        <f>IFERROR(__xludf.DUMMYFUNCTION("GOOGLETRANSLATE(B143, ""en"", ""pt-br"")"),"Funciona perfeitamente no Ubuntu 22.04 (se instalado corretamente), melhor para Kali. Não leia outra revisão., Bom produto, de 0 a 70…, bom provedor de sinais de wifi externo, excelente, incrível e fácil de usar, bom produto")</f>
        <v>Funciona perfeitamente no Ubuntu 22.04 (se instalado corretamente), melhor para Kali. Não leia outra revisão., Bom produto, de 0 a 70…, bom provedor de sinais de wifi externo, excelente, incrível e fácil de usar, bom produto</v>
      </c>
      <c r="E143" s="29" t="str">
        <f>IFERROR(__xludf.DUMMYFUNCTION("GOOGLETRANSLATE(C143, ""en"", ""pt-br"")"),"Estou usando isso em um antigo MAC Mini, já que os drivers proprietários da Broadcom não estão disponíveis e os drivers B43 de substituição não permitem velocidades de download suficientes, pelo menos na minha experiência. Eu coloquei este dispositivo em "&amp;"funcionamento com o Ubuntu 22.04 com o Linux 5.15.0-56-generic.google Pesquise ""Morownr/8821au-20210708"" e uso o driver no Github. Estou usando o produto ""TP-Link AC600"" BTW. Se você estiver usando a outra variante vendida na Amazon, use o LSUSB e des"&amp;"cubra para qual interface de rede você precisará instalar drivers. Giyf.I admito, isso provavelmente será difícil para alguém que geralmente não se sente confortável com uma concha, bash, por exemplo. Mas mesmo que eu nunca tivesse usado o DKMS ou IW ante"&amp;"s, o repositório do Github, juntamente com as ferramentas de construção disponíveis no repositório Jammy, facilitou o suficiente para que o dispositivo funcionasse (leia o readme do github). Para garantir que eu tenha trabalhado os drivers a trabalhar Em "&amp;"uma VM Ubuntu local usando adições de hóspedes para conectar -se ao dispositivo USB diretamente do sistema operacional convidado, que também funcionou. Em seguida, recebi a mesma velocidade de download usando este dispositivo que eu estava obtendo anterio"&amp;"rmente nas minhas outras interfaces de rede no Windows e Mac, mas agora no Ubuntu. O próprio dispositivo é um pouco sensível à direção da antena quando se trata do impacto na velocidade de download. Já usa há cerca de um mês sem reclamações., Não opte por"&amp;" críticas que dizem que não suportam Kali. Eu e alguns dos meus amigos o estamos usando para hackers Wi-Fi e funciona muito bem, ele também suporta o modo Monitor. Se você estiver tendo problemas para conectá -lo à sua máquina Kali, basta passar um pouco "&amp;"pelo surf da web e encontrará artigos relevantes sobre como conectar este adaptador de link TP à sua máquina Kali. Há também um motorista do Realtek que você pode precisar instalar para fazê -lo funcionar em sua máquina Kali. Eu dei 4 estrelas apenas porq"&amp;"ue o desempenho se não for bom como os adaptadores alfa, que é razoável para essa faixa de preço, mas neste alcance e, como iniciante, é o melhor adaptador que você pode comprar., bom produto. Trabalhando bem. Meu PC agora é o preço 5G é muito alto, por i"&amp;"sso dando 4 estrelas, conseguiu o Wi-Fi em um dos quartos de 0 a 70%. Está funcionando bem há um mês. Boa alternativa a um repetidor se apenas um único dispositivo precisar acessar o Wi-Fi a partir de um canto., O produto é muito bom e tiver um bom sinal "&amp;"de wifi. Usando isso por mais de um mês agora, não reclame. Mas quando é pela primeira vez, você precisa instalar o driver em sua área de trabalho/laptop no site do TP Link para torná -lo operacional, o que não é muito bem explicado no manual., Este produ"&amp;"to é muito bom, comprei isso Produto porque meu laptop não suporta a banda Wi-Fi 5GHz, em 2,5 GHz, recebo apenas uma velocidade de 30 a 40 Mbps, mas meu plano de banda larga é de 150Mbps.1. Fácil de usar Plug and Play Windows 102. Bom sinal. Estou usando "&amp;"outra sala do roteador sem queda de sinal, recebo sinal completo.3. Um pouco caro, mas vá com isso por causa do bom sinal. Recebo a velocidade de upload de 170 Mbps + e 110 Mbps em 5GHz e meu plano de banda larga é de 150 Mbps.")</f>
        <v>Estou usando isso em um antigo MAC Mini, já que os drivers proprietários da Broadcom não estão disponíveis e os drivers B43 de substituição não permitem velocidades de download suficientes, pelo menos na minha experiência. Eu coloquei este dispositivo em funcionamento com o Ubuntu 22.04 com o Linux 5.15.0-56-generic.google Pesquise "Morownr/8821au-20210708" e uso o driver no Github. Estou usando o produto "TP-Link AC600" BTW. Se você estiver usando a outra variante vendida na Amazon, use o LSUSB e descubra para qual interface de rede você precisará instalar drivers. Giyf.I admito, isso provavelmente será difícil para alguém que geralmente não se sente confortável com uma concha, bash, por exemplo. Mas mesmo que eu nunca tivesse usado o DKMS ou IW antes, o repositório do Github, juntamente com as ferramentas de construção disponíveis no repositório Jammy, facilitou o suficiente para que o dispositivo funcionasse (leia o readme do github). Para garantir que eu tenha trabalhado os drivers a trabalhar Em uma VM Ubuntu local usando adições de hóspedes para conectar -se ao dispositivo USB diretamente do sistema operacional convidado, que também funcionou. Em seguida, recebi a mesma velocidade de download usando este dispositivo que eu estava obtendo anteriormente nas minhas outras interfaces de rede no Windows e Mac, mas agora no Ubuntu. O próprio dispositivo é um pouco sensível à direção da antena quando se trata do impacto na velocidade de download. Já usa há cerca de um mês sem reclamações., Não opte por críticas que dizem que não suportam Kali. Eu e alguns dos meus amigos o estamos usando para hackers Wi-Fi e funciona muito bem, ele também suporta o modo Monitor. Se você estiver tendo problemas para conectá -lo à sua máquina Kali, basta passar um pouco pelo surf da web e encontrará artigos relevantes sobre como conectar este adaptador de link TP à sua máquina Kali. Há também um motorista do Realtek que você pode precisar instalar para fazê -lo funcionar em sua máquina Kali. Eu dei 4 estrelas apenas porque o desempenho se não for bom como os adaptadores alfa, que é razoável para essa faixa de preço, mas neste alcance e, como iniciante, é o melhor adaptador que você pode comprar., bom produto. Trabalhando bem. Meu PC agora é o preço 5G é muito alto, por isso dando 4 estrelas, conseguiu o Wi-Fi em um dos quartos de 0 a 70%. Está funcionando bem há um mês. Boa alternativa a um repetidor se apenas um único dispositivo precisar acessar o Wi-Fi a partir de um canto., O produto é muito bom e tiver um bom sinal de wifi. Usando isso por mais de um mês agora, não reclame. Mas quando é pela primeira vez, você precisa instalar o driver em sua área de trabalho/laptop no site do TP Link para torná -lo operacional, o que não é muito bem explicado no manual., Este produto é muito bom, comprei isso Produto porque meu laptop não suporta a banda Wi-Fi 5GHz, em 2,5 GHz, recebo apenas uma velocidade de 30 a 40 Mbps, mas meu plano de banda larga é de 150Mbps.1. Fácil de usar Plug and Play Windows 102. Bom sinal. Estou usando outra sala do roteador sem queda de sinal, recebo sinal completo.3. Um pouco caro, mas vá com isso por causa do bom sinal. Recebo a velocidade de upload de 170 Mbps + e 110 Mbps em 5GHz e meu plano de banda larga é de 150 Mbps.</v>
      </c>
    </row>
    <row r="144">
      <c r="A144" s="9" t="s">
        <v>610</v>
      </c>
      <c r="B144" s="29" t="str">
        <f>VLOOKUP(dados!A144, reviews!A:G, 5, FALSE)</f>
        <v>Rmote for MI TV,Good,Good but low quality,Remote is faulty . It looses it's connectivity with the tv atleast 50 times in a day.,Failure of the Unit.,All good, except voice recognition,But for first time user. Manually switch on and then pair. After pairing it's good,working good</v>
      </c>
      <c r="C144" s="29" t="str">
        <f>VLOOKUP(dados!A144, reviews!A:G, 6, FALSE)</f>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v>
      </c>
      <c r="D144" s="29" t="str">
        <f>IFERROR(__xludf.DUMMYFUNCTION("GOOGLETRANSLATE(B144, ""en"", ""pt-br"")"),"Rmote para Mi TV, bom, bom, mas de baixa qualidade, remoto está com defeito. Ele perde a conectividade com a TV pelo menos 50 vezes por dia., Falha na unidade., Tudo de bom, exceto o reconhecimento de voz, mas pela primeira vez o usuário. Ligue manualment"&amp;"e e depois emparelhar. Depois de combinar, é bom, trabalhando bem")</f>
        <v>Rmote para Mi TV, bom, bom, mas de baixa qualidade, remoto está com defeito. Ele perde a conectividade com a TV pelo menos 50 vezes por dia., Falha na unidade., Tudo de bom, exceto o reconhecimento de voz, mas pela primeira vez o usuário. Ligue manualmente e depois emparelhar. Depois de combinar, é bom, trabalhando bem</v>
      </c>
      <c r="E144" s="29" t="str">
        <f>IFERROR(__xludf.DUMMYFUNCTION("GOOGLETRANSLATE(C144, ""en"", ""pt-br"")"),"TV Remote é a réplica do original fornecido com TV. O original serviu por cerca de um ano e meio. O controle remoto veio sem bateria. O desempenho desde os últimos dias é satisfatório. Mas a Amazon tem um controle remoto semelhante com o preço do arrendad"&amp;"or. Mas não pode avaliar a qualidade. Como alternativa, pode -se operar baixando o controle remoto da Play Store no Android. Mas pode ser um pouco inconveniente para operar., Funcionando bem, mas a qualidade do caso externo é de baixa qualidade. Pode ser "&amp;"compra., O emparelhamento deste controle remoto foi um pouco difícil e também algumas vezes o controle remoto não está funcionando depois que eu uso o reconhecimento de voz. Os botões são difíceis de pressionar quando se comparam ao controle remoto origin"&amp;"al que acompanha a caixa inteligente. Então, encontre uma peça original e vá em frente, o controle remoto está com defeito. Ele perde a conectividade com a TV pelo menos 50 vezes por dia. Então, eu tenho que emparelhá -lo 50 vezes.Eu quero uma substituiçã"&amp;"o. Organize uma ligação de volta da equipe de atendimento ao cliente, valor para dinheiro, qualidade resistente, precisa de melhoria de reconhecimento de voz, deve adicionar uma nota de que você deve ligar na TV manualmente e depois emparelhar, funcionar "&amp;"é bom, nenhum problema, mas a qualidade do material não está em cima marcar")</f>
        <v>TV Remote é a réplica do original fornecido com TV. O original serviu por cerca de um ano e meio. O controle remoto veio sem bateria. O desempenho desde os últimos dias é satisfatório. Mas a Amazon tem um controle remoto semelhante com o preço do arrendador. Mas não pode avaliar a qualidade. Como alternativa, pode -se operar baixando o controle remoto da Play Store no Android. Mas pode ser um pouco inconveniente para operar., Funcionando bem, mas a qualidade do caso externo é de baixa qualidade. Pode ser compra., O emparelhamento deste controle remoto foi um pouco difícil e também algumas vezes o controle remoto não está funcionando depois que eu uso o reconhecimento de voz. Os botões são difíceis de pressionar quando se comparam ao controle remoto original que acompanha a caixa inteligente. Então, encontre uma peça original e vá em frente, o controle remoto está com defeito. Ele perde a conectividade com a TV pelo menos 50 vezes por dia. Então, eu tenho que emparelhá -lo 50 vezes.Eu quero uma substituição. Organize uma ligação de volta da equipe de atendimento ao cliente, valor para dinheiro, qualidade resistente, precisa de melhoria de reconhecimento de voz, deve adicionar uma nota de que você deve ligar na TV manualmente e depois emparelhar, funcionar é bom, nenhum problema, mas a qualidade do material não está em cima marcar</v>
      </c>
    </row>
    <row r="145">
      <c r="A145" s="9" t="s">
        <v>614</v>
      </c>
      <c r="B145" s="29" t="str">
        <f>VLOOKUP(dados!A145, reviews!A:G, 5, FALSE)</f>
        <v>Works on linux for me. Get the model with antenna.,Does what it say but other brands available at lesser price,Easy Handle,Great product,Perfect working,Speed is perfect,Great Design, Build, Connectivity Range, Packaging and other features but no linux support since v2,Very good</v>
      </c>
      <c r="C145" s="29" t="str">
        <f>VLOOKUP(dados!A145, reviews!A:G, 6, FALSE)</f>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 ★ ★ ★ ★Build Quality: ★ ★ ★ ★ ★Packaging:  ★ ★ ★ ★ ★Software:  ★ ★ ★ ★Speed:  ★ ★ ★ ★ ★Connectivity:  ★ ★ ★ ★ ★Experience:  ★ ★ ★ ★ ★Warranty:  ★ ★ ★ ★ ★Size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v>
      </c>
      <c r="D145" s="29" t="str">
        <f>IFERROR(__xludf.DUMMYFUNCTION("GOOGLETRANSLATE(B145, ""en"", ""pt-br"")"),"Funciona no Linux para mim. Obtenha o modelo com antena., Faz o que diz, mas outras marcas disponíveis a menor preço, alça fácil, ótimo produto, trabalho perfeito, velocidade é perfeita, ótimo design, construção, alcance de conectividade, embalagem e outr"&amp;"os recursos, mas sem suporte ao Linux desde V2 ,Muito bom")</f>
        <v>Funciona no Linux para mim. Obtenha o modelo com antena., Faz o que diz, mas outras marcas disponíveis a menor preço, alça fácil, ótimo produto, trabalho perfeito, velocidade é perfeita, ótimo design, construção, alcance de conectividade, embalagem e outros recursos, mas sem suporte ao Linux desde V2 ,Muito bom</v>
      </c>
      <c r="E145" s="29" t="str">
        <f>IFERROR(__xludf.DUMMYFUNCTION("GOOGLETRANSLATE(C145, ""en"", ""pt-br"")"),"Eu uso isso para conectar um PC antigo à Internet. Eu tentei o Lubuntu 20 e o Ubuntu 22, ele funcionou fora da caixa em ambos, não precisava fazer nenhuma configuração. Há um cabo de extensor para que você possa colocar isso em um lugar confortável. Obten"&amp;"ha o modelo com a antena porque, caso contrário, você terá problemas de alcance se não estiver diretamente na linha de visão do seu roteador Wi -Fi., O WiFi Dongle é um dispositivo simples de plug &amp; play, começará a capturar redes disponíveis logo após vo"&amp;"cê conectar Na sua porta USB, nenhuma instalação/ softwares adicional exige. A força do sinal é boa ... apenas me pergunto o que seria diferente em outros adaptadores de marcas menos conhecidas que estão disponíveis a um preço muito mais competitivo, daí "&amp;"uma estrela menos., Prós:*fácil de usar e portátil*pode ser conectado a Hotspot móvel e usado no PC (amigável ao orçamento)*Menos processo de instalação*Não há problemas de aquecimento e boa cobertura*melhor alternativa para a amarração USB (a bateria do "&amp;"telefone pode ser danificada para execução a longo prazo com amarração) Contras:*A velocidade da conexão da Internet varia às vezes, Também depende do seu modem ou conexão celular*Os problemas ocorrem durante a instalação via CD, que está disponível junto"&amp;" com o produto (o driver de instalação pode ser baixado do site TP-Link)*necessário para reconectar o adaptador sempre que o sistema Trabalhe se o seu software tiver alguns problemas, por isso encontrou qualquer apenas atualização do seu sistema (funciono"&amp;"u para mim)*Centro de suporte é pior, as chamadas são desacompanhadas na maioria das vezes ou apenas visitam o storeConclusão nas proximidades: trouxe @499/-ideal para usuários que não Não precisa de uso da Internet de alta velocidade, uma boa alternativa"&amp;" para a amarração USB e está em brotar (os vídeos do YouTube de 1080p podem ser facilmente reproduzidos com isso sem interrupções), a conectividade WiFi é um ótimo resultado para mim. No entanto, alguns problemas de jitter existiram., Este é um dispositiv"&amp;"o perfeito para conectar o WiFi. Go for it.,This wifi adopter is good working,(Pictures attached)Size/Design:  ★ ★ ★ ★ ★Build Quality: ★ ★ ★ ★ ★Packaging:  ★ ★ ★ ★ ★Software:  ★ ★ ★ ★Speed:  ★ ★ ★ ★ ★ Conectividade: ★ ★ ★ ★ ★ Experiência: ★ ★ ★ ★ ★ Garant"&amp;"ia: ★ ★ ★ ★ ★ Tamanho e design: a melhor parte disso é que é muito compacto em tamanho e muito sóbrio e elegante em design. Esta é uma grande vantagem, pois é fácil plug e usar, adicione a ele o bom design sóbrio. Qualidade da construção: a qualidade de c"&amp;"onstrução é sem dúvida excelente. Apenas não há escrúpulos sobre isso. Quando mantido, não emite uma sensação barata e frágil, semelhante a um produto. É bom resistente com sua qualidade de construção. Isso garante que eu, como cliente, tenha recebido alg"&amp;"o que não está danificado internamente. É que nenhum suporte ao Linux foi dado a partir da versão 2 em diante. Isso é ruim, na verdade. Praticamente falando, eu o testei em minha casa e ele suporta facilmente a velocidade líquida de mais de 100-150 Mbps s"&amp;"em um suspiro. metros. Multiplique os medidores x 3 para obter a distância nos pés. Ele se conecta facilmente ao meu laptop ou telefone a 7 metros de uma sala. Então isso é 21 pés. Quero dizer, mesmo nosso antigo Bluetooth usado para se conectar a cerca d"&amp;"e 15 pés. Então, 20-25 pés não é um problema com isso. Esta é a grande vantagem que encontrei com o produto. Experiência: deste ponto de vista, até agora, exceto a questão da não compatibilidade do Linux, não encontrei outras falhas com este produto. Entã"&amp;"o, no geral, é um ótimo produto. Por isso, tenho certeza de que pelo menos por 3 anos eu sou livre de tensão e não apenas 1 ano, ao contrário da maioria dos itens eletrônicos hoje que fornecem apenas uma garantia de 1 ano com seus itens., Melhor adaptador"&amp;" que comprei de todos os tempos. Funciona bem conectividade sem aparência")</f>
        <v>Eu uso isso para conectar um PC antigo à Internet. Eu tentei o Lubuntu 20 e o Ubuntu 22, ele funcionou fora da caixa em ambos, não precisava fazer nenhuma configuração. Há um cabo de extensor para que você possa colocar isso em um lugar confortável. Obtenha o modelo com a antena porque, caso contrário, você terá problemas de alcance se não estiver diretamente na linha de visão do seu roteador Wi -Fi., O WiFi Dongle é um dispositivo simples de plug &amp; play, começará a capturar redes disponíveis logo após você conectar Na sua porta USB, nenhuma instalação/ softwares adicional exige. A força do sinal é boa ... apenas me pergunto o que seria diferente em outros adaptadores de marcas menos conhecidas que estão disponíveis a um preço muito mais competitivo, daí uma estrela menos., Prós:*fácil de usar e portátil*pode ser conectado a Hotspot móvel e usado no PC (amigável ao orçamento)*Menos processo de instalação*Não há problemas de aquecimento e boa cobertura*melhor alternativa para a amarração USB (a bateria do telefone pode ser danificada para execução a longo prazo com amarração) Contras:*A velocidade da conexão da Internet varia às vezes, Também depende do seu modem ou conexão celular*Os problemas ocorrem durante a instalação via CD, que está disponível junto com o produto (o driver de instalação pode ser baixado do site TP-Link)*necessário para reconectar o adaptador sempre que o sistema Trabalhe se o seu software tiver alguns problemas, por isso encontrou qualquer apenas atualização do seu sistema (funcionou para mim)*Centro de suporte é pior, as chamadas são desacompanhadas na maioria das vezes ou apenas visitam o storeConclusão nas proximidades: trouxe @499/-ideal para usuários que não Não precisa de uso da Internet de alta velocidade, uma boa alternativa para a amarração USB e está em brotar (os vídeos do YouTube de 1080p podem ser facilmente reproduzidos com isso sem interrupções), a conectividade WiFi é um ótimo resultado para mim. No entanto, alguns problemas de jitter existiram., Este é um dispositivo perfeito para conectar o WiFi. Go for it.,This wifi adopter is good working,(Pictures attached)Size/Design:  ★ ★ ★ ★ ★Build Quality: ★ ★ ★ ★ ★Packaging:  ★ ★ ★ ★ ★Software:  ★ ★ ★ ★Speed:  ★ ★ ★ ★ ★ Conectividade: ★ ★ ★ ★ ★ Experiência: ★ ★ ★ ★ ★ Garantia: ★ ★ ★ ★ ★ Tamanho e design: a melhor parte disso é que é muito compacto em tamanho e muito sóbrio e elegante em design. Esta é uma grande vantagem, pois é fácil plug e usar, adicione a ele o bom design sóbrio. Qualidade da construção: a qualidade de construção é sem dúvida excelente. Apenas não há escrúpulos sobre isso. Quando mantido, não emite uma sensação barata e frágil, semelhante a um produto. É bom resistente com sua qualidade de construção. Isso garante que eu, como cliente, tenha recebido algo que não está danificado internamente. É que nenhum suporte ao Linux foi dado a partir da versão 2 em diante. Isso é ruim, na verdade. Praticamente falando, eu o testei em minha casa e ele suporta facilmente a velocidade líquida de mais de 100-150 Mbps sem um suspiro. metros. Multiplique os medidores x 3 para obter a distância nos pés. Ele se conecta facilmente ao meu laptop ou telefone a 7 metros de uma sala. Então isso é 21 pés. Quero dizer, mesmo nosso antigo Bluetooth usado para se conectar a cerca de 15 pés. Então, 20-25 pés não é um problema com isso. Esta é a grande vantagem que encontrei com o produto. Experiência: deste ponto de vista, até agora, exceto a questão da não compatibilidade do Linux, não encontrei outras falhas com este produto. Então, no geral, é um ótimo produto. Por isso, tenho certeza de que pelo menos por 3 anos eu sou livre de tensão e não apenas 1 ano, ao contrário da maioria dos itens eletrônicos hoje que fornecem apenas uma garantia de 1 ano com seus itens., Melhor adaptador que comprei de todos os tempos. Funciona bem conectividade sem aparência</v>
      </c>
    </row>
    <row r="146">
      <c r="A146" s="9" t="s">
        <v>618</v>
      </c>
      <c r="B146" s="29" t="str">
        <f>VLOOKUP(dados!A146, reviews!A:G, 5, FALSE)</f>
        <v>An unbiased look at the Kodak TV,Sound good,It's really worthy and the most affordable,Not bad!!!,a value TV for the price,Good in all respect,Kodak tv,Smart tv</v>
      </c>
      <c r="C146" s="29" t="str">
        <f>VLOOKUP(dados!A146, reviews!A:G, 6, FALSE)</f>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v>
      </c>
      <c r="D146" s="29" t="str">
        <f>IFERROR(__xludf.DUMMYFUNCTION("GOOGLETRANSLATE(B146, ""en"", ""pt-br"")"),"Um olhar imparcial para a TV Kodak, parece bom, é realmente digno e o mais acessível, nada ruim !!!, uma TV de valor para o preço, bom em todos os aspectos, Kodak TV, TV inteligente")</f>
        <v>Um olhar imparcial para a TV Kodak, parece bom, é realmente digno e o mais acessível, nada ruim !!!, uma TV de valor para o preço, bom em todos os aspectos, Kodak TV, TV inteligente</v>
      </c>
      <c r="E146" s="29" t="str">
        <f>IFERROR(__xludf.DUMMYFUNCTION("GOOGLETRANSLATE(C146, ""en"", ""pt-br"")"),"Recentemente, comprei a Kodak TV da Amazon e, em geral, minha experiência foi satisfatória. A qualidade da imagem é boa e os recursos de streaming são convenientes. A interface do usuário é fácil de navegar, embora tenha levado um pouco de tempo para me a"&amp;"costumar. No entanto, tenho alguns problemas com a TV. A qualidade do som não é a melhor e notei um pouco de atraso ao alternar entre aplicativos. Essas questões não afetam significativamente minha experiência de visualização, mas vale a pena mencionar. A"&amp;"pesar desses problemas, eu ainda daria ao Kodak TV 3 estrelas de 5. É uma TV decente pelo preço, mas certamente existem opções melhores por aí . Me ofereceram mais três meses de garantia se escrevi uma revisão, mas não estou particularmente interessado em"&amp;" estender a garantia neste momento. Não é apropriado ou ético escrever uma revisão falsa ou enganosa em troca de incentivos, como um garantia estendida ou outras vantagens. Fazer isso é contra as diretrizes da Amazon e pode levar a consequências para o cl"&amp;"iente e a empresa. É importante para ser honesto e transparente em suas análises e apenas escrever sobre suas experiências genuínas com um produto. Isso ajuda outros clientes a tomar decisões informadas sobre suas compras e garante que o sistema de revisã"&amp;"o permaneça justo e confiável. classificação ou para não escrever uma revisão. É sempre melhor ser honesto e genuíno em suas análises, em vez de tentar manipular o sistema de ganho pessoal., Problemas com o elenco do Chrome, eu não acreditava que um recur"&amp;"so tão bom estivesse disponível a esse preço. Gostei do recurso de apoiar o porto Ethernet e o fone de ouvido., Kodak TV, para a quantidade que está sendo cobrada, esta é uma TV aceitável. O modelo Kodak 7XPro é o mesmo que a série Thomson 9A.Pespe Minha "&amp;"TV anterior Bravia 18 ""e facilmente montada na montagem de parede anterior. Nota: os orifícios de montagem na parede são plásticos e não têm nenhuma inserção de metal. O sensor remoto é um módulo separado que se projeta da parte inferior da TV e não pare"&amp;"ce integrado ao corpo principal. As duas portas USB são lado a lado com o qual não interferem A porta do áudio é um bom recurso se quiser assistir TV sem perturbar os outros. Quando eu conectei a TV pela primeira vez à minha caixa de decida contra o HDMI,"&amp;" havia apenas uma foto e nenhum som. A pessoa no centro de serviço cujo número está listado no cartão de garantia da TV disse que eles não apoiam isso e eu preciso ligar para o fabricante da TV. Tanta coisa para imprimir um número do centro de serviço no "&amp;"cartão de garantia. Isso foi corrigido após a alteração das configurações de HDMI CEC na caixa de configuração (não culpa da TV). Não há manual do usuário dado com a TV. A maioria das pessoas, com base em sua experiência com telefone, deve ser capaz de de"&amp;"scobrir as conexões. O único livro de folheto incluído (cujas páginas estava preso) fala sobre o menu do Android, não há informações sobre as tomadas de entrada da TV (como o que o arco HDMI significa). Eu recebi várias chamadas após a compra para pergunt"&amp;"ar sobre a entrega sobre a entrega e se eu precisava de instalação. Como eu já tinha uma montagem de parede anterior, na qual isso poderia ser anexado sem aborrecimentos, optei por não")</f>
        <v>Recentemente, comprei a Kodak TV da Amazon e, em geral, minha experiência foi satisfatória. A qualidade da imagem é boa e os recursos de streaming são convenientes. A interface do usuário é fácil de navegar, embora tenha levado um pouco de tempo para me acostumar. No entanto, tenho alguns problemas com a TV. A qualidade do som não é a melhor e notei um pouco de atraso ao alternar entre aplicativos. Essas questões não afetam significativamente minha experiência de visualização, mas vale a pena mencionar. Apesar desses problemas, eu ainda daria ao Kodak TV 3 estrelas de 5. É uma TV decente pelo preço, mas certamente existem opções melhores por aí . Me ofereceram mais três meses de garantia se escrevi uma revisão, mas não estou particularmente interessado em estender a garantia neste momento. Não é apropriado ou ético escrever uma revisão falsa ou enganosa em troca de incentivos, como um garantia estendida ou outras vantagens. Fazer isso é contra as diretrizes da Amazon e pode levar a consequências para o cliente e a empresa. É importante para ser honesto e transparente em suas análises e apenas escrever sobre suas experiências genuínas com um produto. Isso ajuda outros clientes a tomar decisões informadas sobre suas compras e garante que o sistema de revisão permaneça justo e confiável. classificação ou para não escrever uma revisão. É sempre melhor ser honesto e genuíno em suas análises, em vez de tentar manipular o sistema de ganho pessoal., Problemas com o elenco do Chrome, eu não acreditava que um recurso tão bom estivesse disponível a esse preço. Gostei do recurso de apoiar o porto Ethernet e o fone de ouvido., Kodak TV, para a quantidade que está sendo cobrada, esta é uma TV aceitável. O modelo Kodak 7XPro é o mesmo que a série Thomson 9A.Pespe Minha TV anterior Bravia 18 "e facilmente montada na montagem de parede anterior. Nota: os orifícios de montagem na parede são plásticos e não têm nenhuma inserção de metal. O sensor remoto é um módulo separado que se projeta da parte inferior da TV e não parece integrado ao corpo principal. As duas portas USB são lado a lado com o qual não interferem A porta do áudio é um bom recurso se quiser assistir TV sem perturbar os outros. Quando eu conectei a TV pela primeira vez à minha caixa de decida contra o HDMI, havia apenas uma foto e nenhum som. A pessoa no centro de serviço cujo número está listado no cartão de garantia da TV disse que eles não apoiam isso e eu preciso ligar para o fabricante da TV. Tanta coisa para imprimir um número do centro de serviço no cartão de garantia. Isso foi corrigido após a alteração das configurações de HDMI CEC na caixa de configuração (não culpa da TV). Não há manual do usuário dado com a TV. A maioria das pessoas, com base em sua experiência com telefone, deve ser capaz de descobrir as conexões. O único livro de folheto incluído (cujas páginas estava preso) fala sobre o menu do Android, não há informações sobre as tomadas de entrada da TV (como o que o arco HDMI significa). Eu recebi várias chamadas após a compra para perguntar sobre a entrega sobre a entrega e se eu precisava de instalação. Como eu já tinha uma montagem de parede anterior, na qual isso poderia ser anexado sem aborrecimentos, optei por não</v>
      </c>
    </row>
    <row r="147">
      <c r="A147" s="9" t="s">
        <v>622</v>
      </c>
      <c r="B147" s="29" t="str">
        <f>VLOOKUP(dados!A147, reviews!A:G, 5, FALSE)</f>
        <v>Good product,Not bad,WORKING WITH Airtel DTH,Good,Ok not bad,This was so old,Not bed !,Worst product</v>
      </c>
      <c r="C147" s="29" t="str">
        <f>VLOOKUP(dados!A147, reviews!A:G, 6, FALSE)</f>
        <v>Value of money,Usually  gd,Good Product,Good,Quality is poor and responce is late,This it what you've been looking for I guess,Quality is okk , not bed it all but it's body is not proper tight or fixed.,The product is of poor quality and seems like duplicate. Remote doesn’t work properly.</v>
      </c>
      <c r="D147" s="29" t="str">
        <f>IFERROR(__xludf.DUMMYFUNCTION("GOOGLETRANSLATE(B147, ""en"", ""pt-br"")"),"Bom produto, não é ruim, trabalhando com airtel dth, bom, ok, nada mal, isso era tão velho, não cama!, Pior produto")</f>
        <v>Bom produto, não é ruim, trabalhando com airtel dth, bom, ok, nada mal, isso era tão velho, não cama!, Pior produto</v>
      </c>
      <c r="E147" s="29" t="str">
        <f>IFERROR(__xludf.DUMMYFUNCTION("GOOGLETRANSLATE(C147, ""en"", ""pt-br"")"),"Valor do dinheiro, geralmente GD, bom produto, boa, qualidade é ruim e a resposta está atrasada, isso é o que você está procurando, eu acho, a qualidade é OKK, não a cama, mas o corpo não é adequado ou fixo. , O produto é de baixa qualidade e parece dupli"&amp;"cado. O controle remoto não funciona corretamente.")</f>
        <v>Valor do dinheiro, geralmente GD, bom produto, boa, qualidade é ruim e a resposta está atrasada, isso é o que você está procurando, eu acho, a qualidade é OKK, não a cama, mas o corpo não é adequado ou fixo. , O produto é de baixa qualidade e parece duplicado. O controle remoto não funciona corretamente.</v>
      </c>
    </row>
    <row r="148">
      <c r="A148" s="9" t="s">
        <v>626</v>
      </c>
      <c r="B148" s="29" t="str">
        <f>VLOOKUP(dados!A148, reviews!A:G, 5, FALSE)</f>
        <v>Good,QUALITY IS GOOD,Value for money product,Very nice,Not supporting for CarPlay,Good,1 month review,strong enough</v>
      </c>
      <c r="C148" s="29" t="str">
        <f>VLOOKUP(dados!A148, reviews!A:G, 6, FALSE)</f>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don’t have option to cancel.,https://m.media-amazon.com/images/W/WEBP_402378-T1/images/I/C1c42PWPh0S._SY88.jpg,It's sturdy and durable. Using since one month no issues reported...,Nice product by Amazon Basics</v>
      </c>
      <c r="D148" s="29" t="str">
        <f>IFERROR(__xludf.DUMMYFUNCTION("GOOGLETRANSLATE(B148, ""en"", ""pt-br"")"),"Bom, qualidade é boa, produto de valor para dinheiro, muito bom, não apoiando para o CarPlay, boa, revisão de 1 mês, forte o suficiente")</f>
        <v>Bom, qualidade é boa, produto de valor para dinheiro, muito bom, não apoiando para o CarPlay, boa, revisão de 1 mês, forte o suficiente</v>
      </c>
      <c r="E148" s="29" t="str">
        <f>IFERROR(__xludf.DUMMYFUNCTION("GOOGLETRANSLATE(C148, ""en"", ""pt-br"")"),"Funciona mais do que o esperado, um pouco perdido, mas, além disso, funciona bem até a data, é muito longo e isso é muito útil, a qualidade é boa. Leve -a. Nenhuma problema até agora., Comprada por cerca de 800 rúpias. O cabo é um pouco mais comprido (ele"&amp;"s também mencionaram o comprimento do cabo, então não podem reclamar). No geral, o produto é muito melhor, melhor e vale para o centavo., A qualidade de construção é ótima, parece boa também, meu último cabo do AmazonBasics durou cerca de 3 anos, então es"&amp;"tou esperando o similar deste., Não apoiando o CarPlay. E este produto que eu quero cancelar, mas a Amazon não tem opção para cancelar., Https: //m.media-amazon.com/images/w/webp_402378-t1/images/i/c1c42pwph0s._sy88.jpg. e durável. Usando desde um mês sem"&amp;" problemas relatados ..., bom produto da Amazon Basics")</f>
        <v>Funciona mais do que o esperado, um pouco perdido, mas, além disso, funciona bem até a data, é muito longo e isso é muito útil, a qualidade é boa. Leve -a. Nenhuma problema até agora., Comprada por cerca de 800 rúpias. O cabo é um pouco mais comprido (eles também mencionaram o comprimento do cabo, então não podem reclamar). No geral, o produto é muito melhor, melhor e vale para o centavo., A qualidade de construção é ótima, parece boa também, meu último cabo do AmazonBasics durou cerca de 3 anos, então estou esperando o similar deste., Não apoiando o CarPlay. E este produto que eu quero cancelar, mas a Amazon não tem opção para cancelar., Https: //m.media-amazon.com/images/w/webp_402378-t1/images/i/c1c42pwph0s._sy88.jpg. e durável. Usando desde um mês sem problemas relatados ..., bom produto da Amazon Basics</v>
      </c>
    </row>
    <row r="149">
      <c r="A149" s="9" t="s">
        <v>629</v>
      </c>
      <c r="B149" s="29" t="str">
        <f>VLOOKUP(dados!A149, reviews!A:G, 5, FALSE)</f>
        <v>Durable,Good Product,Okay 👌,So far so good,An absolute best,Good cable,Worth the money,Good for charging Not good for data transfer</v>
      </c>
      <c r="C149" s="29" t="str">
        <f>VLOOKUP(dados!A149, reviews!A:G, 6, FALSE)</f>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v>
      </c>
      <c r="D149" s="29" t="str">
        <f>IFERROR(__xludf.DUMMYFUNCTION("GOOGLETRANSLATE(B149, ""en"", ""pt-br"")"),"Produto durável, bom, ok 👌, até agora tudo bem, um melhor cabo absoluto, bom, vale o dinheiro, bom para cobrar não é bom para a transferência de dados")</f>
        <v>Produto durável, bom, ok 👌, até agora tudo bem, um melhor cabo absoluto, bom, vale o dinheiro, bom para cobrar não é bom para a transferência de dados</v>
      </c>
      <c r="E149" s="29" t="str">
        <f>IFERROR(__xludf.DUMMYFUNCTION("GOOGLETRANSLATE(C149, ""en"", ""pt-br"")"),"O cabo suporta carregamento rápido em PD, eu o experimentei no meu laptop e também o experimentei no PowerBank. Testado no carregador Samsung 45watt e funcionou bem para o telefone, tentou o mesmo no carregador no laptop para carregamento de PD, embora El"&amp;"e carregou o laptop, mas o ponto do cabo aquece bastante. Portanto, há chances de que, se um carregador de 100 watts for usado, poderá aquecer muito. No geral, o cordão é bem feito, muito resistente e os materiais indicam que esse cordão será muito duráve"&amp;"l. O preço poderia estar no lado inferior devido ao aquecimento, caso contrário, é uma boa compra., Bom para comprar, como ele, recebi isso para o meu Samsung S10 Lite e é compatível com um carregador super rápido e carreguei meu telefone em super rápido "&amp;"modo de carga. Custo-benefício. Não foi possível postar uma imagem, mas o produto é bom. Muito melhor do que o cabo Samsung original que custa quase o mesmo. O cabo é esteriloso, as extremidades são premium. Cobra meu mais 7T rapidamente. Ótimas transferê"&amp;"ncias de dados no meu MacBook também. Estou feliz com a compra., Bom cabo, vale a pena. A qualidade do cabo é muito boa. Suporta carregamento rápido nos dispositivos Samsung Galaxy, ideal para carregamento, mas não para transferência de dados (fornece uma"&amp;" velocidade média de 30 a 35 Mbps com o meu SSD capaz de mais de 100 Mbps de velocidade de transferência e realmente fornece seu cabo fornecido)")</f>
        <v>O cabo suporta carregamento rápido em PD, eu o experimentei no meu laptop e também o experimentei no PowerBank. Testado no carregador Samsung 45watt e funcionou bem para o telefone, tentou o mesmo no carregador no laptop para carregamento de PD, embora Ele carregou o laptop, mas o ponto do cabo aquece bastante. Portanto, há chances de que, se um carregador de 100 watts for usado, poderá aquecer muito. No geral, o cordão é bem feito, muito resistente e os materiais indicam que esse cordão será muito durável. O preço poderia estar no lado inferior devido ao aquecimento, caso contrário, é uma boa compra., Bom para comprar, como ele, recebi isso para o meu Samsung S10 Lite e é compatível com um carregador super rápido e carreguei meu telefone em super rápido modo de carga. Custo-benefício. Não foi possível postar uma imagem, mas o produto é bom. Muito melhor do que o cabo Samsung original que custa quase o mesmo. O cabo é esteriloso, as extremidades são premium. Cobra meu mais 7T rapidamente. Ótimas transferências de dados no meu MacBook também. Estou feliz com a compra., Bom cabo, vale a pena. A qualidade do cabo é muito boa. Suporta carregamento rápido nos dispositivos Samsung Galaxy, ideal para carregamento, mas não para transferência de dados (fornece uma velocidade média de 30 a 35 Mbps com o meu SSD capaz de mais de 100 Mbps de velocidade de transferência e realmente fornece seu cabo fornecido)</v>
      </c>
    </row>
    <row r="150">
      <c r="A150" s="9" t="s">
        <v>633</v>
      </c>
      <c r="B150" s="29" t="str">
        <f>VLOOKUP(dados!A150, reviews!A:G, 5, FALSE)</f>
        <v>Value for Money,A good upgrade from stock cable.,GOOD CABLE,Value for the money,Great buy,Overall good,Awesome experience,Worked as expected</v>
      </c>
      <c r="C150" s="29" t="str">
        <f>VLOOKUP(dados!A150, reviews!A:G, 6, FALSE)</f>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v>
      </c>
      <c r="D150" s="29" t="str">
        <f>IFERROR(__xludf.DUMMYFUNCTION("GOOGLETRANSLATE(B150, ""en"", ""pt-br"")"),"Valor pelo dinheiro, uma boa atualização do cabo de estoque., Bom cabo, valor para o dinheiro, ótima compra, boa experiência geral, incrível, funcionou como esperado")</f>
        <v>Valor pelo dinheiro, uma boa atualização do cabo de estoque., Bom cabo, valor para o dinheiro, ótima compra, boa experiência geral, incrível, funcionou como esperado</v>
      </c>
      <c r="E150" s="29" t="str">
        <f>IFERROR(__xludf.DUMMYFUNCTION("GOOGLETRANSLATE(C150, ""en"", ""pt-br"")"),"Usando com o meu Xbox e está funcionando perfeitamente, uma boa atualização do cabo de estoque que recebi da Samsung. A qualidade do som definitivamente melhorou na barra de som. É alto o suficiente entre 10-15 volume. No entanto, a saída do subwoofer não"&amp;" melhorou significativamente., Fiquei normal em vez de um cabo premium com tamanho pequeno. Mas, felizmente, eu me acostumo., Funciona muito bem., Absolutamente aula para o dinheiro gasto. Nenhuma perda de sinal, tão boa como se não houvesse divisor envol"&amp;"vido. Compra fantástica como a maioria das TVs tem apenas uma saída óptica. ,, Obtendo o som surround de 5,1 canal.")</f>
        <v>Usando com o meu Xbox e está funcionando perfeitamente, uma boa atualização do cabo de estoque que recebi da Samsung. A qualidade do som definitivamente melhorou na barra de som. É alto o suficiente entre 10-15 volume. No entanto, a saída do subwoofer não melhorou significativamente., Fiquei normal em vez de um cabo premium com tamanho pequeno. Mas, felizmente, eu me acostumo., Funciona muito bem., Absolutamente aula para o dinheiro gasto. Nenhuma perda de sinal, tão boa como se não houvesse divisor envolvido. Compra fantástica como a maioria das TVs tem apenas uma saída óptica. ,, Obtendo o som surround de 5,1 canal.</v>
      </c>
    </row>
    <row r="151">
      <c r="A151" s="9" t="s">
        <v>639</v>
      </c>
      <c r="B151" s="29" t="str">
        <f>VLOOKUP(dados!A151, reviews!A:G, 5, FALSE)</f>
        <v>Superb,Reviewing after 3 months of use,Good braided cable.,The best cable. Very useful.,0k,Does The Job,superb  Product !!!,It's fast charging cable.</v>
      </c>
      <c r="C151" s="29" t="str">
        <f>VLOOKUP(dados!A151, reviews!A:G, 6, FALSE)</f>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v>
      </c>
      <c r="D151" s="29" t="str">
        <f>IFERROR(__xludf.DUMMYFUNCTION("GOOGLETRANSLATE(B151, ""en"", ""pt-br"")"),"Excelente, revisando após 3 meses de uso, bom cabo trançado., O melhor cabo. Muito útil., 0k, faz o trabalho, um produto excelente !!!, é um cabo de carregamento rápido.")</f>
        <v>Excelente, revisando após 3 meses de uso, bom cabo trançado., O melhor cabo. Muito útil., 0k, faz o trabalho, um produto excelente !!!, é um cabo de carregamento rápido.</v>
      </c>
      <c r="E151" s="29" t="str">
        <f>IFERROR(__xludf.DUMMYFUNCTION("GOOGLETRANSLATE(C151, ""en"", ""pt-br"")"),"Soberbo, estou usando isso no meu carro a partir de três meses de qualidade do produto, como descrito e está funcionando muito bem com minha nota Redme 5Proquickly cobrada em 45 min de 0 a 100% 5000mAh Battery Você só precisa de carregador rápido., O obje"&amp;"tivo de mim usando isso não é para carregar, mas como um anexo para um DAC portátil para celular para IEMs.&gt; A qualidade de construção é realmente boa.&gt; As extremidades são realmente premium.&gt; transfere som sem, sem perda, sem perda ou adição. Atualizará "&amp;"o mesmo mais tarde., O melhor que você pode obter .. um pouco caro, mas não está facilmente disponível no mercado local. THNX para duracell que eles têm isso. É conveniente se você hv carregar reverso do seu telefone. Eu o uso para trava digital que temos"&amp;" na porta da nossa casa .., 0k, sim, é um ótimo produto para mim! Ele cobra meu Samsung Galaxy J8, que possui uma porta USB com o novo carregador Samsung 25W, que possui uma porta do tipo C! Mas tenha cuidado, pois cobra em 15w. Ele faz o trabalho muito b"&amp;"em, mas é feito na China, enquanto o carregador da Samsung é feito na Índia, essa coisa de Duracell atende à expectativa esperada! Não é de admirar., Muito boa qualidade")</f>
        <v>Soberbo, estou usando isso no meu carro a partir de três meses de qualidade do produto, como descrito e está funcionando muito bem com minha nota Redme 5Proquickly cobrada em 45 min de 0 a 100% 5000mAh Battery Você só precisa de carregador rápido., O objetivo de mim usando isso não é para carregar, mas como um anexo para um DAC portátil para celular para IEMs.&gt; A qualidade de construção é realmente boa.&gt; As extremidades são realmente premium.&gt; transfere som sem, sem perda, sem perda ou adição. Atualizará o mesmo mais tarde., O melhor que você pode obter .. um pouco caro, mas não está facilmente disponível no mercado local. THNX para duracell que eles têm isso. É conveniente se você hv carregar reverso do seu telefone. Eu o uso para trava digital que temos na porta da nossa casa .., 0k, sim, é um ótimo produto para mim! Ele cobra meu Samsung Galaxy J8, que possui uma porta USB com o novo carregador Samsung 25W, que possui uma porta do tipo C! Mas tenha cuidado, pois cobra em 15w. Ele faz o trabalho muito bem, mas é feito na China, enquanto o carregador da Samsung é feito na Índia, essa coisa de Duracell atende à expectativa esperada! Não é de admirar., Muito boa qualidade</v>
      </c>
    </row>
    <row r="152">
      <c r="A152" s="9" t="s">
        <v>643</v>
      </c>
      <c r="B152" s="29" t="str">
        <f>VLOOKUP(dados!A152, reviews!A:G, 5, FALSE)</f>
        <v>Valume for money,Can’t turn off HDR in webOS while watching android apps,Webos, Magic remote &amp; LG like UI at 19k,Satisfied,Good,Value for money,Exchange Offer AND Extended Warranty of 2 Yrsnot been Given,Overall a good product and Value for money</v>
      </c>
      <c r="C152" s="29" t="str">
        <f>VLOOKUP(dados!A152, reviews!A:G, 6, FALSE)</f>
        <v>Vu  UHD SMART 43"  web os  version good  tv 2022 , picture quality and opareting  nice  , but sound  quality I am not satisfied not afctvive  to other t vs,HDR can’t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 TV, And 2 years Extended Warranty for New TV.  This has Not Come with Delivery.,I like all the features but login for ott apps is a problem which we have to open chrome in mobile or laptop for login in tv</v>
      </c>
      <c r="D152" s="29" t="str">
        <f>IFERROR(__xludf.DUMMYFUNCTION("GOOGLETRANSLATE(B152, ""en"", ""pt-br"")"),"Valume por dinheiro, não pode desligar o HDR em webos enquanto assiste a aplicativos Android, webos, Magic Remote &amp; LG como a interface do usuário em 19k, satisfeito, bom, valor por dinheiro, oferta de troca e garantia prolongada de 2 anos. Produto e valo"&amp;"r pelo dinheiro")</f>
        <v>Valume por dinheiro, não pode desligar o HDR em webos enquanto assiste a aplicativos Android, webos, Magic Remote &amp; LG como a interface do usuário em 19k, satisfeito, bom, valor por dinheiro, oferta de troca e garantia prolongada de 2 anos. Produto e valor pelo dinheiro</v>
      </c>
      <c r="E152" s="29" t="str">
        <f>IFERROR(__xludf.DUMMYFUNCTION("GOOGLETRANSLATE(C152, ""en"", ""pt-br"")"),"VU UHD SMART 43 ""Web OS Versão Good TV 2022, Qualidade da imagem e OPARETING NICE, mas a qualidade do som não estou satisfeita não afeta a outro T vs, o HDR não pode ser desligado em aplicativos, obteve -o em 19k na venda. A TV usa webos. É ágil. É tão r"&amp;"ico. O controle remoto mágico é incrível. Ele suporta Samsung Smartview e Dex fora da caixa, o que significa que sem internet e wifi etc Você pode lançar diretamente sua tela. Super Handy. O som A qualidade é tão boa para o preço. O controle remoto é sinc"&amp;"ronizado com o Airtel DTH e há suporte de banda dupla. O HDR é detectado e a upcaled automaticamente para o conteúdo de HD completo no hotstar e na Netflix. Os únicos contras que acho que é o poder Uso que é 100watt e o assistente inteligente é bastante i"&amp;"nútil. O webOS btw tem todos os aplicativos essenciais. Sobre a vu: a instalação é feita no mesmo dia. Não posso comentar sobre a durabilidade e o suporte futuro agora. Mas isso é comum para todas as composições de TV hoje, exceto a Samsung , LG, Sony e P"&amp;"anasonic., Tudo fino, mas remoto, é uma dor. É muito ergonomicamente criticado para idosos. Além disso, o webOS não é o melhor e fácil de usar., Bom, muito bom produto em geral, um pouco diferente da TV Android, mas trabalha quase Simler para Google ou An"&amp;"droid TV. Somente o feedback é o espelho da tela parece um pouco de legging e seria bom se obtivermos MX Player in Store., Enquanto fazia ordens, pedi a troca da TV antiga da Samsung 32 ”e 2 anos de garantia estendida para a nova TV. Isso não veio com a e"&amp;"ntrega., Eu gosto de todos os recursos, mas o login para aplicativos OTT é um problema que temos que abrir o Chrome em celular ou laptop para fazer login na TV")</f>
        <v>VU UHD SMART 43 "Web OS Versão Good TV 2022, Qualidade da imagem e OPARETING NICE, mas a qualidade do som não estou satisfeita não afeta a outro T vs, o HDR não pode ser desligado em aplicativos, obteve -o em 19k na venda. A TV usa webos. É ágil. É tão rico. O controle remoto mágico é incrível. Ele suporta Samsung Smartview e Dex fora da caixa, o que significa que sem internet e wifi etc Você pode lançar diretamente sua tela. Super Handy. O som A qualidade é tão boa para o preço. O controle remoto é sincronizado com o Airtel DTH e há suporte de banda dupla. O HDR é detectado e a upcaled automaticamente para o conteúdo de HD completo no hotstar e na Netflix. Os únicos contras que acho que é o poder Uso que é 100watt e o assistente inteligente é bastante inútil. O webOS btw tem todos os aplicativos essenciais. Sobre a vu: a instalação é feita no mesmo dia. Não posso comentar sobre a durabilidade e o suporte futuro agora. Mas isso é comum para todas as composições de TV hoje, exceto a Samsung , LG, Sony e Panasonic., Tudo fino, mas remoto, é uma dor. É muito ergonomicamente criticado para idosos. Além disso, o webOS não é o melhor e fácil de usar., Bom, muito bom produto em geral, um pouco diferente da TV Android, mas trabalha quase Simler para Google ou Android TV. Somente o feedback é o espelho da tela parece um pouco de legging e seria bom se obtivermos MX Player in Store., Enquanto fazia ordens, pedi a troca da TV antiga da Samsung 32 ”e 2 anos de garantia estendida para a nova TV. Isso não veio com a entrega., Eu gosto de todos os recursos, mas o login para aplicativos OTT é um problema que temos que abrir o Chrome em celular ou laptop para fazer login na TV</v>
      </c>
    </row>
    <row r="153">
      <c r="A153" s="9" t="s">
        <v>647</v>
      </c>
      <c r="B153" s="29" t="str">
        <f>VLOOKUP(dados!A153, reviews!A:G, 5, FALSE)</f>
        <v>Great Cable, Charging Speeds Could Be Better,Good,A good cable.,One of the best type c cable,Works as intended.,A good buy. The extra length helps a lot.,Good,Ok</v>
      </c>
      <c r="C153" s="29" t="str">
        <f>VLOOKUP(dados!A153, reviews!A:G, 6, FALSE)</f>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v>
      </c>
      <c r="D153" s="29" t="str">
        <f>IFERROR(__xludf.DUMMYFUNCTION("GOOGLETRANSLATE(B153, ""en"", ""pt-br"")"),"Ótimo cabo, as velocidades de carregamento podem ser melhores, boas, um bom cabo., Um dos melhores cabos do tipo C, funciona como pretendido., Uma boa compra. O comprimento extra ajuda muito., Bom, ok")</f>
        <v>Ótimo cabo, as velocidades de carregamento podem ser melhores, boas, um bom cabo., Um dos melhores cabos do tipo C, funciona como pretendido., Uma boa compra. O comprimento extra ajuda muito., Bom, ok</v>
      </c>
      <c r="E153" s="29" t="str">
        <f>IFERROR(__xludf.DUMMYFUNCTION("GOOGLETRANSLATE(C153, ""en"", ""pt-br"")"),"Não carregando tão rápido quanto eu esperava. Talvez algo errado com minha unidade. No entanto, o cabo em geral é realmente bastante decente. O material é ótimo, não se dobra de forma com muita facilidade e parece (e parece) o prêmio. O comprimento é defi"&amp;"nitivamente uma vantagem!, Bom, um cabo resistente para carregamento móvel., Faz 1 mês que estou usando este cabo de carregamento, funciona muito bem com o S20 FE 5G. Polegar para cima., O cabo trançado é resistente e bem construído. O cabo longo adiciona"&amp;" alcance extra e está livre de emaranhado., Uma boa compra. O comprimento extra ajuda muito., Bom produto, ok")</f>
        <v>Não carregando tão rápido quanto eu esperava. Talvez algo errado com minha unidade. No entanto, o cabo em geral é realmente bastante decente. O material é ótimo, não se dobra de forma com muita facilidade e parece (e parece) o prêmio. O comprimento é definitivamente uma vantagem!, Bom, um cabo resistente para carregamento móvel., Faz 1 mês que estou usando este cabo de carregamento, funciona muito bem com o S20 FE 5G. Polegar para cima., O cabo trançado é resistente e bem construído. O cabo longo adiciona alcance extra e está livre de emaranhado., Uma boa compra. O comprimento extra ajuda muito., Bom produto, ok</v>
      </c>
    </row>
    <row r="154">
      <c r="A154" s="9" t="s">
        <v>651</v>
      </c>
      <c r="B154" s="29" t="str">
        <f>VLOOKUP(dados!A154, reviews!A:G, 5, FALSE)</f>
        <v>Good,Sound is very low another brand comparing in better,Service provider not meet my home refuse, tv i am not using bad service,Good product,Ok super,Floor stand does not come with it ...,Good,A budget friendly TV with a clumsy UI and Remote</v>
      </c>
      <c r="C154" s="29" t="str">
        <f>VLOOKUP(dados!A154, reviews!A:G, 6, FALSE)</f>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v>
      </c>
      <c r="D154" s="29" t="str">
        <f>IFERROR(__xludf.DUMMYFUNCTION("GOOGLETRANSLATE(B154, ""en"", ""pt-br"")"),"Bom, som é muito baixo outra marca comparada em melhor, o provedor de serviços não atende a minha casa lixo, TV, não estou usando um serviço ruim, bom produto, ok super, suporte de piso não vem com ele ..., bom, um orçamento amigável TV com uma interface "&amp;"do usuário desajeitada e remoto")</f>
        <v>Bom, som é muito baixo outra marca comparada em melhor, o provedor de serviços não atende a minha casa lixo, TV, não estou usando um serviço ruim, bom produto, ok super, suporte de piso não vem com ele ..., bom, um orçamento amigável TV com uma interface do usuário desajeitada e remoto</v>
      </c>
      <c r="E154" s="29" t="str">
        <f>IFERROR(__xludf.DUMMYFUNCTION("GOOGLETRANSLATE(C154, ""en"", ""pt-br"")"),"No geral, boa., Imagem da TV OK SMART MELHORSOUND muito baixo Outra marca, provedor de serviços RECUSE Instale minha TV, serviço ruim e Samsung, estou chamando 3 vezes o provedor de serviços. Não encontro meu endereço residencial. Por que? Bad Bad, eles n"&amp;"ão vieram com o suporte de suporte ou o gancho pendurado na parede para instalar a TV, a qualidade da imagem é muito ruim em cabos, o suporte do piso não vem com ele ... você precisa comprá -lo separadamente. Solicite a Amazon para mencioná -lo no ADD. Vo"&amp;"cê terá que pagar acusações separadas pelo cara da instalação para comprar o suporte do piso., Bom,")</f>
        <v>No geral, boa., Imagem da TV OK SMART MELHORSOUND muito baixo Outra marca, provedor de serviços RECUSE Instale minha TV, serviço ruim e Samsung, estou chamando 3 vezes o provedor de serviços. Não encontro meu endereço residencial. Por que? Bad Bad, eles não vieram com o suporte de suporte ou o gancho pendurado na parede para instalar a TV, a qualidade da imagem é muito ruim em cabos, o suporte do piso não vem com ele ... você precisa comprá -lo separadamente. Solicite a Amazon para mencioná -lo no ADD. Você terá que pagar acusações separadas pelo cara da instalação para comprar o suporte do piso., Bom,</v>
      </c>
    </row>
    <row r="155">
      <c r="A155" s="9" t="s">
        <v>655</v>
      </c>
      <c r="B155" s="29" t="str">
        <f>VLOOKUP(dados!A155, reviews!A:G, 5, FALSE)</f>
        <v>Worth for money - suitable for Android auto,Good Product,Length,Nice,Original,Very good quay Cable support fast charging.,Original MI cable for charging upto 33 watt,I am veri happy with this product as it provide turbo charging.</v>
      </c>
      <c r="C155" s="29" t="str">
        <f>VLOOKUP(dados!A155, reviews!A:G, 6, FALSE)</f>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v>
      </c>
      <c r="D155" s="29" t="str">
        <f>IFERROR(__xludf.DUMMYFUNCTION("GOOGLETRANSLATE(B155, ""en"", ""pt-br"")"),"Worth for Money - Adequado para Android Auto, bom produto, comprimento, bom, original, muito bom, carregamento rápido de suporte a cabo.")</f>
        <v>Worth for Money - Adequado para Android Auto, bom produto, comprimento, bom, original, muito bom, carregamento rápido de suporte a cabo.</v>
      </c>
      <c r="E155" s="29" t="str">
        <f>IFERROR(__xludf.DUMMYFUNCTION("GOOGLETRANSLATE(C155, ""en"", ""pt-br"")"),"Valor de dinheiro - Adequado para Android Auto ... Meu propósito servido em carro ... Peguei por Rs.150, está tudo bem. Mas a embalagem não é uma boa sensação de que o vendedor deu é o cabo usado., Bom produto, bom produto, mas o custo é mais., Cabo origi"&amp;"nal, comprei este cabo em 129. Usando este cabo para Android Auto no meu carro. Funciona perfeitamente sem falha., Cabo Mi original. Cobrará até 33 watts. Consegui por Rs 150. Eu tenho um carregador de 67 watts e quero um cabo para o meu carro, então fui "&amp;"em frente. Eu verifiquei o desempenho com o aplicativo de carregamento da bateria. A velocidade de carregamento é exatamente metade do meu cabo original de 67 watts. Vá em frente., Isso me proporcionou um carregamento turbo. Eu recomendo para todos os tel"&amp;"efones celulares do Redmi Note 10s. Como fornece carregamento turbo. Estou feliz com este produto.")</f>
        <v>Valor de dinheiro - Adequado para Android Auto ... Meu propósito servido em carro ... Peguei por Rs.150, está tudo bem. Mas a embalagem não é uma boa sensação de que o vendedor deu é o cabo usado., Bom produto, bom produto, mas o custo é mais., Cabo original, comprei este cabo em 129. Usando este cabo para Android Auto no meu carro. Funciona perfeitamente sem falha., Cabo Mi original. Cobrará até 33 watts. Consegui por Rs 150. Eu tenho um carregador de 67 watts e quero um cabo para o meu carro, então fui em frente. Eu verifiquei o desempenho com o aplicativo de carregamento da bateria. A velocidade de carregamento é exatamente metade do meu cabo original de 67 watts. Vá em frente., Isso me proporcionou um carregamento turbo. Eu recomendo para todos os telefones celulares do Redmi Note 10s. Como fornece carregamento turbo. Estou feliz com este produto.</v>
      </c>
    </row>
    <row r="156">
      <c r="A156" s="9" t="s">
        <v>659</v>
      </c>
      <c r="B156" s="29" t="str">
        <f>VLOOKUP(dados!A156, reviews!A:G, 5, FALSE)</f>
        <v>Install CSR Driver For Advanced Features + Stability (More Than Just Bluetooth),Thik h,Driver installation CD was missing from the package.,Not compatible for office usage,Spr,THIS IS MY 2ND ORDER,Waste of time &amp; Money , Not recommend,Wrong product delivered.</v>
      </c>
      <c r="C156" s="29" t="str">
        <f>VLOOKUP(dados!A156, reviews!A:G, 6, FALSE)</f>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v>
      </c>
      <c r="D156" s="29" t="str">
        <f>IFERROR(__xludf.DUMMYFUNCTION("GOOGLETRANSLATE(B156, ""en"", ""pt-br"")"),"Instale o driver CSR para obter recursos avançados + estabilidade (mais do que apenas Bluetooth), Thik H, CD de instalação do motorista estava ausente no pacote., Não é compatível para uso do escritório, SPR, esta é minha segunda ordem, desperdício de tem"&amp;"po e dinheiro, não recomendo , Produto errado entregue.")</f>
        <v>Instale o driver CSR para obter recursos avançados + estabilidade (mais do que apenas Bluetooth), Thik H, CD de instalação do motorista estava ausente no pacote., Não é compatível para uso do escritório, SPR, esta é minha segunda ordem, desperdício de tempo e dinheiro, não recomendo , Produto errado entregue.</v>
      </c>
      <c r="E156" s="29" t="str">
        <f>IFERROR(__xludf.DUMMYFUNCTION("GOOGLETRANSLATE(C156, ""en"", ""pt-br"")"),"USB Bluetooth CSR 4.0: (Revisão inclui item incluído, especificação, recursos importantes, teste de velocidade, teste, nota e resultado) Ultra-mini Bluetooth CSR 4.0 Adaptador de dongle USB é um ótimo dispositivo com tantos recursos que fornecem da CSR qu"&amp;"e você precisa saber O que eles entregam ao preço. Para uma boa estabilidade + mais recursos para ativar, você deve instalar o driver fornecido pelo CSR (CSR 4.0 Harmony Driver) dentro do pacote é um CD. Instale o driver do CD (recomendado) Não apenas con"&amp;"ecte e reproduza o adaptador Bluetooth, pois neste caso ele usará drivers genéricos da Microsoft que possui recurso básico + não confiável (não recomendado) usando o driver pelo fabricante (RSE) irá Torne o dispositivo mais confiável + estável + recursos "&amp;"avançados. Este Bluetooth USB é recomendado para todos os compradores que procuram mais do que apenas Recursos Bluetooth + Avançado. CSR 4.0 DONGLE USB (PRINCIPAL) 2. Driver Mini CD (Instale o driver) [Recomendado] 3. A tampa de papelão contém detalhes (e"&amp;"specificação e recursos) Especificação: (mostrado na foto) 1. Bluetooth Versão 4.0 Compatiante (compatível com versões anteriores 3.0, 2.1, 2.0, 1.1 e 1.0) 2. Perfis de suporte: rede, dial-up, fax, acesso e fone de ouvido LAN.3. Sistema operacional: Windo"&amp;"ws XP, Vista, 7/8 / 10.4. Interface: conformidade USB (melhor plugue no painel traseiro USB 2.0 da placa -mãe) 5. Taxa de símbolos: 3 Mbps (no meu teste 100 kbps a 150 kbps média = 120 kbps) 6. Recebimento / envio de intervalo: 20m - 50m (prestes a ser 10"&amp;"m) 7. GARANTIA: Garantia de 3 meses a partir da data de compra. Bluetooth Low Energy (BLE) Radio Usb Dongle.2. Dual - Modo Bluetooth Transfer.3. Low - Power selecionável 1,2 a 3,6 V Entrada / saída.4. Suportando dados de voz Bluetooth. Interface de coexis"&amp;"tência da WLAN.6. Taxa de transferência de dados de até 3 Mbps com suporte aprimorado na taxa de dados (EDR). Plug &amp; play (recomendado apenas quando o motorista CSR 4.0 não funcionará. Então Plug &amp; Play pode ajudar. Bluedio T2 Plus Turbine Wireless Blueto"&amp;"oth Headphones com Rádio Mic/Micro SD Card Slot/FM (preto), Sahi Se Kam NHI Krta, bem, eu sei que pode funcionar sem o motorista, mas ainda assim estiver escrito na descrição de que existe um driver CD de instalação então deve haver um ............ de qua"&amp;"lquer forma você pode pegar o motorista online, então acho que está tudo bem., Não é útil, bom trabalho, eu havia encomendado o bluetooth dongle do mesmo vendedor poucos Anos, tempo, era o bom e velho bluetooth 4.0 se eu soubesse o quão valioso e bom blue"&amp;"tooth 4.0 é que eu teria pedido 2 ou 3. Está emparelhando -se que é um problema peculiar em que os phoes móveis não podem pesquisar no PC Bluetooth ou detectar, mas o PC Blutetooth pode detectar telefones celulares, experimentou os drivers de CSR e IVT Bl"&amp;"ueSoiel, os motoristas do SUIL Blue ivt funcionam muito melhor do que a RSR Driversonly após o emparelhamento que o dispositivo WorkBluetooth 5.0 é mais potência Fome do que 4.0i Run uma loja de impressão, eu precisava do dispositivo Bluetooth, para que, "&amp;"se o cliente não tiver internet, eles possam enviar arquivos via Bluetooth, isso claramente não aconteceu com 5.0i não retornou o dispositivo apenas BCOZ, eu não desejei que o vendedor Qualquer perda, pois esse é um problema do fabricante., Não sei por qu"&amp;"e, mas isso é muito lento e a cada 2 minutos meus fones de ouvido 🎧 estão desconectados e o Bluetooth se apaga automaticamente a cada 5 minutos, e você terá que desconectar manualmente e conectar manualmente Novamente e emparelhe -o de novo., Quero usar "&amp;"isso para minha faixa de pescoço com meu PC, que não tem Bluetooth. Então eu comprei. Mas quando eu conecto isso com o PC, fiquei surpreso ... porque o som que ouvi. som de baixa qualidade muito ruim ... talvez porque o produto que eu adquiri não era o me"&amp;"smo como mostrado na Amazon. Por favor, gaste algum dinheiro extra para o melhor.")</f>
        <v>USB Bluetooth CSR 4.0: (Revisão inclui item incluído, especificação, recursos importantes, teste de velocidade, teste, nota e resultado) Ultra-mini Bluetooth CSR 4.0 Adaptador de dongle USB é um ótimo dispositivo com tantos recursos que fornecem da CSR que você precisa saber O que eles entregam ao preço. Para uma boa estabilidade + mais recursos para ativar, você deve instalar o driver fornecido pelo CSR (CSR 4.0 Harmony Driver) dentro do pacote é um CD. Instale o driver do CD (recomendado) Não apenas conecte e reproduza o adaptador Bluetooth, pois neste caso ele usará drivers genéricos da Microsoft que possui recurso básico + não confiável (não recomendado) usando o driver pelo fabricante (RSE) irá Torne o dispositivo mais confiável + estável + recursos avançados. Este Bluetooth USB é recomendado para todos os compradores que procuram mais do que apenas Recursos Bluetooth + Avançado. CSR 4.0 DONGLE USB (PRINCIPAL) 2. Driver Mini CD (Instale o driver) [Recomendado] 3. A tampa de papelão contém detalhes (especificação e recursos) Especificação: (mostrado na foto) 1. Bluetooth Versão 4.0 Compatiante (compatível com versões anteriores 3.0, 2.1, 2.0, 1.1 e 1.0) 2. Perfis de suporte: rede, dial-up, fax, acesso e fone de ouvido LAN.3. Sistema operacional: Windows XP, Vista, 7/8 / 10.4. Interface: conformidade USB (melhor plugue no painel traseiro USB 2.0 da placa -mãe) 5. Taxa de símbolos: 3 Mbps (no meu teste 100 kbps a 150 kbps média = 120 kbps) 6. Recebimento / envio de intervalo: 20m - 50m (prestes a ser 10m) 7. GARANTIA: Garantia de 3 meses a partir da data de compra. Bluetooth Low Energy (BLE) Radio Usb Dongle.2. Dual - Modo Bluetooth Transfer.3. Low - Power selecionável 1,2 a 3,6 V Entrada / saída.4. Suportando dados de voz Bluetooth. Interface de coexistência da WLAN.6. Taxa de transferência de dados de até 3 Mbps com suporte aprimorado na taxa de dados (EDR). Plug &amp; play (recomendado apenas quando o motorista CSR 4.0 não funcionará. Então Plug &amp; Play pode ajudar. Bluedio T2 Plus Turbine Wireless Bluetooth Headphones com Rádio Mic/Micro SD Card Slot/FM (preto), Sahi Se Kam NHI Krta, bem, eu sei que pode funcionar sem o motorista, mas ainda assim estiver escrito na descrição de que existe um driver CD de instalação então deve haver um ............ de qualquer forma você pode pegar o motorista online, então acho que está tudo bem., Não é útil, bom trabalho, eu havia encomendado o bluetooth dongle do mesmo vendedor poucos Anos, tempo, era o bom e velho bluetooth 4.0 se eu soubesse o quão valioso e bom bluetooth 4.0 é que eu teria pedido 2 ou 3. Está emparelhando -se que é um problema peculiar em que os phoes móveis não podem pesquisar no PC Bluetooth ou detectar, mas o PC Blutetooth pode detectar telefones celulares, experimentou os drivers de CSR e IVT BlueSoiel, os motoristas do SUIL Blue ivt funcionam muito melhor do que a RSR Driversonly após o emparelhamento que o dispositivo WorkBluetooth 5.0 é mais potência Fome do que 4.0i Run uma loja de impressão, eu precisava do dispositivo Bluetooth, para que, se o cliente não tiver internet, eles possam enviar arquivos via Bluetooth, isso claramente não aconteceu com 5.0i não retornou o dispositivo apenas BCOZ, eu não desejei que o vendedor Qualquer perda, pois esse é um problema do fabricante., Não sei por que, mas isso é muito lento e a cada 2 minutos meus fones de ouvido 🎧 estão desconectados e o Bluetooth se apaga automaticamente a cada 5 minutos, e você terá que desconectar manualmente e conectar manualmente Novamente e emparelhe -o de novo., Quero usar isso para minha faixa de pescoço com meu PC, que não tem Bluetooth. Então eu comprei. Mas quando eu conecto isso com o PC, fiquei surpreso ... porque o som que ouvi. som de baixa qualidade muito ruim ... talvez porque o produto que eu adquiri não era o mesmo como mostrado na Amazon. Por favor, gaste algum dinheiro extra para o melhor.</v>
      </c>
    </row>
    <row r="157">
      <c r="A157" s="9" t="s">
        <v>663</v>
      </c>
      <c r="B157" s="29" t="str">
        <f>VLOOKUP(dados!A157, reviews!A:G, 5, FALSE)</f>
        <v>do not buy</v>
      </c>
      <c r="C157" s="29" t="str">
        <f>VLOOKUP(dados!A157, reviews!A:G, 6, FALSE)</f>
        <v>tv on off not working, so difficult to battery really a bad product</v>
      </c>
      <c r="D157" s="29" t="str">
        <f>IFERROR(__xludf.DUMMYFUNCTION("GOOGLETRANSLATE(B157, ""en"", ""pt-br"")"),"não compre")</f>
        <v>não compre</v>
      </c>
      <c r="E157" s="29" t="str">
        <f>IFERROR(__xludf.DUMMYFUNCTION("GOOGLETRANSLATE(C157, ""en"", ""pt-br"")"),"TV On Off não funcionando, tão difícil de agressão realmente um produto ruim")</f>
        <v>TV On Off não funcionando, tão difícil de agressão realmente um produto ruim</v>
      </c>
    </row>
    <row r="158">
      <c r="A158" s="9" t="s">
        <v>667</v>
      </c>
      <c r="B158" s="29" t="str">
        <f>VLOOKUP(dados!A158, reviews!A:G, 5, FALSE)</f>
        <v>Perfect product,Better than the original cable,Better then original,Good,The Very Best,Works absolutely fine,Charging is very slow.,Best Product</v>
      </c>
      <c r="C158" s="29" t="str">
        <f>VLOOKUP(dados!A158, reviews!A:G, 6, FALSE)</f>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v>
      </c>
      <c r="D158" s="29" t="str">
        <f>IFERROR(__xludf.DUMMYFUNCTION("GOOGLETRANSLATE(B158, ""en"", ""pt-br"")"),"Produto perfeito, melhor que o cabo original, melhor que original, bom, o melhor, funciona absolutamente bem, o carregamento é muito lento., Melhor produto")</f>
        <v>Produto perfeito, melhor que o cabo original, melhor que original, bom, o melhor, funciona absolutamente bem, o carregamento é muito lento., Melhor produto</v>
      </c>
      <c r="E158" s="29" t="str">
        <f>IFERROR(__xludf.DUMMYFUNCTION("GOOGLETRANSLATE(C158, ""en"", ""pt-br"")"),"Bom cabo. Tenho produto original e é durável e leve, a qualidade é de primeira qualidade e também é difícil como o inferno muito durável e cobra os dispositivos como o cabo original da marca. Nunca precisa se preocupar com o desgaste dos cabos., Carregame"&amp;"nto rápido, superficial de qualidade, usando para carregar i Telefone X com o carregador Samsung 25 watts, ele funciona bem, cobra o telefone em 90 minutos, vamos ver quanto tempo dura, até que até Agora não há problemas, 100% produto original de Belkin, "&amp;"funciona absolutamente bem ,, muito melhor qualidade que a Apple com suporte rápido de carregamento.")</f>
        <v>Bom cabo. Tenho produto original e é durável e leve, a qualidade é de primeira qualidade e também é difícil como o inferno muito durável e cobra os dispositivos como o cabo original da marca. Nunca precisa se preocupar com o desgaste dos cabos., Carregamento rápido, superficial de qualidade, usando para carregar i Telefone X com o carregador Samsung 25 watts, ele funciona bem, cobra o telefone em 90 minutos, vamos ver quanto tempo dura, até que até Agora não há problemas, 100% produto original de Belkin, funciona absolutamente bem ,, muito melhor qualidade que a Apple com suporte rápido de carregamento.</v>
      </c>
    </row>
    <row r="159">
      <c r="A159" s="9" t="s">
        <v>671</v>
      </c>
      <c r="B159" s="29" t="str">
        <f>VLOOKUP(dados!A159, reviews!A:G, 5, FALSE)</f>
        <v>VFM and kudos to egate to launch a fhd projector at the lowest price and it is not bad at all,Good Bluetooth Projector,What more can you ask for at this price!!?,Good for winter nights.,Nice purchase,Value for money,WORTH EVERY PENNY SPENT...,Value for money</v>
      </c>
      <c r="C159" s="29" t="str">
        <f>VLOOKUP(dados!A159, reviews!A:G, 6, FALSE)</f>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it’s very helpful for their studies. Now students connect themselves more to the world.😊,I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v>
      </c>
      <c r="D159" s="29" t="str">
        <f>IFERROR(__xludf.DUMMYFUNCTION("GOOGLETRANSLATE(B159, ""en"", ""pt-br"")"),"VFM e elogios para Egate para lançar um projetor de FHD pelo preço mais baixo e não é ruim, bom projetor Bluetooth, o que mais você pode pedir por esse preço !!?, Bom para as noites de inverno., Boa compra, valor para o valor para dinheiro, vale cada cent"&amp;"avo gasto ..., valor ao dinheiro")</f>
        <v>VFM e elogios para Egate para lançar um projetor de FHD pelo preço mais baixo e não é ruim, bom projetor Bluetooth, o que mais você pode pedir por esse preço !!?, Bom para as noites de inverno., Boa compra, valor para o valor para dinheiro, vale cada centavo gasto ..., valor ao dinheiro</v>
      </c>
      <c r="E159" s="29" t="str">
        <f>IFERROR(__xludf.DUMMYFUNCTION("GOOGLETRANSLATE(C159, ""en"", ""pt-br"")"),"Esta revisão é para o projetor nativo do FHD. Sim, é um projetor LED nativo de 1080p. Conectei isso ao meu computador de mesa e também testou. Não se preocupe em tentar reproduzir vídeos do USB. A qualidade é ruim. Mas, quando conectada ao streaming direi"&amp;"to ou da fonte de exibição através de HDMI, é realmente muito bom. Quero dizer, qualidade da imagem, cores, brilho etc. para um projetor abaixo de 10k. Neste departamento, esse projetor pode competir facilmente com muitos projetores em intervalos sub -15k"&amp;". O Sound também está bem, alto o suficiente como os alto -falantes do barco 5W, pode ser um pouco mais alto, não de boa qualidade. Quitr viável como solução portátil, mas não para uma configuração permanente. A saída de audiácio para meus fones de ouvido"&amp;" de estúdio também é bastante decente de qualidade e alto. Significado 2.1 Os alto-falantes podem ser conectados a ele, para uma configuração mais alta, a pessoa precisa descobrir para separar o áudio na própria fonte. A partir de 9 pés e 3-4 polegadas de"&amp;" distância da lente a parede, podemos obter exatamente 100 polegadas (87 polegadas x 49 polegadas) Projeção. Portanto, pode ser chamado de projetor de arremesso curto, Albiet pode ser o nível de fronteira. Há uma opção para reduzir o tamanho da tela até 7"&amp;"5% do tamanho original eletronicamente, uma vez conectado à correção de HDMI.Keystone não é de nada. Essa roda deve ser exata na posição intermediária para obter um bom foco na tela inteira. Isso significa que é preciso configurar o projetor ou a tela em "&amp;"um local fixo. Não pode prender o projetor para mover a tela para cima ou para baixo e depois ajustar com a correção de Keystone. I. E Se você deseja manter a tela do projetor em níveis mais baixos, o projetor também precisa ser corrigido apenas em níveis"&amp;" mais baixos. O melhor foco pode ser obtido, ao projetar exatamente o queimador do projetor provavelmente 5 a 6 polegadas acima; portanto, se virarmos o projetor de cabeça para baixo, obtemos o melhor foco oposto ao centro a alguns centímetros. Do chão, v"&amp;"ou usar um suporte de parede para configurar o projetor de cabeça para baixo, dessa maneira, posso consertar o projetor um pouco mais acima/atrás do sofá. Vou postar as fotos mais tarde, uma vez configurado corretamente. Agora o veredicto - este projetor "&amp;"com uma combinação de tela reflexiva do projetor (procure -o no Amazon Xelectron ou na Minago Brand) é uma das combinações mais VFM para aproximadamente 11k para experimentar uma muito Experiência brilhante em tela de 100 polegadas de boa qualidade para 1"&amp;" ou 2 pessoas. Mas agora que estou pensando em comprar uma daquelas telas caras de projetor fixo de quadro fixo, custando mais de 15k a 30k, eu sou thinikg, teria sido melhor se eu pudesse ter investido um pouco mais em um projetor mais brilhante (procure"&amp;" apenas o valor da ANSI). Essa compra foi mais uma compra de impulso, mas é mais do que boa o suficiente para mim agora me fazer considerar muito mais carojas de projetor e depois atualizar para um projetor de ponta.edit: a maior desvantagem deste projeto"&amp;"r é que a poeira entra no painel LCD, que afeta a clareza também depois de alguns dias. Eu tive que limpar o painel MySelg logo após 1,5 meses. Nova lição aprendida, além do projetor de alto lúmen do ANSI, esse também é um fator importante para a compra f"&amp;"utura. Planejando fazer uma cobertura de pano personalizada, para que eu não precise limpá -la com frequência. No entanto, a limpeza do LCD pode ser feita com bastante facilidade sem muita abertura e é mais fácil em comparação com os vídeos do YouTube que"&amp;" eu já vi para o modelo anterior. De alguma forma, a lente ainda não conseguiu poeira por dentro. Somente o LCD tem partículas de poeira muito finas por dentro., Qualidade é boa, valor ao dinheiro. A conectividade Bluetooth é suave e rápida. A qualidade d"&amp;"o som do projetor não é tão grande, mas que já havíamos considerado antes. O aplicativo Hotstar realmente funciona bem com ótima qualidade, e o YouTube também. O Netflix &amp; Prime Video não fornece a mesma qualidade inicialmente, mas isso deve ser uma conex"&amp;"ão WiFi. Alguns aplicativos, no entanto, não são instalados ou apenas fecham por conta própria. O bom ponto é a conexão Bluetooth, e até adicionamos uma barra de som Bluetooth, então movê -la e colocá -la em qualquer sala se tornou uma opção realmente boa"&amp;"., Este é realmente um produto fantástico nessa faixa de preço. Não é não Android, então você precisa adicionar um bastão de fogo da Amazon ou algum outro dispositivo de origem através do Hdmineed sem dizer que o brilho é muito bom para ambientes escuros "&amp;"e também é assistível durante o dia pode encobrir suas janelas e outras fontes de luz. A propagação da tela está quase até 120 polegadas a uma distância de 13 a 1 pés com a nitidez mais ou menos intacta. Converte 4k a 1080pwill Recomendar um montagem de t"&amp;"ripé ou uma montagem feita personalizada como a minha como a minha .Fense que as paredes sejam brancas para a melhor reprodução de imagem / vídeo. Pode revisitar o feedback após alguns meses. Comprei este projetor para minha sala de aula e é muito útil pa"&amp;"ra seus estudos. Agora, os alunos se conectam mais ao mundo. 😊, sinto que é um produto para o dinheiro, pois já o usei nos últimos dois meses., Se você estiver procurando por um projetor de artista em casa, não procure mais. ... !!! Melhor preço, boa qua"&amp;"lidade de imagem, brilho e um controle remoto decente com boa funcionalidade ... como sempre impressionado com sua enormidade ... cancelei minha conexão com o DTH, porque o Amazon Prime TV Stick com este projetor é tudo o que preciso ... isso é o tempo to"&amp;"do que tenho para assistir TV em meio ao meu trabalho e eles fazem o trabalho bem ... Uma noite divertida depois de um dia agitado e você ficará satisfeito ... qualquer dúvida me pingei, eu te ajudarei o máximo que puder ... não se preocupe com especifica"&amp;"ções e outros detalhes de um homem de família, vai Satisfaça todas as suas necessidades, seja surf, filmes ou jogos e com o espelho de taco de tv de fogo também é possível ... espero que ajude ... atualização após 4 meses - 4 horas/dia de uso: a foto envi"&amp;"ada foi ao meio -dia 13:00 com telas escuras ... oi, esta foi uma resposta a um cliente para ajudar Seja claro sobre o seu propósito para este projetor, como se for para uso oficial ou entretenimento doméstico, você também não mencionou sua fonte como DTH"&amp;" ou Fire TV Stick etc ... como você não vou ir com uma revisão geral para fins ... Vai ser uma revisão muito detalhada, para que os caras sem paciência possam correr até o fim de uma só vez ... !!! Eu digo a você o que me ajudou a decidir ... Primeiro n, "&amp;"o principal Egate é uma empresa indiana, diferente da UC, que é um produto chinês comum com uma marca homônima UC (confirmou -a com meu amigo na China) ... Portanto, o serviço e a confiança geral é mais Em Egate do que a competição ... em segundo lugar, d"&amp;"e companheiros de clientes, aprendi que Egate é mais brilhante que o resto dois ... em terceiro lugar, as imagens são nítidas e não há nenhum borrão no texto em Egate em comparação com os outros dois ... Apenas aprenda a ajustar a pedra de chave corretame"&amp;"nte ... quarto, o comprimento do cabo de alimentação é mais longo em Egate ... quinto, ele tem uma capa de lente para fechar a lente quando não estiver em uso ... os outros não o têm ... Agora, em geral, não usei os outros dois, mas a entrada de dados par"&amp;"a os outros dois são de seus usuários, então vou te dizer o que eu fiz e o que você pode fazer com Egate .. .Eu coloquei a um comprimento de 15 pés da tela n, ele fornece uma exibição incrível ... conecte um sistema de alto -falantes em casa 2.1 /5.1 se v"&amp;"ocê estiver tentando o efeito de home theater, mas o alto -falante embutido é bom a 2/3 pés Projeção do final de sua cama com crianças dormindo por aí ... Eu conectei meu segundo bastão de TV de fogo, para que ela se conecte ao Wi-Fi para filmes n Serials"&amp;" n espelhamento é feito por isso para jogar com o jogo Mobiles n Como bacalhau n pUBG n ff ... também você tem conectividade para laptop n pendrive etc ... você obtém um controle remoto que funciona bem junto com ele ... o mais importante, você pode montá"&amp;" -lo no teto ou tripé também que os outros dois Não é ... mas lembre -se de que se você está montando no teto, é necessário virar a tela em 180 ° nas configurações porque você montou de cabeça para baixo, pois a opção é fornecida sob o projetor, mas para "&amp;"o tripé não é necessário ... também você pode colocar O projetor atrás da tela como um teatro real se você estiver usando uma tela de pano como eu e restrição do espaço, mas lembre -se de virar a imagem da direita para a esquerda nas configurações, pois o"&amp;" projetor está atrás da tela e precisa obter uma imagem invertida de 90 ° Por trás ... então eu acho que é a parte 3D que tomou sua decisão obscura, o que eu adoraria dizer por isso é um Samsung 3D habilitado a TV inteligente n, eu vi a saída desse tipo d"&amp;"e dispositivos 3D baratos Além disso, como é um projetor de baixo custo que os efeitos 3D darão uma dor de cabeça porque é melhor optar por uma TV se 3D for uma prioridade, como na TV os efeitos 3D R Awesome ... mas hoje em dia você pode instalar um aplic"&amp;"ativo em um aplicativo em Qualquer dispositivo para assistir filmes em 3D ou baixar melhor um filme 3D em Pendrive n Play It N Assista com seus óculos 3D ... meus amigos fazem isso, mas eu não ... veredicto: ""Melhor projetor no mercado em minha opinião p"&amp;"ara O preço e o entretenimento doméstico fins ""Nota: para os usuários do Amazon Prime n Netflix, se você estiver usando uma saída de áudio 2.1 às vezes você pode não obter áudio, então não se preocupe n, não é nada errado com o projetor, apenas os filmes"&amp;" mais recentes são feitos com Dolby 5.1 Som, então use a configuração na tela no vídeo para navegar para soar e escolher estéreo da opção Dolby padrão e pronto você fazer ... !!! Minha resenha foi útil ... !!!, conforme dinheiro, é melhor, mas se você é f"&amp;"ã de imagens de qualidade")</f>
        <v>Esta revisão é para o projetor nativo do FHD. Sim, é um projetor LED nativo de 1080p. Conectei isso ao meu computador de mesa e também testou. Não se preocupe em tentar reproduzir vídeos do USB. A qualidade é ruim. Mas, quando conectada ao streaming direito ou da fonte de exibição através de HDMI, é realmente muito bom. Quero dizer, qualidade da imagem, cores, brilho etc. para um projetor abaixo de 10k. Neste departamento, esse projetor pode competir facilmente com muitos projetores em intervalos sub -15k. O Sound também está bem, alto o suficiente como os alto -falantes do barco 5W, pode ser um pouco mais alto, não de boa qualidade. Quitr viável como solução portátil, mas não para uma configuração permanente. A saída de audiácio para meus fones de ouvido de estúdio também é bastante decente de qualidade e alto. Significado 2.1 Os alto-falantes podem ser conectados a ele, para uma configuração mais alta, a pessoa precisa descobrir para separar o áudio na própria fonte. A partir de 9 pés e 3-4 polegadas de distância da lente a parede, podemos obter exatamente 100 polegadas (87 polegadas x 49 polegadas) Projeção. Portanto, pode ser chamado de projetor de arremesso curto, Albiet pode ser o nível de fronteira. Há uma opção para reduzir o tamanho da tela até 75% do tamanho original eletronicamente, uma vez conectado à correção de HDMI.Keystone não é de nada. Essa roda deve ser exata na posição intermediária para obter um bom foco na tela inteira. Isso significa que é preciso configurar o projetor ou a tela em um local fixo. Não pode prender o projetor para mover a tela para cima ou para baixo e depois ajustar com a correção de Keystone. I. E Se você deseja manter a tela do projetor em níveis mais baixos, o projetor também precisa ser corrigido apenas em níveis mais baixos. O melhor foco pode ser obtido, ao projetar exatamente o queimador do projetor provavelmente 5 a 6 polegadas acima; portanto, se virarmos o projetor de cabeça para baixo, obtemos o melhor foco oposto ao centro a alguns centímetros. Do chão, vou usar um suporte de parede para configurar o projetor de cabeça para baixo, dessa maneira, posso consertar o projetor um pouco mais acima/atrás do sofá. Vou postar as fotos mais tarde, uma vez configurado corretamente. Agora o veredicto - este projetor com uma combinação de tela reflexiva do projetor (procure -o no Amazon Xelectron ou na Minago Brand) é uma das combinações mais VFM para aproximadamente 11k para experimentar uma muito Experiência brilhante em tela de 100 polegadas de boa qualidade para 1 ou 2 pessoas. Mas agora que estou pensando em comprar uma daquelas telas caras de projetor fixo de quadro fixo, custando mais de 15k a 30k, eu sou thinikg, teria sido melhor se eu pudesse ter investido um pouco mais em um projetor mais brilhante (procure apenas o valor da ANSI). Essa compra foi mais uma compra de impulso, mas é mais do que boa o suficiente para mim agora me fazer considerar muito mais carojas de projetor e depois atualizar para um projetor de ponta.edit: a maior desvantagem deste projetor é que a poeira entra no painel LCD, que afeta a clareza também depois de alguns dias. Eu tive que limpar o painel MySelg logo após 1,5 meses. Nova lição aprendida, além do projetor de alto lúmen do ANSI, esse também é um fator importante para a compra futura. Planejando fazer uma cobertura de pano personalizada, para que eu não precise limpá -la com frequência. No entanto, a limpeza do LCD pode ser feita com bastante facilidade sem muita abertura e é mais fácil em comparação com os vídeos do YouTube que eu já vi para o modelo anterior. De alguma forma, a lente ainda não conseguiu poeira por dentro. Somente o LCD tem partículas de poeira muito finas por dentro., Qualidade é boa, valor ao dinheiro. A conectividade Bluetooth é suave e rápida. A qualidade do som do projetor não é tão grande, mas que já havíamos considerado antes. O aplicativo Hotstar realmente funciona bem com ótima qualidade, e o YouTube também. O Netflix &amp; Prime Video não fornece a mesma qualidade inicialmente, mas isso deve ser uma conexão WiFi. Alguns aplicativos, no entanto, não são instalados ou apenas fecham por conta própria. O bom ponto é a conexão Bluetooth, e até adicionamos uma barra de som Bluetooth, então movê -la e colocá -la em qualquer sala se tornou uma opção realmente boa., Este é realmente um produto fantástico nessa faixa de preço. Não é não Android, então você precisa adicionar um bastão de fogo da Amazon ou algum outro dispositivo de origem através do Hdmineed sem dizer que o brilho é muito bom para ambientes escuros e também é assistível durante o dia pode encobrir suas janelas e outras fontes de luz. A propagação da tela está quase até 120 polegadas a uma distância de 13 a 1 pés com a nitidez mais ou menos intacta. Converte 4k a 1080pwill Recomendar um montagem de tripé ou uma montagem feita personalizada como a minha como a minha .Fense que as paredes sejam brancas para a melhor reprodução de imagem / vídeo. Pode revisitar o feedback após alguns meses. Comprei este projetor para minha sala de aula e é muito útil para seus estudos. Agora, os alunos se conectam mais ao mundo. 😊, sinto que é um produto para o dinheiro, pois já o usei nos últimos dois meses., Se você estiver procurando por um projetor de artista em casa, não procure mais. ... !!! Melhor preço, boa qualidade de imagem, brilho e um controle remoto decente com boa funcionalidade ... como sempre impressionado com sua enormidade ... cancelei minha conexão com o DTH, porque o Amazon Prime TV Stick com este projetor é tudo o que preciso ... isso é o tempo todo que tenho para assistir TV em meio ao meu trabalho e eles fazem o trabalho bem ... Uma noite divertida depois de um dia agitado e você ficará satisfeito ... qualquer dúvida me pingei, eu te ajudarei o máximo que puder ... não se preocupe com especificações e outros detalhes de um homem de família, vai Satisfaça todas as suas necessidades, seja surf, filmes ou jogos e com o espelho de taco de tv de fogo também é possível ... espero que ajude ... atualização após 4 meses - 4 horas/dia de uso: a foto enviada foi ao meio -dia 13:00 com telas escuras ... oi, esta foi uma resposta a um cliente para ajudar Seja claro sobre o seu propósito para este projetor, como se for para uso oficial ou entretenimento doméstico, você também não mencionou sua fonte como DTH ou Fire TV Stick etc ... como você não vou ir com uma revisão geral para fins ... Vai ser uma revisão muito detalhada, para que os caras sem paciência possam correr até o fim de uma só vez ... !!! Eu digo a você o que me ajudou a decidir ... Primeiro n, o principal Egate é uma empresa indiana, diferente da UC, que é um produto chinês comum com uma marca homônima UC (confirmou -a com meu amigo na China) ... Portanto, o serviço e a confiança geral é mais Em Egate do que a competição ... em segundo lugar, de companheiros de clientes, aprendi que Egate é mais brilhante que o resto dois ... em terceiro lugar, as imagens são nítidas e não há nenhum borrão no texto em Egate em comparação com os outros dois ... Apenas aprenda a ajustar a pedra de chave corretamente ... quarto, o comprimento do cabo de alimentação é mais longo em Egate ... quinto, ele tem uma capa de lente para fechar a lente quando não estiver em uso ... os outros não o têm ... Agora, em geral, não usei os outros dois, mas a entrada de dados para os outros dois são de seus usuários, então vou te dizer o que eu fiz e o que você pode fazer com Egate .. .Eu coloquei a um comprimento de 15 pés da tela n, ele fornece uma exibição incrível ... conecte um sistema de alto -falantes em casa 2.1 /5.1 se você estiver tentando o efeito de home theater, mas o alto -falante embutido é bom a 2/3 pés Projeção do final de sua cama com crianças dormindo por aí ... Eu conectei meu segundo bastão de TV de fogo, para que ela se conecte ao Wi-Fi para filmes n Serials n espelhamento é feito por isso para jogar com o jogo Mobiles n Como bacalhau n pUBG n ff ... também você tem conectividade para laptop n pendrive etc ... você obtém um controle remoto que funciona bem junto com ele ... o mais importante, você pode montá -lo no teto ou tripé também que os outros dois Não é ... mas lembre -se de que se você está montando no teto, é necessário virar a tela em 180 ° nas configurações porque você montou de cabeça para baixo, pois a opção é fornecida sob o projetor, mas para o tripé não é necessário ... também você pode colocar O projetor atrás da tela como um teatro real se você estiver usando uma tela de pano como eu e restrição do espaço, mas lembre -se de virar a imagem da direita para a esquerda nas configurações, pois o projetor está atrás da tela e precisa obter uma imagem invertida de 90 ° Por trás ... então eu acho que é a parte 3D que tomou sua decisão obscura, o que eu adoraria dizer por isso é um Samsung 3D habilitado a TV inteligente n, eu vi a saída desse tipo de dispositivos 3D baratos Além disso, como é um projetor de baixo custo que os efeitos 3D darão uma dor de cabeça porque é melhor optar por uma TV se 3D for uma prioridade, como na TV os efeitos 3D R Awesome ... mas hoje em dia você pode instalar um aplicativo em um aplicativo em Qualquer dispositivo para assistir filmes em 3D ou baixar melhor um filme 3D em Pendrive n Play It N Assista com seus óculos 3D ... meus amigos fazem isso, mas eu não ... veredicto: "Melhor projetor no mercado em minha opinião para O preço e o entretenimento doméstico fins "Nota: para os usuários do Amazon Prime n Netflix, se você estiver usando uma saída de áudio 2.1 às vezes você pode não obter áudio, então não se preocupe n, não é nada errado com o projetor, apenas os filmes mais recentes são feitos com Dolby 5.1 Som, então use a configuração na tela no vídeo para navegar para soar e escolher estéreo da opção Dolby padrão e pronto você fazer ... !!! Minha resenha foi útil ... !!!, conforme dinheiro, é melhor, mas se você é fã de imagens de qualidade</v>
      </c>
    </row>
    <row r="160">
      <c r="A160" s="9" t="s">
        <v>677</v>
      </c>
      <c r="B160" s="29" t="str">
        <f>VLOOKUP(dados!A160, reviews!A:G, 5, FALSE)</f>
        <v>good,Worth product,Good quality,Very good HDMI 2.1 cable,Best hdmi 2.1 cable 8k 60hz / 4k 120hz,Did not like the quality and when connected I see a red color picture,Value for money  must buy it for eArc</v>
      </c>
      <c r="C160" s="29" t="str">
        <f>VLOOKUP(dados!A160, reviews!A:G, 6, FALSE)</f>
        <v>good,Value for money 👍,This is really a good quality cable , it’s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v>
      </c>
      <c r="D160" s="29" t="str">
        <f>IFERROR(__xludf.DUMMYFUNCTION("GOOGLETRANSLATE(B160, ""en"", ""pt-br"")"),"Produto bom, valor, boa qualidade, cabo HDMI 2.1 muito bom, melhor cabo HDMI 2.1 8K 60Hz / 4K 120Hz, não gostou da qualidade e, quando conectado")</f>
        <v>Produto bom, valor, boa qualidade, cabo HDMI 2.1 muito bom, melhor cabo HDMI 2.1 8K 60Hz / 4K 120Hz, não gostou da qualidade e, quando conectado</v>
      </c>
      <c r="E160" s="29" t="str">
        <f>IFERROR(__xludf.DUMMYFUNCTION("GOOGLETRANSLATE(C160, ""en"", ""pt-br"")"),"Bom, valor ao dinheiro 👍, este é realmente um cabo de boa qualidade, é muito longo o suficiente para o tamanho das unidades de TV modernas, funciona excelente com a Sony Bravia TV, tamanho perfeito e um cabo HDMI 2.1 de qualidade extremamente de boa qual"&amp;"idade que oferece a opção de conexão do EARC. Este HDMI para conectar a caixa de configuração com meu novo nativo de Samsung TV 4K@120 Hz, infelizmente quando usado esse fio para conectar a qualidade da imagem, estava ruim e estava vendo pontos vermelhos "&amp;"em toda a imagem. Quando substituído por outro cabo HDMI, todos os problemas foram corrigidos. Então, em suma")</f>
        <v>Bom, valor ao dinheiro 👍, este é realmente um cabo de boa qualidade, é muito longo o suficiente para o tamanho das unidades de TV modernas, funciona excelente com a Sony Bravia TV, tamanho perfeito e um cabo HDMI 2.1 de qualidade extremamente de boa qualidade que oferece a opção de conexão do EARC. Este HDMI para conectar a caixa de configuração com meu novo nativo de Samsung TV 4K@120 Hz, infelizmente quando usado esse fio para conectar a qualidade da imagem, estava ruim e estava vendo pontos vermelhos em toda a imagem. Quando substituído por outro cabo HDMI, todos os problemas foram corrigidos. Então, em suma</v>
      </c>
    </row>
    <row r="161">
      <c r="A161" s="9" t="s">
        <v>681</v>
      </c>
      <c r="B161" s="29" t="str">
        <f>VLOOKUP(dados!A161, reviews!A:G, 5, FALSE)</f>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v>
      </c>
      <c r="C161" s="29" t="str">
        <f>VLOOKUP(dados!A161, reviews!A:G, 6, FALSE)</f>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v>
      </c>
      <c r="D161" s="29" t="str">
        <f>IFERROR(__xludf.DUMMYFUNCTION("GOOGLETRANSLATE(B161, ""en"", ""pt-br"")"),"Trabalhando bem., Todas as funções estão funcionando, poucos botões não eram adequadamente funcionais, é melhor do que o original, mesmo com o peso leve com os botões SOFTR. Os botões parecem bons, não duros, como outros controles remotos. É um bom produt"&amp;"o para ir, não um controle remoto amigável sem opção de reconhecimento de voz, mas ele valoriza dinheiro, bom")</f>
        <v>Trabalhando bem., Todas as funções estão funcionando, poucos botões não eram adequadamente funcionais, é melhor do que o original, mesmo com o peso leve com os botões SOFTR. Os botões parecem bons, não duros, como outros controles remotos. É um bom produto para ir, não um controle remoto amigável sem opção de reconhecimento de voz, mas ele valoriza dinheiro, bom</v>
      </c>
      <c r="E161" s="29" t="str">
        <f>IFERROR(__xludf.DUMMYFUNCTION("GOOGLETRANSLATE(C161, ""en"", ""pt-br"")"),"O controle remoto está bem funcional. Todas as funções estão funcionando. O controle remoto não está emitindo sons de plástico Qwerking. Não é tão sólido quanto o controle remoto original. No geral, satisfeitos, não há opção de microfone e poucos botões f"&amp;"oram confusos, é melhor do que original até o seu peso leve com botões SOFTR. ,Bom")</f>
        <v>O controle remoto está bem funcional. Todas as funções estão funcionando. O controle remoto não está emitindo sons de plástico Qwerking. Não é tão sólido quanto o controle remoto original. No geral, satisfeitos, não há opção de microfone e poucos botões foram confusos, é melhor do que original até o seu peso leve com botões SOFTR. ,Bom</v>
      </c>
    </row>
    <row r="162">
      <c r="A162" s="9" t="s">
        <v>685</v>
      </c>
      <c r="B162" s="29" t="str">
        <f>VLOOKUP(dados!A162, reviews!A:G, 5, FALSE)</f>
        <v>Satisfactory one,Optical cable loose contact,Digital to Analogue converter,Its a good Product to connect Home Theater Music System without optical audio port.,Very good product.,Good,High quality amezon basic top notch go for best sound quality,Good</v>
      </c>
      <c r="C162" s="29" t="str">
        <f>VLOOKUP(dados!A162, reviews!A:G, 6, FALSE)</f>
        <v>The build quality is good. Not sure on the reliability front , let’s see in few months. The sound quality is satisfactory. There is a reduction in sound which is expected during conversion anyway.  But considering the price it’s negligible. Overall a good buy. Will recommend this one especially for TV’s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v>
      </c>
      <c r="D162" s="29" t="str">
        <f>IFERROR(__xludf.DUMMYFUNCTION("GOOGLETRANSLATE(B162, ""en"", ""pt-br"")"),"Satisfatório, Cabo óptico LODE CONTAT, DIGITAL PARA ANALOUGO Converter, é um bom produto para conectar o sistema de música home theater sem porta de áudio óptica., Produto muito bom., Bom, de alta qualidade, a melhor qualidade básica, vá para a melhor qua"&amp;"lidade de som, boa")</f>
        <v>Satisfatório, Cabo óptico LODE CONTAT, DIGITAL PARA ANALOUGO Converter, é um bom produto para conectar o sistema de música home theater sem porta de áudio óptica., Produto muito bom., Bom, de alta qualidade, a melhor qualidade básica, vá para a melhor qualidade de som, boa</v>
      </c>
      <c r="E162" s="29" t="str">
        <f>IFERROR(__xludf.DUMMYFUNCTION("GOOGLETRANSLATE(C162, ""en"", ""pt-br"")"),"A qualidade da construção é boa. Não tenho certeza na frente de confiabilidade, vamos ver em alguns meses. A qualidade do som é satisfatória. De qualquer forma, há uma redução no som que se espera durante a conversão. Mas considerando o preço é insignific"&amp;"ante. No geral, uma boa compra. Vou recomendar este especialmente para as TVs sem óptica e apenas persuadir/spdif., Quão a relacionar com garantia, para converter áudio digital da Sony Bravia XR55x90J 4K UHD para Sony Dav-Dz150kanalogue BE MEU DESPESCEITO"&amp;" DE RESPONDIÇÃO DE ERRO É EXCELENTETIVE está me dando um efeito virtual 5.1 enquanto assiste filmes no Disney Hot Star e Amezon Primemy 15Cyears Old Dav-dz-150k home theater sem qualquer saída digital está dando um efeito de 5.1 Virtual 5.1 no dispositivo"&amp;" AudiorePlacement Dois dias o serviço TimeExcellent, de AmeZonthanks, também para U Tube, de onde aprendi minhas lições de instalação deste depósito clássico, ficou muito decepcionado no 1º dispositivo e, como não há política de retorno, pedi substituição"&amp;" e funcionou muito bem, agora estou muito feliz e faria Gostaria de recomendar a pessoas que têm uma nova TV sem qualquer saída analógica e possui apenas saída digital e HDMI e sistemas antigos de home theater com apenas uma saída analógica, componente ou"&amp;" composit. produtos. Estou usando isso nos últimos meses. A qualidade do som é muito boa, boa, tão boa, boa, boa")</f>
        <v>A qualidade da construção é boa. Não tenho certeza na frente de confiabilidade, vamos ver em alguns meses. A qualidade do som é satisfatória. De qualquer forma, há uma redução no som que se espera durante a conversão. Mas considerando o preço é insignificante. No geral, uma boa compra. Vou recomendar este especialmente para as TVs sem óptica e apenas persuadir/spdif., Quão a relacionar com garantia, para converter áudio digital da Sony Bravia XR55x90J 4K UHD para Sony Dav-Dz150kanalogue BE MEU DESPESCEITO DE RESPONDIÇÃO DE ERRO É EXCELENTETIVE está me dando um efeito virtual 5.1 enquanto assiste filmes no Disney Hot Star e Amezon Primemy 15Cyears Old Dav-dz-150k home theater sem qualquer saída digital está dando um efeito de 5.1 Virtual 5.1 no dispositivo AudiorePlacement Dois dias o serviço TimeExcellent, de AmeZonthanks, também para U Tube, de onde aprendi minhas lições de instalação deste depósito clássico, ficou muito decepcionado no 1º dispositivo e, como não há política de retorno, pedi substituição e funcionou muito bem, agora estou muito feliz e faria Gostaria de recomendar a pessoas que têm uma nova TV sem qualquer saída analógica e possui apenas saída digital e HDMI e sistemas antigos de home theater com apenas uma saída analógica, componente ou composit. produtos. Estou usando isso nos últimos meses. A qualidade do som é muito boa, boa, tão boa, boa, boa</v>
      </c>
    </row>
    <row r="163">
      <c r="A163" s="9" t="s">
        <v>689</v>
      </c>
      <c r="B163" s="29" t="str">
        <f>VLOOKUP(dados!A163, reviews!A:G, 5, FALSE)</f>
        <v>Good pick for Galaxy Note 9,Durable and quality product,Best Cable for Android Auto,The cable I will always carry when I pack my stuff for a ride.,Good charging capacity and data transfers,I bought it for my bike,Excellent,👍</v>
      </c>
      <c r="C163" s="29" t="str">
        <f>VLOOKUP(dados!A163, reviews!A:G, 6, FALSE)</f>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v>
      </c>
      <c r="D163" s="29" t="str">
        <f>IFERROR(__xludf.DUMMYFUNCTION("GOOGLETRANSLATE(B163, ""en"", ""pt-br"")"),"Boa escolha para o Galaxy Note 9, Produto durável e de qualidade, Melhor cabo para Android Auto, o cabo que sempre carregarei quando arrumar minhas coisas para um passeio., Boa capacidade de carregamento e transferências de dados, comprei para minha bicic"&amp;"leta, excelente, 👍")</f>
        <v>Boa escolha para o Galaxy Note 9, Produto durável e de qualidade, Melhor cabo para Android Auto, o cabo que sempre carregarei quando arrumar minhas coisas para um passeio., Boa capacidade de carregamento e transferências de dados, comprei para minha bicicleta, excelente, 👍</v>
      </c>
      <c r="E163" s="29" t="str">
        <f>IFERROR(__xludf.DUMMYFUNCTION("GOOGLETRANSLATE(C163, ""en"", ""pt-br"")"),"Comprei o cabo para o meu Galaxy Note 9 em julho de 2022. Estou usando -o desde então e funciona bem. O cabo é difícil devido à sua natureza trançada., No geral, bom para uso, não enfrentou nenhum problema de qualidade. C A seção de pontos também é boa pa"&amp;"ra se encaixar corretamente no celular. Você pode ir em frente., Cabo mais caro que já comprei. Provavelmente o melhor cabo também. Dando 1 estrela menos pelo preço premium. Comprei isso, pois os cabos longos não funcionam bem com o Android Car. Isso func"&amp;"iona muito bem. Vá em frente se precisar se conectar com o Android Auto., Curta revisão: Isso elimina a necessidade de envolver cabos longos ao redor do guidão quando o telefone estiver montado nele para navegação. Compacto e poderoso. Mais adequado para "&amp;"montagens de motocicletas e bancos de power. Depois de estar cansado de cabos de embrulho no guidão, eu queria algo curto apenas para sentar lá e carregar o dispositivo e limpar a desordem na alça de motocicleta. Isso é exatamente o que eu queria. Tenho u"&amp;"ma montagem móvel que se parece com a montagem da garra de garra de Bobo em lojas locais e que oferece 5V ~ 2.4a. Tentei poucos cabos das lojas locais e eles morrem ou não carregam o dispositivo o suficiente quando ele estiver em uso. Mesmo quando o dispo"&amp;"sitivo não está em uso, a taxa de carregamento costumava ser baixa. É quando eu decidi experimentar este, pois sempre hesitei em que ₹ 300+ para um cabo curto seja muito alto. Agora estou muito feliz com a compra de que ela pode buscar a capacidade de car"&amp;"regamento completa do carregador móvel e entregá -lo ao dispositivo. Fiz uma ida e volta de 400 km e isso tem sido um salvador. Ainda estou para verificar se o QC3.0 reivindicado é verdadeiro, mas pelo menos serve o objetivo no meu guidão de motocicleta, "&amp;"para que não tenha reclamações. Atualizarei quando tiver a chance de testar que. Como vou usá -lo apenas na motocicleta, tenho certeza de que vou colocar alguns abusos e posso comentar o mesmo quando revisitar esta revisão para atualizações. Durabilidade:"&amp;" terei que usá -lo mais e atualizar esta revisão Na perspectiva de durabilidade, quando meu primeiro cabo de carga do Wayona Dash que usei para o OnePlus 6 morreu em 3 meses. Mas, felizmente, foi substituído sob garantia. Isso mostra o quão bom é o apoio "&amp;"da equipe Wayona. Eu só tive que registrar que o cabo morreu e não cobra mais e eles também são esse vídeo como evidência para substituir o produto. Definitivamente, recomendo este cabo. A transferência de dados é bastante rápida e também compatível com o"&amp;" meu adaptador de CQ., Bom, excelente ... Valorizando pelo dinheiro, fio agradável, carga rápida.")</f>
        <v>Comprei o cabo para o meu Galaxy Note 9 em julho de 2022. Estou usando -o desde então e funciona bem. O cabo é difícil devido à sua natureza trançada., No geral, bom para uso, não enfrentou nenhum problema de qualidade. C A seção de pontos também é boa para se encaixar corretamente no celular. Você pode ir em frente., Cabo mais caro que já comprei. Provavelmente o melhor cabo também. Dando 1 estrela menos pelo preço premium. Comprei isso, pois os cabos longos não funcionam bem com o Android Car. Isso funciona muito bem. Vá em frente se precisar se conectar com o Android Auto., Curta revisão: Isso elimina a necessidade de envolver cabos longos ao redor do guidão quando o telefone estiver montado nele para navegação. Compacto e poderoso. Mais adequado para montagens de motocicletas e bancos de power. Depois de estar cansado de cabos de embrulho no guidão, eu queria algo curto apenas para sentar lá e carregar o dispositivo e limpar a desordem na alça de motocicleta. Isso é exatamente o que eu queria. Tenho uma montagem móvel que se parece com a montagem da garra de garra de Bobo em lojas locais e que oferece 5V ~ 2.4a. Tentei poucos cabos das lojas locais e eles morrem ou não carregam o dispositivo o suficiente quando ele estiver em uso. Mesmo quando o dispositivo não está em uso, a taxa de carregamento costumava ser baixa. É quando eu decidi experimentar este, pois sempre hesitei em que ₹ 300+ para um cabo curto seja muito alto. Agora estou muito feliz com a compra de que ela pode buscar a capacidade de carregamento completa do carregador móvel e entregá -lo ao dispositivo. Fiz uma ida e volta de 400 km e isso tem sido um salvador. Ainda estou para verificar se o QC3.0 reivindicado é verdadeiro, mas pelo menos serve o objetivo no meu guidão de motocicleta, para que não tenha reclamações. Atualizarei quando tiver a chance de testar que. Como vou usá -lo apenas na motocicleta, tenho certeza de que vou colocar alguns abusos e posso comentar o mesmo quando revisitar esta revisão para atualizações. Durabilidade: terei que usá -lo mais e atualizar esta revisão Na perspectiva de durabilidade, quando meu primeiro cabo de carga do Wayona Dash que usei para o OnePlus 6 morreu em 3 meses. Mas, felizmente, foi substituído sob garantia. Isso mostra o quão bom é o apoio da equipe Wayona. Eu só tive que registrar que o cabo morreu e não cobra mais e eles também são esse vídeo como evidência para substituir o produto. Definitivamente, recomendo este cabo. A transferência de dados é bastante rápida e também compatível com o meu adaptador de CQ., Bom, excelente ... Valorizando pelo dinheiro, fio agradável, carga rápida.</v>
      </c>
    </row>
    <row r="164">
      <c r="A164" s="9" t="s">
        <v>693</v>
      </c>
      <c r="B164" s="29" t="str">
        <f>VLOOKUP(dados!A164, reviews!A:G, 5, FALSE)</f>
        <v>Very good product and met my need.  Thanks,Decent value,Nice quality… trustable…,Just well in this price.,supports 2.4 amps fast charging,Nice,Nice.,Value for money</v>
      </c>
      <c r="C164" s="29" t="str">
        <f>VLOOKUP(dados!A164, reviews!A:G, 6, FALSE)</f>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v>
      </c>
      <c r="D164" s="29" t="str">
        <f>IFERROR(__xludf.DUMMYFUNCTION("GOOGLETRANSLATE(B164, ""en"", ""pt-br"")"),"Muito bom produto e atendeu à minha necessidade. Obrigado, valor decente, boa qualidade ... confiável ..., bem nesse preço., Suporta 2,4 amperes de carregamento rápido, bom, bom., Valor do dinheiro")</f>
        <v>Muito bom produto e atendeu à minha necessidade. Obrigado, valor decente, boa qualidade ... confiável ..., bem nesse preço., Suporta 2,4 amperes de carregamento rápido, bom, bom., Valor do dinheiro</v>
      </c>
      <c r="E164" s="29" t="str">
        <f>IFERROR(__xludf.DUMMYFUNCTION("GOOGLETRANSLATE(C164, ""en"", ""pt-br"")"),"Gostei do produto. Preciso para o meu aparelho USB., Bom valor, até agora eu havia comprado cerca de 20 cabos Micro e C tipo para mim e minha família neste último ano. É tudo porque essa marca ganha minha confiança, fornecendo ótima qualidade com preço ra"&amp;"zoável, NA, testado com carregador e telefone de 2,4 amperes. fornece energia completa de 2,4 amperes ao telefone. O cabo parece espesso e possui uma textura agradável. Apesar disso, tenho certeza de que não é muito durável. Os conectores USB são extremam"&amp;"ente resistentes e não dobram ou flexionam. O fio quebrará antes do conector !! Aviso: o micro conector USB tem um gancho forte. Tenha cuidado ao conectar e desconectar, ou você pode danificar seu dispositivo. Cabo muito barato e utilizável por 120 Rs, Su"&amp;"per Power, Nice Produto., Neste preço, este é o melhor")</f>
        <v>Gostei do produto. Preciso para o meu aparelho USB., Bom valor, até agora eu havia comprado cerca de 20 cabos Micro e C tipo para mim e minha família neste último ano. É tudo porque essa marca ganha minha confiança, fornecendo ótima qualidade com preço razoável, NA, testado com carregador e telefone de 2,4 amperes. fornece energia completa de 2,4 amperes ao telefone. O cabo parece espesso e possui uma textura agradável. Apesar disso, tenho certeza de que não é muito durável. Os conectores USB são extremamente resistentes e não dobram ou flexionam. O fio quebrará antes do conector !! Aviso: o micro conector USB tem um gancho forte. Tenha cuidado ao conectar e desconectar, ou você pode danificar seu dispositivo. Cabo muito barato e utilizável por 120 Rs, Super Power, Nice Produto., Neste preço, este é o melhor</v>
      </c>
    </row>
    <row r="165">
      <c r="A165" s="9" t="s">
        <v>697</v>
      </c>
      <c r="B165" s="29" t="str">
        <f>VLOOKUP(dados!A165, reviews!A:G, 5, FALSE)</f>
        <v>Quality is good,Very sturdy,Very Good Item for the price offered,This lightening cable support data transfer as well got this at ₹99,Lightning cable,worst product.,Great,It's very good product I really happy it's quality was amazing thankyou Amazon</v>
      </c>
      <c r="C165" s="29" t="str">
        <f>VLOOKUP(dados!A165, reviews!A:G, 6, FALSE)</f>
        <v>Good one….,Very good sturdy,I am using this in the car and work fine for far, writing this review after 2 weeks.,This cable charge as well transfer data without even any mfi certified,Very Happy with this one,my cable stopped working in a week.,Worth🌱,This material was good</v>
      </c>
      <c r="D165" s="29" t="str">
        <f>IFERROR(__xludf.DUMMYFUNCTION("GOOGLETRANSLATE(B165, ""en"", ""pt-br"")"),"A qualidade é boa, muito robusta e muito bom item para o preço oferecido, esta transferência de dados de suporte a cabo de iluminação também recebeu isso em ₹ 99, cabo de raios, pior produto., Ótimo, é muito bom produto que eu realmente feliz que a qualid"&amp;"ade foi incrível, obrigado Amazonas")</f>
        <v>A qualidade é boa, muito robusta e muito bom item para o preço oferecido, esta transferência de dados de suporte a cabo de iluminação também recebeu isso em ₹ 99, cabo de raios, pior produto., Ótimo, é muito bom produto que eu realmente feliz que a qualidade foi incrível, obrigado Amazonas</v>
      </c>
      <c r="E165" s="29" t="str">
        <f>IFERROR(__xludf.DUMMYFUNCTION("GOOGLETRANSLATE(C165, ""en"", ""pt-br"")"),"Bom ...., muito bom resistente, estou usando isso no carro e funcionando bem para longe, escrevendo esta resenha após 2 semanas. Cable parou de funcionar em uma semana., Vale a pena, este material era bom")</f>
        <v>Bom ...., muito bom resistente, estou usando isso no carro e funcionando bem para longe, escrevendo esta resenha após 2 semanas. Cable parou de funcionar em uma semana., Vale a pena, este material era bom</v>
      </c>
    </row>
    <row r="166">
      <c r="A166" s="9" t="s">
        <v>701</v>
      </c>
      <c r="B166" s="29" t="str">
        <f>VLOOKUP(dados!A166, reviews!A:G, 5, FALSE)</f>
        <v>Good only for Charging,Well it's a great cable you can trust on,Another quality product from Belkin &amp; Amazon,60W support not clear,Become a belkin fan,Happy with performance,The only competitor to original cables,good</v>
      </c>
      <c r="C166" s="29" t="str">
        <f>VLOOKUP(dados!A166, reviews!A:G, 6, FALSE)</f>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v>
      </c>
      <c r="D166" s="29" t="str">
        <f>IFERROR(__xludf.DUMMYFUNCTION("GOOGLETRANSLATE(B166, ""en"", ""pt-br"")"),"Bom apenas para cobrar, bem, é um ótimo cabo em que você pode confiar, outro produto de qualidade da Belkin &amp; Amazon, suporte 60W não claro, se tornar um fã de Belkin, feliz com o desempenho, o único concorrente de cabos originais, bom")</f>
        <v>Bom apenas para cobrar, bem, é um ótimo cabo em que você pode confiar, outro produto de qualidade da Belkin &amp; Amazon, suporte 60W não claro, se tornar um fã de Belkin, feliz com o desempenho, o único concorrente de cabos originais, bom</v>
      </c>
      <c r="E166" s="29" t="str">
        <f>IFERROR(__xludf.DUMMYFUNCTION("GOOGLETRANSLATE(C166, ""en"", ""pt-br"")"),"O cabo é bom um pouco mais espesso que os cabos originais da Apple e só é bom para carregar. Não funciona para a transmissão de dados contrária ao que alguém mencionou nas respostas a uma das consultas. Não pelo menos com produtos da Apple. Ele cobra meu "&amp;"iPad Pro com o chip M2, mas o congela, se usado para transmissão de dados. Qualquer pessoa que procura transmissão de dados melhor encontre outra coisa. Esse item é bom apenas para carregar., Funciona bem. Não há problemas até agora., De acordo com a pági"&amp;"na do produto Belkin, não há menção de que ele suporta 60W. O apoio da Belkin na seção Q/A diz que suporta apenas 15W. Precisa ser investigado se realmente estiver carregando rapidamente ou não. O comportamento escomento da Belkin para não especificar tal"&amp;" spec.belkin.com/us/cables/charging/boost-charge-usb-c-temb-c-cable/p/p/pab003/. Excelente qualidade e construção, graças à Belkin por fornecer bons produtos e graças ao vendedor e à Amazon por vender este produto., Excelente produto, acho que é apenas Be"&amp;"lkin em comparação com o restante das empresas de terceiros, que produzem cabos de qualidade. Você pode sentir a qualidade em suas mãos. Vale a pena, embora você possa achar caro., Como esperado")</f>
        <v>O cabo é bom um pouco mais espesso que os cabos originais da Apple e só é bom para carregar. Não funciona para a transmissão de dados contrária ao que alguém mencionou nas respostas a uma das consultas. Não pelo menos com produtos da Apple. Ele cobra meu iPad Pro com o chip M2, mas o congela, se usado para transmissão de dados. Qualquer pessoa que procura transmissão de dados melhor encontre outra coisa. Esse item é bom apenas para carregar., Funciona bem. Não há problemas até agora., De acordo com a página do produto Belkin, não há menção de que ele suporta 60W. O apoio da Belkin na seção Q/A diz que suporta apenas 15W. Precisa ser investigado se realmente estiver carregando rapidamente ou não. O comportamento escomento da Belkin para não especificar tal spec.belkin.com/us/cables/charging/boost-charge-usb-c-temb-c-cable/p/p/pab003/. Excelente qualidade e construção, graças à Belkin por fornecer bons produtos e graças ao vendedor e à Amazon por vender este produto., Excelente produto, acho que é apenas Belkin em comparação com o restante das empresas de terceiros, que produzem cabos de qualidade. Você pode sentir a qualidade em suas mãos. Vale a pena, embora você possa achar caro., Como esperado</v>
      </c>
    </row>
    <row r="167">
      <c r="A167" s="9" t="s">
        <v>705</v>
      </c>
      <c r="B167" s="29" t="str">
        <f>VLOOKUP(dados!A167, reviews!A:G, 5, FALSE)</f>
        <v>Worthy product,Very good generic remote for Samsung LED/LCD TV.,Working👍,Overall good,Good built quality,Durability is my concern,It is perfect for Samsung smart tv,good</v>
      </c>
      <c r="C167" s="29" t="str">
        <f>VLOOKUP(dados!A167, reviews!A:G, 6, FALSE)</f>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v>
      </c>
      <c r="D167" s="29" t="str">
        <f>IFERROR(__xludf.DUMMYFUNCTION("GOOGLETRANSLATE(B167, ""en"", ""pt-br"")"),"Produto digno, remoto genérico muito bom para a Samsung LED/LCD TV., Trabalhando, boa, boa, boa qualidade construída, durabilidade é minha preocupação, é perfeito para a Samsung Smart TV, boa")</f>
        <v>Produto digno, remoto genérico muito bom para a Samsung LED/LCD TV., Trabalhando, boa, boa, boa qualidade construída, durabilidade é minha preocupação, é perfeito para a Samsung Smart TV, boa</v>
      </c>
      <c r="E167" s="29" t="str">
        <f>IFERROR(__xludf.DUMMYFUNCTION("GOOGLETRANSLATE(C167, ""en"", ""pt-br"")"),"O Compatabile for Samsung TVs pode comprá -las e usá -las sem medo., Funciona perfeitamente como o controle remoto original. Talvez o preço possa ser reduzido um pouco., Só tem uma experiência de 1 semana, está funcionando sem problemas até agora, funcion"&amp;"a e esperava ... leve depois de colocar a bateria também ... pesa menor que a Samsung Remote original .... I Não tenho certeza sobre a durabilidade ... mas um bom produto e ajuda para a minha TV ... desde que o controle remoto original quebrou, o produto "&amp;"e seus recursos são realmente bons e auto -explicantes. Além disso, a qualidade construída é boa., O controle remoto está funcionando bem por enquanto, mas a durabilidade não tem certeza como não como original, mas faz o trabalho., É bom para a Samsung Sm"&amp;"art TV, Nice One")</f>
        <v>O Compatabile for Samsung TVs pode comprá -las e usá -las sem medo., Funciona perfeitamente como o controle remoto original. Talvez o preço possa ser reduzido um pouco., Só tem uma experiência de 1 semana, está funcionando sem problemas até agora, funciona e esperava ... leve depois de colocar a bateria também ... pesa menor que a Samsung Remote original .... I Não tenho certeza sobre a durabilidade ... mas um bom produto e ajuda para a minha TV ... desde que o controle remoto original quebrou, o produto e seus recursos são realmente bons e auto -explicantes. Além disso, a qualidade construída é boa., O controle remoto está funcionando bem por enquanto, mas a durabilidade não tem certeza como não como original, mas faz o trabalho., É bom para a Samsung Smart TV, Nice One</v>
      </c>
    </row>
    <row r="168">
      <c r="A168" s="9" t="s">
        <v>709</v>
      </c>
      <c r="B168" s="29" t="str">
        <f>VLOOKUP(dados!A168, reviews!A:G, 5, FALSE)</f>
        <v>Good product,Is worth the money you are paying for it,Good quality cable,Go for it!,Nice product☑️,Good buy,You can trust Wayona,Quality product  , Life of product is good  .</v>
      </c>
      <c r="C168" s="29" t="str">
        <f>VLOOKUP(dados!A168, reviews!A:G, 6, FALSE)</f>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product☑️,Good and convenient product for those who don’t want long dangling wires from their power banks😊,I bought a Wayona One Plus cable and then this cable a few years later, never faced an issue. Recommended it to my friends as well, no one faced an issue with Wayona products thus far. Worth it.,Quality product  , Life of product is good  .</v>
      </c>
      <c r="D168" s="29" t="str">
        <f>IFERROR(__xludf.DUMMYFUNCTION("GOOGLETRANSLATE(B168, ""en"", ""pt-br"")"),"Bom produto, vale o dinheiro que você está pagando por ele, cabo de boa qualidade, vá em frente!, Bom produto☑️, boa compra, você pode confiar em Wayona, produto de qualidade, a vida do produto é boa.")</f>
        <v>Bom produto, vale o dinheiro que você está pagando por ele, cabo de boa qualidade, vá em frente!, Bom produto☑️, boa compra, você pode confiar em Wayona, produto de qualidade, a vida do produto é boa.</v>
      </c>
      <c r="E168" s="29" t="str">
        <f>IFERROR(__xludf.DUMMYFUNCTION("GOOGLETRANSLATE(C168, ""en"", ""pt-br"")"),"Gosto do produto e o usei para o meu iPhone, o produto foi entregue rapidamente. Certamente funciona pelo preço que você paga por isso. Faz um bom trabalho de cobrar os iPhones sem atrasos. Eu vou recomendar. De fato, também comprou alguns outros produtos"&amp;" depois de pegar esse cabo., Sua qualidade de construção é excelente e cobra o telefone rapidamente, apesar de ser um cabo longo, o que é uma boa característica., Bom produto para uso bruto. Eu uso isso no meu carro desde o primeiro dia e ele levou todo o"&amp;" intemperismo. Bom produto, zero aborrecimentos, queixa zero. Vá em frente!, Produto agradável, produto bom e conveniente para quem não deseja fios longos e pendurados de seus bancos de energia😊, comprei um cabo Wayona Plus e, em seguida, esse cabo algun"&amp;"s anos depois, nunca enfrentou um problema. Recomendou isso aos meus amigos também, ninguém enfrentou um problema com os produtos Wayona até agora. Vale a pena., Produto de qualidade, a vida do produto é boa.")</f>
        <v>Gosto do produto e o usei para o meu iPhone, o produto foi entregue rapidamente. Certamente funciona pelo preço que você paga por isso. Faz um bom trabalho de cobrar os iPhones sem atrasos. Eu vou recomendar. De fato, também comprou alguns outros produtos depois de pegar esse cabo., Sua qualidade de construção é excelente e cobra o telefone rapidamente, apesar de ser um cabo longo, o que é uma boa característica., Bom produto para uso bruto. Eu uso isso no meu carro desde o primeiro dia e ele levou todo o intemperismo. Bom produto, zero aborrecimentos, queixa zero. Vá em frente!, Produto agradável, produto bom e conveniente para quem não deseja fios longos e pendurados de seus bancos de energia😊, comprei um cabo Wayona Plus e, em seguida, esse cabo alguns anos depois, nunca enfrentou um problema. Recomendou isso aos meus amigos também, ninguém enfrentou um problema com os produtos Wayona até agora. Vale a pena., Produto de qualidade, a vida do produto é boa.</v>
      </c>
    </row>
    <row r="169">
      <c r="A169" s="9" t="s">
        <v>713</v>
      </c>
      <c r="B169" s="29" t="str">
        <f>VLOOKUP(dados!A169, reviews!A:G, 5, FALSE)</f>
        <v>really good producers,Thompson smart tv remote control,Best for Kodak tv,I love it,Not feather touch,Working fine,Best without voice control,Value for Money</v>
      </c>
      <c r="C169" s="29" t="str">
        <f>VLOOKUP(dados!A169, reviews!A:G, 6, FALSE)</f>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v>
      </c>
      <c r="D169" s="29" t="str">
        <f>IFERROR(__xludf.DUMMYFUNCTION("GOOGLETRANSLATE(B169, ""en"", ""pt-br"")"),"Realmente bons produtores, Thompson Smart TV Remote Control, melhor para a Kodak TV, eu amo, não toque de penas, funcionando bem, melhor sem controle de voz, valor para o dinheiro")</f>
        <v>Realmente bons produtores, Thompson Smart TV Remote Control, melhor para a Kodak TV, eu amo, não toque de penas, funcionando bem, melhor sem controle de voz, valor para o dinheiro</v>
      </c>
      <c r="E169" s="29" t="str">
        <f>IFERROR(__xludf.DUMMYFUNCTION("GOOGLETRANSLATE(C169, ""en"", ""pt-br"")"),"Produtores realmente bons, bons com condições de trabalho apenas assistente de voz que não está funcionando, estou usando o Kodak 80 cm (32 polegadas) HD Certified Android Android TV 32HDX7XPRO.Se você tiver a mesma TV modelo, basta seguir em frente., Mel"&amp;"hor produto, não Touch de penas, eu gosto de ter um bom desempenho, está tudo bem, exceto o controle de voz. No entanto, W.R.T. Preço dos controles remotos controlados por voz, é muito melhor., Preços razoáveis")</f>
        <v>Produtores realmente bons, bons com condições de trabalho apenas assistente de voz que não está funcionando, estou usando o Kodak 80 cm (32 polegadas) HD Certified Android Android TV 32HDX7XPRO.Se você tiver a mesma TV modelo, basta seguir em frente., Melhor produto, não Touch de penas, eu gosto de ter um bom desempenho, está tudo bem, exceto o controle de voz. No entanto, W.R.T. Preço dos controles remotos controlados por voz, é muito melhor., Preços razoáveis</v>
      </c>
    </row>
    <row r="170">
      <c r="A170" s="9" t="s">
        <v>717</v>
      </c>
      <c r="B170" s="29" t="str">
        <f>VLOOKUP(dados!A170, reviews!A:G, 5, FALSE)</f>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v>
      </c>
      <c r="C170" s="29" t="str">
        <f>VLOOKUP(dados!A170, reviews!A:G, 6, FALSE)</f>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v>
      </c>
      <c r="D170" s="29" t="str">
        <f>IFERROR(__xludf.DUMMYFUNCTION("GOOGLETRANSLATE(B170, ""en"", ""pt-br"")"),"TV funcionando bem., Valor do dinheiro, Acer 32 Revisão da TV de som de som, Produto é bom, mas um mentira pelo vendedor (ou seja, espaço de 16 GB), Cromecast não funcionando nesta TV inteligente., Clareza e som incrível, sistema de som incrível como um A"&amp;" qualidade da imagem da barra de som é impressionante e conectada, boa e amiga do orçamento TV inteligente")</f>
        <v>TV funcionando bem., Valor do dinheiro, Acer 32 Revisão da TV de som de som, Produto é bom, mas um mentira pelo vendedor (ou seja, espaço de 16 GB), Cromecast não funcionando nesta TV inteligente., Clareza e som incrível, sistema de som incrível como um A qualidade da imagem da barra de som é impressionante e conectada, boa e amiga do orçamento TV inteligente</v>
      </c>
      <c r="E170" s="29" t="str">
        <f>IFERROR(__xludf.DUMMYFUNCTION("GOOGLETRANSLATE(C170, ""en"", ""pt-br"")"),"TV funcionando bem, a tela é do tipo VA, se quisermos ver uma boa imagem, precisamos manter uma distância mínima para a TV, porque esses pixels de TV são muito grandes. Mas se mantivermos a imagem de distância mínima, parece tão nítida e os níveis de pret"&amp;"o ficarão ótimos. E outra coisa a reprodução de cores da TV não é tão boa em comparação com as telas IPS. Mas neste preço é um bom negócio. O Thare está definitivamente atrasado no software de TV e controle remoto. No início, tenho um problema de conexão "&amp;"Bluetooth, mas após a formatação do problema de TV foi resolvido. Esta TV tem bar de som e parece ótimo em comparação com outras marcas de TV, especialmente nessa faixa de preço. Eu recomendo esta TV se você quiser comprar esta série de 32 polegadas. Gost"&amp;"ei e acho que você também adora se o seu orçamento estiver nesse intervalo., Primeiro outono, fui tomar como uma TV Acer, então tenho medo porque a Acer TV é uma nova marca e se algum problema com a TV por servir. Mas depois de comprar e usar meu medo, fo"&amp;"i. Porque as funções de TV são boas. E garantia também disponível., No geral, é um bom produto, algumas vezes ele fica e uma vez que foi reiniciado automaticamente. Mas a empresa mentiu para os clientes que há 16 GB de espaço na TV, o que não é o Theresti"&amp;"ll, eu gosto da imagem e do som Qualidade, estou muito feliz quando encomendo esta TV. Eu o comprei no Diwali. Quando começamos a usar essa TV, descobrimos que, para usar o recurso Cromecast, preciso instalar um aplicativo de terceiros que não é suporte a"&amp;"o meu telefone celular (Samsung M21). Estou muito decepcionado agora por esse recurso, mas o que posso fazer agora. Tem um sistema de som bom e alto. Minha experiência geral não é atender às minhas expectativas. Lamento não ter obtido um tamanho maior. Es"&amp;"ta é uma TV inteligente incrível, vista clara e som incrível. 4 estrelas apenas porque eu não consegui fazer o Jio Universal Remote trabalhar com ele., Sob 15k Melhor TV Android Smart Tudo é perfeito, como som, qualidade de imagem, conectividade Bluetooth"&amp;" e Wi -Fi. Conectividade, finalmente, uma TV inteligente amigável para pessoas de classe média que está com salário de 30 mil por mês. Qualidade da imagem- ok ok, som- super, aviso- melhor, remoto- simples sobre tudo o que é legal. Nenhum produto é perfei"&amp;"to em todos os segmentos, este também não é uma exceção.")</f>
        <v>TV funcionando bem, a tela é do tipo VA, se quisermos ver uma boa imagem, precisamos manter uma distância mínima para a TV, porque esses pixels de TV são muito grandes. Mas se mantivermos a imagem de distância mínima, parece tão nítida e os níveis de preto ficarão ótimos. E outra coisa a reprodução de cores da TV não é tão boa em comparação com as telas IPS. Mas neste preço é um bom negócio. O Thare está definitivamente atrasado no software de TV e controle remoto. No início, tenho um problema de conexão Bluetooth, mas após a formatação do problema de TV foi resolvido. Esta TV tem bar de som e parece ótimo em comparação com outras marcas de TV, especialmente nessa faixa de preço. Eu recomendo esta TV se você quiser comprar esta série de 32 polegadas. Gostei e acho que você também adora se o seu orçamento estiver nesse intervalo., Primeiro outono, fui tomar como uma TV Acer, então tenho medo porque a Acer TV é uma nova marca e se algum problema com a TV por servir. Mas depois de comprar e usar meu medo, foi. Porque as funções de TV são boas. E garantia também disponível., No geral, é um bom produto, algumas vezes ele fica e uma vez que foi reiniciado automaticamente. Mas a empresa mentiu para os clientes que há 16 GB de espaço na TV, o que não é o Therestill, eu gosto da imagem e do som Qualidade, estou muito feliz quando encomendo esta TV. Eu o comprei no Diwali. Quando começamos a usar essa TV, descobrimos que, para usar o recurso Cromecast, preciso instalar um aplicativo de terceiros que não é suporte ao meu telefone celular (Samsung M21). Estou muito decepcionado agora por esse recurso, mas o que posso fazer agora. Tem um sistema de som bom e alto. Minha experiência geral não é atender às minhas expectativas. Lamento não ter obtido um tamanho maior. Esta é uma TV inteligente incrível, vista clara e som incrível. 4 estrelas apenas porque eu não consegui fazer o Jio Universal Remote trabalhar com ele., Sob 15k Melhor TV Android Smart Tudo é perfeito, como som, qualidade de imagem, conectividade Bluetooth e Wi -Fi. Conectividade, finalmente, uma TV inteligente amigável para pessoas de classe média que está com salário de 30 mil por mês. Qualidade da imagem- ok ok, som- super, aviso- melhor, remoto- simples sobre tudo o que é legal. Nenhum produto é perfeito em todos os segmentos, este também não é uma exceção.</v>
      </c>
    </row>
    <row r="171">
      <c r="A171" s="9" t="s">
        <v>721</v>
      </c>
      <c r="B171" s="29" t="str">
        <f>VLOOKUP(dados!A171, reviews!A:G, 5, FALSE)</f>
        <v>Great to use, serves the purpose,Good Quality,Good,Good one,It's okay,Good original cable,Good quality,V good product</v>
      </c>
      <c r="C171" s="29" t="str">
        <f>VLOOKUP(dados!A171, reviews!A:G, 6, FALSE)</f>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v>
      </c>
      <c r="D171" s="29" t="str">
        <f>IFERROR(__xludf.DUMMYFUNCTION("GOOGLETRANSLATE(B171, ""en"", ""pt-br"")"),"Ótimo de usar, serve ao propósito, boa qualidade, bom, bom, está tudo bem, bom cabo original, boa qualidade, v bom produto")</f>
        <v>Ótimo de usar, serve ao propósito, boa qualidade, bom, bom, está tudo bem, bom cabo original, boa qualidade, v bom produto</v>
      </c>
      <c r="E171" s="29" t="str">
        <f>IFERROR(__xludf.DUMMYFUNCTION("GOOGLETRANSLATE(C171, ""en"", ""pt-br"")"),"A qualidade é boa, a compilação forte, suporta taxas de carregamento rápido. Algumas pessoas podem achar o LED realmente brilhante, especialmente no escuro e não pode ser desligado. A porta em si pode ser um pouco solta, mas pode ser usada com os casos é "&amp;"um pouco espessa. Verifique se o seu smartphone tem fone de ouvido ao lado da porta de carregamento, nesse caso, talvez você não consiga usar os dois juntos., Feliz com o produto , Bom, bom, mais tempo teken, bom vale a pena, boa qualidade, bom produto ob"&amp;"rigado Amazon")</f>
        <v>A qualidade é boa, a compilação forte, suporta taxas de carregamento rápido. Algumas pessoas podem achar o LED realmente brilhante, especialmente no escuro e não pode ser desligado. A porta em si pode ser um pouco solta, mas pode ser usada com os casos é um pouco espessa. Verifique se o seu smartphone tem fone de ouvido ao lado da porta de carregamento, nesse caso, talvez você não consiga usar os dois juntos., Feliz com o produto , Bom, bom, mais tempo teken, bom vale a pena, boa qualidade, bom produto obrigado Amazon</v>
      </c>
    </row>
    <row r="172">
      <c r="A172" s="9" t="s">
        <v>725</v>
      </c>
      <c r="B172" s="29" t="str">
        <f>VLOOKUP(dados!A172, reviews!A:G, 5, FALSE)</f>
        <v>Good device and makes your laptop to utilize maximum wifi speed.,Good Product, worth of buying,Best to recieve 5g or fiber speed,Good,This is really a good Wifi-Adpater and a life saver,Wifi 5 speeds are amazing!,Booster speed,Best Product to Buy</v>
      </c>
      <c r="C172" s="29" t="str">
        <f>VLOOKUP(dados!A172, reviews!A:G, 6, FALSE)</f>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I’m using this dongle with wifi5 and frankly, I did not notice a difference.,I just connect with my iPhone hotspot to pc nd it’s so nice very fast,Hello guys I bought this product from Amazon and it was a very fast delivery as It was easy installation  less than two Minutes  it gives the best signal of 5G and 4G so it won’t be hassle to install it’s the product for guys who don’t have Wi-Fi adapters in the systems. Also it it very Compact Product</v>
      </c>
      <c r="D172" s="29" t="str">
        <f>IFERROR(__xludf.DUMMYFUNCTION("GOOGLETRANSLATE(B172, ""en"", ""pt-br"")"),"Bom dispositivo e faz com que seu laptop utilize a velocidade máxima de wifi., Bom produto, que vale a pena comprar, melhor para receber 5G ou velocidade de fibra, boa, isso é realmente um bom wifi-adpater e um salva-vidas, WiFi 5 velocidades são incrívei"&amp;"s!, Velocidade de reforço, melhor produto para comprar")</f>
        <v>Bom dispositivo e faz com que seu laptop utilize a velocidade máxima de wifi., Bom produto, que vale a pena comprar, melhor para receber 5G ou velocidade de fibra, boa, isso é realmente um bom wifi-adpater e um salva-vidas, WiFi 5 velocidades são incríveis!, Velocidade de reforço, melhor produto para comprar</v>
      </c>
      <c r="E172" s="29" t="str">
        <f>IFERROR(__xludf.DUMMYFUNCTION("GOOGLETRANSLATE(C172, ""en"", ""pt-br"")"),"Bom dispositivo e faz com que seu laptop utilize a velocidade máxima do WiFi. Definitivamente recomendarei este., Bom produto, vale a pena comprar, depois de instalar novas fibras na minha casa, soube que meu reciador Wi -Fi no meu PC não era capaz de rec"&amp;"eber a velocidade 5G. Então eu pedi isso da Amazon. Este é um produto incrível que está funcionando totalmente bem até agora. Apenas o problema é que eles não instruem que você precisa conectar isso na porta USB 3.0 para receber a velocidade 5G. Ele receb"&amp;"erá apenas 4G no USB 2.0 .. Sobre todos os melhores produtos e boa faixa, bom, estou usando este produto nos últimos dois meses. Foi realmente fácil de instalar e fácil de usar. Meu laptop é antigo e não é compatível com a largura de banda de 5 GHz, porta"&amp;"nto, eu tive que procurar um adaptador Wi -Fi e tropecei nisso e não me arrependo de comprá -lo. Está funcionando de acordo com minha expectativa e sou capaz de utilizar a rede 5GHz no meu laptop agora. Um obrigatório para quem tem um problema com a largu"&amp;"ra de banda de 5 GHz. É um salva -vidas., Eu costumava ter wifi6 no meu laptop, agora estou usando esse dongle com wifi5 e, francamente, eu não notei diferença. Eu apenas me conecto com meu hotspot para iPhone ao PC e é tão bom muito rápido, Olá pessoal, "&amp;"comprei este produto da Amazon e foi uma entrega muito rápida, pois foi uma instalação fácil menos de dois minutos, fornece o melhor sinal de 5G e 4G, por isso não será aborrecido instalar o produto para caras que não T tem adaptadores Wi-Fi nos sistemas."&amp;" Também é um produto muito compacto")</f>
        <v>Bom dispositivo e faz com que seu laptop utilize a velocidade máxima do WiFi. Definitivamente recomendarei este., Bom produto, vale a pena comprar, depois de instalar novas fibras na minha casa, soube que meu reciador Wi -Fi no meu PC não era capaz de receber a velocidade 5G. Então eu pedi isso da Amazon. Este é um produto incrível que está funcionando totalmente bem até agora. Apenas o problema é que eles não instruem que você precisa conectar isso na porta USB 3.0 para receber a velocidade 5G. Ele receberá apenas 4G no USB 2.0 .. Sobre todos os melhores produtos e boa faixa, bom, estou usando este produto nos últimos dois meses. Foi realmente fácil de instalar e fácil de usar. Meu laptop é antigo e não é compatível com a largura de banda de 5 GHz, portanto, eu tive que procurar um adaptador Wi -Fi e tropecei nisso e não me arrependo de comprá -lo. Está funcionando de acordo com minha expectativa e sou capaz de utilizar a rede 5GHz no meu laptop agora. Um obrigatório para quem tem um problema com a largura de banda de 5 GHz. É um salva -vidas., Eu costumava ter wifi6 no meu laptop, agora estou usando esse dongle com wifi5 e, francamente, eu não notei diferença. Eu apenas me conecto com meu hotspot para iPhone ao PC e é tão bom muito rápido, Olá pessoal, comprei este produto da Amazon e foi uma entrega muito rápida, pois foi uma instalação fácil menos de dois minutos, fornece o melhor sinal de 5G e 4G, por isso não será aborrecido instalar o produto para caras que não T tem adaptadores Wi-Fi nos sistemas. Também é um produto muito compacto</v>
      </c>
    </row>
    <row r="173">
      <c r="A173" s="9" t="s">
        <v>729</v>
      </c>
      <c r="B173" s="29" t="str">
        <f>VLOOKUP(dados!A173, reviews!A:G, 5, FALSE)</f>
        <v>Wonderful TV and Awful installation service from amazon,Acer Television Review,It's a good product for that price.,Good for the price,Almost a complete package,Nice Product,Good product,Super designed</v>
      </c>
      <c r="C173" s="29" t="str">
        <f>VLOOKUP(dados!A173, reviews!A:G, 6, FALSE)</f>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v>
      </c>
      <c r="D173" s="29" t="str">
        <f>IFERROR(__xludf.DUMMYFUNCTION("GOOGLETRANSLATE(B173, ""en"", ""pt-br"")"),"TV maravilhoso e serviço de instalação horrível da Amazon, Acer Television Review, é um bom produto para esse preço., Bom para o preço, quase um pacote completo, bom produto, bom produto, super projetado")</f>
        <v>TV maravilhoso e serviço de instalação horrível da Amazon, Acer Television Review, é um bom produto para esse preço., Bom para o preço, quase um pacote completo, bom produto, bom produto, super projetado</v>
      </c>
      <c r="E173" s="29" t="str">
        <f>IFERROR(__xludf.DUMMYFUNCTION("GOOGLETRANSLATE(C173, ""en"", ""pt-br"")"),"Sobre a TV-Maravilhosa ------------------------------------------- -------------------- Provavelmente a melhor TV nessa faixa de preço (INR13000) .GOOD-Interface do Google, carregado com recursos, consumo leve de energia de 55 watts, design estável-Sound "&amp;"E a qualidade da imagem é muito boa, mas se você a comparar com marcas premium, obviamente não é tão bom. Console de jogos, cabo de prato antigo e antena de TV direta como bem construído em Chromecast para lançar qualquer aplicativo compatível diretamente"&amp;" do telefone para a TV na mesma rede WiFi para conectar o telefone -1. Via recurso de elenco em aplicativos móveis - nenhuma senha necessária só precisa estar na mesma rede wifi2. Via Chromecast App - Projeto apenas mídia selecionada (fotos, vídeos) ou se"&amp;"nões de telefone inteiras para conectar o PC/laptop -1. Opção Windows Cast-projete toda a tela do laptop na TV usando a opção Windows Cast (precisa ser conectado na mesma rede WiFi. --------------------------------------- 1. O técnico trouxe um gancho de "&amp;"suspensão barato que tinha MRP INR116 e pediu INR499 por isso sem nenhum recibo. Ele continuou dizendo que não estava à venda e a empresa havia enviado isso especialmente. No entanto, ele claramente havia mencionado MRP2. Fui ao mercado e comprei um gabin"&amp;"ete muito melhor Por apenas INR200 e para a instalação disso também, o técnico foi realmente inflexível para perfurar os dois orifícios necessários no topo. Ele apenas perfurou um na parte superior e outro na parte inferior e manteve todos os outros paraf"&amp;"usos sobressalentes (que eu havia comprado) com ele. Após cerca de meia hora de discussões, ele finalmente perfurou os outros orifícios necessários. E por tudo isso, ele continuou me xingando que eu perdi seu tempo. Não havia assistência da pessoa que rep"&amp;"resentava a agência de serviços também. Este processo inteiro levou Duas horas para concluir isso também com muitos argumentos. Essa foi a pior experiência de instalação da minha vida até agora. É apenas uma farsa. Em vez disso, chame o suporte do Acer. E"&amp;"les farão o trabalho muito melhor., Depois de usá -lo por 2 meses, aqui estão os prós e os contras: Prós: 1. Ótima qualidade de imagem. É incrível. Os negros são muito bons e são ajustáveis. O som com 30dB é muito bom4. Parece ótimo com besel5 fino. O con"&amp;"trole remoto vem com botões OTT favoritos. Upscaling de conteúdo é muito bom.CONS: 1. O controle remoto poderia ter sido melhor. Não posso usar o DTH Remote para ativar a televisão e definir a caixa superior. A operação remota é um pouco complexa. Tecnolo"&amp;"gia de movimento não é ótima. Há um borrão perceptível ao assistir a Moving Ballson Ott, mas diminui quando você muda para o DTH. No geral, é uma boa compra a esse preço. Acho que estou recebendo uma qualidade e som de imagem bastante melhor. Estou satisf"&amp;"eito com o produto., O produto tem uma boa qualidade de imagem. Bom produto a esse preço com som de 25W. Aplicativos funcionando sem problemas. 3 meses mais velho e sem problemas ainda. Está funcionando sem problemas., Você obtém recursos decentes pelo pr"&amp;"eço que paga. A resolução da tela pode ser. Volte como você pode encontrar pixalação. No geral, é bom, fico impressionado com a qualidade da imagem desta TV 720p (pronta para HD). É realmente um painel incrível. Achei adequado para uma distância de visual"&amp;"ização entre 6 e 10 pés. Qualquer um mais próximo pode não parecer muito nítido e mais longe, parecerá um tamanho muito pequeno. Os alto -falantes também são muito bons para o preço e podem ficar muito altos sem distorções. No entanto, como o alto -falant"&amp;"e está disparando para baixo, a experiência varia de acordo com se a TV está montada na parede ou mantida em um estande. O controle remoto é bom, a pesquisa de voz funciona bem para mim. A TV Start Up leva muito tempo na minha opinião, mas não a comparei "&amp;"com nenhuma outra TV de 32 polegadas e, portanto, não sei onde está entre os colegas. O único aspecto negativo que enfrentei é a experiência de usar meus fones de ouvido Bluetooth. Em primeiro lugar, a conexão às vezes não acontece automaticamente após um"&amp;"a reinicialização - o que significa que eu tenho que remover e redescobrir o dispositivo através do menu que não é simples. Em segundo lugar, o sinal em si parece ser muito fraco e, mesmo a uma distância de 8 pés na frente da TV, o sinal quebra, mesmo se "&amp;"você mover a cabeça em 2-3 polegadas. No entanto, ainda estou super feliz com esta TV. Eu o recebi por 8k durante a oferta de lançamento e vale totalmente a pena e é recomendado do meu lado., Nesta faixa de preço (₹ 11499/-), é um produto de boa qualidade"&amp;" neste mercado ... o acerto só deve funcionar com a qualidade do som melhoria, caso contrário, a qualidade da picture é realmente impressionante, conectividade Wi -Fi boa, fácil de instalar, o design da tela sem corpo é premium e também o suporte ao Googl"&amp;"e Voice é bom (às vezes atrasado). Não há grandes questões encontradas nesta TV. Apenas vá em frente., Vellu por dinheiro. Bom produto, dinheiro muito bom de produtos")</f>
        <v>Sobre a TV-Maravilhosa ------------------------------------------- -------------------- Provavelmente a melhor TV nessa faixa de preço (INR13000) .GOOD-Interface do Google, carregado com recursos, consumo leve de energia de 55 watts, design estável-Sound E a qualidade da imagem é muito boa, mas se você a comparar com marcas premium, obviamente não é tão bom. Console de jogos, cabo de prato antigo e antena de TV direta como bem construído em Chromecast para lançar qualquer aplicativo compatível diretamente do telefone para a TV na mesma rede WiFi para conectar o telefone -1. Via recurso de elenco em aplicativos móveis - nenhuma senha necessária só precisa estar na mesma rede wifi2. Via Chromecast App - Projeto apenas mídia selecionada (fotos, vídeos) ou senões de telefone inteiras para conectar o PC/laptop -1. Opção Windows Cast-projete toda a tela do laptop na TV usando a opção Windows Cast (precisa ser conectado na mesma rede WiFi. --------------------------------------- 1. O técnico trouxe um gancho de suspensão barato que tinha MRP INR116 e pediu INR499 por isso sem nenhum recibo. Ele continuou dizendo que não estava à venda e a empresa havia enviado isso especialmente. No entanto, ele claramente havia mencionado MRP2. Fui ao mercado e comprei um gabinete muito melhor Por apenas INR200 e para a instalação disso também, o técnico foi realmente inflexível para perfurar os dois orifícios necessários no topo. Ele apenas perfurou um na parte superior e outro na parte inferior e manteve todos os outros parafusos sobressalentes (que eu havia comprado) com ele. Após cerca de meia hora de discussões, ele finalmente perfurou os outros orifícios necessários. E por tudo isso, ele continuou me xingando que eu perdi seu tempo. Não havia assistência da pessoa que representava a agência de serviços também. Este processo inteiro levou Duas horas para concluir isso também com muitos argumentos. Essa foi a pior experiência de instalação da minha vida até agora. É apenas uma farsa. Em vez disso, chame o suporte do Acer. Eles farão o trabalho muito melhor., Depois de usá -lo por 2 meses, aqui estão os prós e os contras: Prós: 1. Ótima qualidade de imagem. É incrível. Os negros são muito bons e são ajustáveis. O som com 30dB é muito bom4. Parece ótimo com besel5 fino. O controle remoto vem com botões OTT favoritos. Upscaling de conteúdo é muito bom.CONS: 1. O controle remoto poderia ter sido melhor. Não posso usar o DTH Remote para ativar a televisão e definir a caixa superior. A operação remota é um pouco complexa. Tecnologia de movimento não é ótima. Há um borrão perceptível ao assistir a Moving Ballson Ott, mas diminui quando você muda para o DTH. No geral, é uma boa compra a esse preço. Acho que estou recebendo uma qualidade e som de imagem bastante melhor. Estou satisfeito com o produto., O produto tem uma boa qualidade de imagem. Bom produto a esse preço com som de 25W. Aplicativos funcionando sem problemas. 3 meses mais velho e sem problemas ainda. Está funcionando sem problemas., Você obtém recursos decentes pelo preço que paga. A resolução da tela pode ser. Volte como você pode encontrar pixalação. No geral, é bom, fico impressionado com a qualidade da imagem desta TV 720p (pronta para HD). É realmente um painel incrível. Achei adequado para uma distância de visualização entre 6 e 10 pés. Qualquer um mais próximo pode não parecer muito nítido e mais longe, parecerá um tamanho muito pequeno. Os alto -falantes também são muito bons para o preço e podem ficar muito altos sem distorções. No entanto, como o alto -falante está disparando para baixo, a experiência varia de acordo com se a TV está montada na parede ou mantida em um estande. O controle remoto é bom, a pesquisa de voz funciona bem para mim. A TV Start Up leva muito tempo na minha opinião, mas não a comparei com nenhuma outra TV de 32 polegadas e, portanto, não sei onde está entre os colegas. O único aspecto negativo que enfrentei é a experiência de usar meus fones de ouvido Bluetooth. Em primeiro lugar, a conexão às vezes não acontece automaticamente após uma reinicialização - o que significa que eu tenho que remover e redescobrir o dispositivo através do menu que não é simples. Em segundo lugar, o sinal em si parece ser muito fraco e, mesmo a uma distância de 8 pés na frente da TV, o sinal quebra, mesmo se você mover a cabeça em 2-3 polegadas. No entanto, ainda estou super feliz com esta TV. Eu o recebi por 8k durante a oferta de lançamento e vale totalmente a pena e é recomendado do meu lado., Nesta faixa de preço (₹ 11499/-), é um produto de boa qualidade neste mercado ... o acerto só deve funcionar com a qualidade do som melhoria, caso contrário, a qualidade da picture é realmente impressionante, conectividade Wi -Fi boa, fácil de instalar, o design da tela sem corpo é premium e também o suporte ao Google Voice é bom (às vezes atrasado). Não há grandes questões encontradas nesta TV. Apenas vá em frente., Vellu por dinheiro. Bom produto, dinheiro muito bom de produtos</v>
      </c>
    </row>
    <row r="174">
      <c r="A174" s="9" t="s">
        <v>732</v>
      </c>
      <c r="B174" s="29" t="str">
        <f>VLOOKUP(dados!A174, reviews!A:G, 5, FALSE)</f>
        <v>GOOD,Thank you  Amazon very good charging cable,Good,Very good product,good quality,Very Good Product,This is fast charging USB!,Simply perfect at the price of below 100</v>
      </c>
      <c r="C174" s="29" t="str">
        <f>VLOOKUP(dados!A174, reviews!A:G, 6, FALSE)</f>
        <v>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v>
      </c>
      <c r="D174" s="29" t="str">
        <f>IFERROR(__xludf.DUMMYFUNCTION("GOOGLETRANSLATE(B174, ""en"", ""pt-br"")"),"Bom, obrigado Amazon Cable de carregamento muito bom, bom, muito bom produto, boa qualidade, produto muito bom, este é um USB de carregamento rápido!, Simplesmente perfeito pelo preço abaixo de 100")</f>
        <v>Bom, obrigado Amazon Cable de carregamento muito bom, bom, muito bom produto, boa qualidade, produto muito bom, este é um USB de carregamento rápido!, Simplesmente perfeito pelo preço abaixo de 100</v>
      </c>
      <c r="E174" s="29" t="str">
        <f>IFERROR(__xludf.DUMMYFUNCTION("GOOGLETRANSLATE(C174, ""en"", ""pt-br"")"),"Está tudo bem, mas é volumoso e difícil, deve ser mais suave e mais fino ....., obrigado Amazon Cabo de carregamento muito bom 👍, bom, bom, a qualidade é boa. Vale 150-200 ₹. curto, mas durável., produto muito bom. Satisfeito .., este é um pino de carreg"&amp;"amento rápido C USB! Você pode comprá -lo., Bom produto a preço abaixo de 100")</f>
        <v>Está tudo bem, mas é volumoso e difícil, deve ser mais suave e mais fino ....., obrigado Amazon Cabo de carregamento muito bom 👍, bom, bom, a qualidade é boa. Vale 150-200 ₹. curto, mas durável., produto muito bom. Satisfeito .., este é um pino de carregamento rápido C USB! Você pode comprá -lo., Bom produto a preço abaixo de 100</v>
      </c>
    </row>
    <row r="175">
      <c r="A175" s="9" t="s">
        <v>736</v>
      </c>
      <c r="B175" s="29" t="str">
        <f>VLOOKUP(dados!A175, reviews!A:G, 5, FALSE)</f>
        <v>Worth the money spent,Nice product also the sterdiness good as expected.,Not the correct charger for Samsung S9,Nice product,Superb,Doubts on fast charging,One time purchase,Good Product</v>
      </c>
      <c r="C175" s="29" t="str">
        <f>VLOOKUP(dados!A175, reviews!A:G, 6, FALSE)</f>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v>
      </c>
      <c r="D175" s="29" t="str">
        <f>IFERROR(__xludf.DUMMYFUNCTION("GOOGLETRANSLATE(B175, ""en"", ""pt-br"")"),"Vale o dinheiro gasto, bom produto e também a esteritura boa como o esperado., Não é o carregador correto para a Samsung S9, bom produto, excelente, duvida de carregamento rápido, compra única, bom produto")</f>
        <v>Vale o dinheiro gasto, bom produto e também a esteritura boa como o esperado., Não é o carregador correto para a Samsung S9, bom produto, excelente, duvida de carregamento rápido, compra única, bom produto</v>
      </c>
      <c r="E175" s="29" t="str">
        <f>IFERROR(__xludf.DUMMYFUNCTION("GOOGLETRANSLATE(C175, ""en"", ""pt-br"")"),"O cabo é longo e durável. Vale a pena a compra., Recomendo este produto quem precisa de um carregamento robusto e rápido também lembre -se de que seu carregador precisa suportar enquanto usa esse cabo, depois de ver os comentários que pedi para este produ"&amp;"to para o meu Samsung S9 Mobile. Embora o cabo seja muito constante e bom, falha no objetivo principal. Quando eu mantenho meu celular por carregar, o alfinete é muito apertado e temo que, ao colocar e remover meu chip de carregamento móvel, que se quebre"&amp;", pois é muito apertado. Estou procurando outra alternativa. Então, se você estiver procurando um carregador para o Samsung Mobile S9, por favor, para não comprá -lo., Bom, excelente, eu tenho um telefone celular OnePlus 6 e tenho um carregador de traço e"&amp;" um cabo OnePlus, que se torna uma combinação de carregamento rápido. No entanto, quando conectei este cabo com o carregador de traço. Não estava carregando rapidamente meu telefone. Por isso, não posso dizer se não é um cabo de carregamento rápido, mas, "&amp;"como um cabo de carregamento comum, isso está funcionando perfeitamente bem, este é um dos melhores cabos para carregamento rápido. Eu tenho 3 unidades de cabo do tipo C 2 metros. Eu não acho que isso receberá danos em breve. A qualidade é muito boa e car"&amp;"regando S22 Ultra, Galaxy Note 8 etc sem nenhum problema. Graças à China, produto padrão. Vale o dinheiro.....")</f>
        <v>O cabo é longo e durável. Vale a pena a compra., Recomendo este produto quem precisa de um carregamento robusto e rápido também lembre -se de que seu carregador precisa suportar enquanto usa esse cabo, depois de ver os comentários que pedi para este produto para o meu Samsung S9 Mobile. Embora o cabo seja muito constante e bom, falha no objetivo principal. Quando eu mantenho meu celular por carregar, o alfinete é muito apertado e temo que, ao colocar e remover meu chip de carregamento móvel, que se quebre, pois é muito apertado. Estou procurando outra alternativa. Então, se você estiver procurando um carregador para o Samsung Mobile S9, por favor, para não comprá -lo., Bom, excelente, eu tenho um telefone celular OnePlus 6 e tenho um carregador de traço e um cabo OnePlus, que se torna uma combinação de carregamento rápido. No entanto, quando conectei este cabo com o carregador de traço. Não estava carregando rapidamente meu telefone. Por isso, não posso dizer se não é um cabo de carregamento rápido, mas, como um cabo de carregamento comum, isso está funcionando perfeitamente bem, este é um dos melhores cabos para carregamento rápido. Eu tenho 3 unidades de cabo do tipo C 2 metros. Eu não acho que isso receberá danos em breve. A qualidade é muito boa e carregando S22 Ultra, Galaxy Note 8 etc sem nenhum problema. Graças à China, produto padrão. Vale o dinheiro.....</v>
      </c>
    </row>
    <row r="176">
      <c r="A176" s="9" t="s">
        <v>740</v>
      </c>
      <c r="B176" s="29" t="str">
        <f>VLOOKUP(dados!A176, reviews!A:G, 5, FALSE)</f>
        <v>Good,Superb quality,Good products  nice one,Working well with iphone11.,I always rely on this companys products , so very good. Thank you so much</v>
      </c>
      <c r="C176" s="29" t="str">
        <f>VLOOKUP(dados!A176, reviews!A:G, 6, FALSE)</f>
        <v>Product is good in quality. Working good with my i phone 7.,Good quality and really fast charging and packing is also like original one worth product,Good product and good quality,Working well with iphone11.,</v>
      </c>
      <c r="D176" s="29" t="str">
        <f>IFERROR(__xludf.DUMMYFUNCTION("GOOGLETRANSLATE(B176, ""en"", ""pt-br"")"),"Boa, excelente qualidade, bons produtos bons, trabalhando bem com o iPhone11., Eu sempre confio nesses produtos da empresa, muito bem. Muito obrigado")</f>
        <v>Boa, excelente qualidade, bons produtos bons, trabalhando bem com o iPhone11., Eu sempre confio nesses produtos da empresa, muito bem. Muito obrigado</v>
      </c>
      <c r="E176" s="29" t="str">
        <f>IFERROR(__xludf.DUMMYFUNCTION("GOOGLETRANSLATE(C176, ""en"", ""pt-br"")"),"O produto é bom em qualidade. Trabalhando bem com meu telefone I 7., boa qualidade e carregamento e embalagem muito rápidos também são como o produto original One Worth, bom produto e boa qualidade, trabalhando bem com o iPhone11.,")</f>
        <v>O produto é bom em qualidade. Trabalhando bem com meu telefone I 7., boa qualidade e carregamento e embalagem muito rápidos também são como o produto original One Worth, bom produto e boa qualidade, trabalhando bem com o iPhone11.,</v>
      </c>
    </row>
    <row r="177">
      <c r="A177" s="9" t="s">
        <v>744</v>
      </c>
      <c r="B177" s="29" t="str">
        <f>VLOOKUP(dados!A177, reviews!A:G, 5, FALSE)</f>
        <v>Good,Very nice,Best quality,Not bad,Best WiFi module,good,Working fine,Good Product</v>
      </c>
      <c r="C177" s="29" t="str">
        <f>VLOOKUP(dados!A177, reviews!A:G, 6, FALSE)</f>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drivers.👍👍👍👍👍👍👍👍👍👍👍👍,good to work,Working fine till date,Good Product</v>
      </c>
      <c r="D177" s="29" t="str">
        <f>IFERROR(__xludf.DUMMYFUNCTION("GOOGLETRANSLATE(B177, ""en"", ""pt-br"")"),"Bom, muito bom, melhor qualidade, nada ruim, melhor módulo de wifi, bom, funcionando bem, bom produto")</f>
        <v>Bom, muito bom, melhor qualidade, nada ruim, melhor módulo de wifi, bom, funcionando bem, bom produto</v>
      </c>
      <c r="E177" s="29" t="str">
        <f>IFERROR(__xludf.DUMMYFUNCTION("GOOGLETRANSLATE(C177, ""en"", ""pt-br"")"),"Bom, seu trabalho é muito bom com o PC. Fácil de instalar. Conectado muito bem. Plug and play.link para driver: https: //drive.google.com/drive/folders/1ie6u725zeitcpn5r3zdhbkp70nircefv? Mas não podemos usar continua Ly .... quebra de repente, eu uso este"&amp;" módulo Wi -Fi há mais de alguns meses e funciona como um charme. É fácil de usar e se conecta rápido ao computador e não precisa instalar os drivers.👍👍👍👍👍👍👍👍👍👍👍👍, bom para trabalhar, funcionando bem até a data, bom produto")</f>
        <v>Bom, seu trabalho é muito bom com o PC. Fácil de instalar. Conectado muito bem. Plug and play.link para driver: https: //drive.google.com/drive/folders/1ie6u725zeitcpn5r3zdhbkp70nircefv? Mas não podemos usar continua Ly .... quebra de repente, eu uso este módulo Wi -Fi há mais de alguns meses e funciona como um charme. É fácil de usar e se conecta rápido ao computador e não precisa instalar os drivers.👍👍👍👍👍👍👍👍👍👍👍👍, bom para trabalhar, funcionando bem até a data, bom produto</v>
      </c>
    </row>
    <row r="178">
      <c r="A178" s="9" t="s">
        <v>748</v>
      </c>
      <c r="B178" s="29" t="str">
        <f>VLOOKUP(dados!A178, reviews!A:G, 5, FALSE)</f>
        <v>Worked on iPhone 7 and didn’t work on XR,Good one,Dull Physical Looks,Just Buy it,Go for it,About the product,Get charging cable at the price,Working well.</v>
      </c>
      <c r="C178" s="29" t="str">
        <f>VLOOKUP(dados!A178, reviews!A:G, 6, FALSE)</f>
        <v>Worked on iPhone 7 and didn’t work on iPhone XR,https://m.media-amazon.com/images/W/WEBP_402378-T1/images/I/71qFFAlV9ZL._SY88.jpg,Look-wise,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D178" s="29" t="str">
        <f>IFERROR(__xludf.DUMMYFUNCTION("GOOGLETRANSLATE(B178, ""en"", ""pt-br"")"),"Trabalhou no iPhone 7 e não trabalhou no XR, bom, looks físicos sem graça, basta comprá -lo, seguir em frente, sobre o produto, obter o cabo de carregamento pelo preço, funcionando bem.")</f>
        <v>Trabalhou no iPhone 7 e não trabalhou no XR, bom, looks físicos sem graça, basta comprá -lo, seguir em frente, sobre o produto, obter o cabo de carregamento pelo preço, funcionando bem.</v>
      </c>
      <c r="E178" s="29" t="str">
        <f>IFERROR(__xludf.DUMMYFUNCTION("GOOGLETRANSLATE(C178, ""en"", ""pt-br"")"),"Trabalhei no iPhone 7 e não trabalhou no iPhone XR, https: //m.media-amazon.com/images/w/webp_402378-t1/images/i/71qffalv9zl._sy88.jpg.look-wise, eu não foi T gosto disso. Ainda assim, eu o uso para o meu trabalho., O produto é muito bom e está carregando"&amp;" rapidamente. Parece o último longo., A robustez dependerá da maneira de seu uso. Mas sua velocidade de carregamento é ótima. Produto muito bom para o grupo de renda média., É ótimo para carregar dispositivos com vários tipos de portas. Mas funciona melho"&amp;"r ao carregar um dispositivo de cada vez., Bom item.")</f>
        <v>Trabalhei no iPhone 7 e não trabalhou no iPhone XR, https: //m.media-amazon.com/images/w/webp_402378-t1/images/i/71qffalv9zl._sy88.jpg.look-wise, eu não foi T gosto disso. Ainda assim, eu o uso para o meu trabalho., O produto é muito bom e está carregando rapidamente. Parece o último longo., A robustez dependerá da maneira de seu uso. Mas sua velocidade de carregamento é ótima. Produto muito bom para o grupo de renda média., É ótimo para carregar dispositivos com vários tipos de portas. Mas funciona melhor ao carregar um dispositivo de cada vez., Bom item.</v>
      </c>
    </row>
    <row r="179">
      <c r="A179" s="9" t="s">
        <v>752</v>
      </c>
      <c r="B179" s="29" t="str">
        <f>VLOOKUP(dados!A179, reviews!A:G, 5, FALSE)</f>
        <v>Changing speed,Make it better,Superb Build Quality,Highly satisfied,Best Charging Cable Ever,Good value for money option,Cable quality,Nice</v>
      </c>
      <c r="C179" s="29" t="str">
        <f>VLOOKUP(dados!A179, reviews!A:G, 6, FALSE)</f>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v>
      </c>
      <c r="D179" s="29" t="str">
        <f>IFERROR(__xludf.DUMMYFUNCTION("GOOGLETRANSLATE(B179, ""en"", ""pt-br"")"),"Alterar velocidade, torná -lo melhor, excelente qualidade de construção, altamente satisfeita, melhor cabo de carregamento de todos os tempos, boa opção de valor para dinheiro, qualidade do cabo, Nice")</f>
        <v>Alterar velocidade, torná -lo melhor, excelente qualidade de construção, altamente satisfeita, melhor cabo de carregamento de todos os tempos, boa opção de valor para dinheiro, qualidade do cabo, Nice</v>
      </c>
      <c r="E179" s="29" t="str">
        <f>IFERROR(__xludf.DUMMYFUNCTION("GOOGLETRANSLATE(C179, ""en"", ""pt-br"")"),"O produto foi bom, seu carregamento incrível, não posso dizer nada sobre durabilidade e robustez como a parte que se conecta ao adaptador parece estar em um estado altamente vulnerável. Com um monte de mão, pode ser dobrado, pois meu último acorde de carr"&amp;"egamento era, então tive que comprar este. Algo deve ser feito sobre isso., Muito bem vale a pena o dinheiro, tive que substituir o cabo que recebi pelo meu laptop. Optei Zoul e estou muito satisfeito com o cabo. É durável e funciona perfeitamente., Este "&amp;"é um produto incrível da ZOUL. Comprei muitos outros cabos antes de outras marcas, mas eles não funcionaram tão bem. Mas isso, devo dizer que é o melhor de tudo em termos de poder de cobrança, durabilidade e robustez. Muita recomendação !!, eu uso este ca"&amp;"bo há mais de 6 meses com meu Galaxy S22, ele está funcionando perfeitamente. O carregamento rápido funciona conforme o esperado e o comprimento de 2m torna conveniente usá -lo na cama. Recomendaria para quem procura um cabo longo. De fato, meu irmão comp"&amp;"rou um depois de me ver comprar., O cabo tem um bom comprimento, cobra muito rápido,")</f>
        <v>O produto foi bom, seu carregamento incrível, não posso dizer nada sobre durabilidade e robustez como a parte que se conecta ao adaptador parece estar em um estado altamente vulnerável. Com um monte de mão, pode ser dobrado, pois meu último acorde de carregamento era, então tive que comprar este. Algo deve ser feito sobre isso., Muito bem vale a pena o dinheiro, tive que substituir o cabo que recebi pelo meu laptop. Optei Zoul e estou muito satisfeito com o cabo. É durável e funciona perfeitamente., Este é um produto incrível da ZOUL. Comprei muitos outros cabos antes de outras marcas, mas eles não funcionaram tão bem. Mas isso, devo dizer que é o melhor de tudo em termos de poder de cobrança, durabilidade e robustez. Muita recomendação !!, eu uso este cabo há mais de 6 meses com meu Galaxy S22, ele está funcionando perfeitamente. O carregamento rápido funciona conforme o esperado e o comprimento de 2m torna conveniente usá -lo na cama. Recomendaria para quem procura um cabo longo. De fato, meu irmão comprou um depois de me ver comprar., O cabo tem um bom comprimento, cobra muito rápido,</v>
      </c>
    </row>
    <row r="180">
      <c r="A180" s="9" t="s">
        <v>756</v>
      </c>
      <c r="B180" s="29" t="str">
        <f>VLOOKUP(dados!A180, reviews!A:G, 5, FALSE)</f>
        <v>Worked on iPhone 7 and didn’t work on XR,Good one,Dull Physical Looks,Just Buy it,Go for it,About the product,Get charging cable at the price,Working well.</v>
      </c>
      <c r="C180" s="29" t="str">
        <f>VLOOKUP(dados!A180, reviews!A:G, 6, FALSE)</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D180" s="29" t="str">
        <f>IFERROR(__xludf.DUMMYFUNCTION("GOOGLETRANSLATE(B180, ""en"", ""pt-br"")"),"Trabalhou no iPhone 7 e não trabalhou no XR, bom, looks físicos sem graça, basta comprá -lo, seguir em frente, sobre o produto, obter o cabo de carregamento pelo preço, funcionando bem.")</f>
        <v>Trabalhou no iPhone 7 e não trabalhou no XR, bom, looks físicos sem graça, basta comprá -lo, seguir em frente, sobre o produto, obter o cabo de carregamento pelo preço, funcionando bem.</v>
      </c>
      <c r="E180" s="29" t="str">
        <f>IFERROR(__xludf.DUMMYFUNCTION("GOOGLETRANSLATE(C180, ""en"", ""pt-br"")"),"Trabalhei no iPhone 7 e não trabalhou no iPhone XR, https: //m.media-amazon.com/images/i/71qffalv9zl._sy88.jpg.look-wise, eu não gostei. Ainda assim, eu o uso para o meu trabalho., O produto é muito bom e está carregando rapidamente. Parece o último longo"&amp;"., A robustez dependerá da maneira de seu uso. Mas sua velocidade de carregamento é ótima. Produto muito bom para o grupo de renda média., É ótimo para carregar dispositivos com vários tipos de portas. Mas funciona melhor ao carregar um dispositivo de cad"&amp;"a vez., Bom item.")</f>
        <v>Trabalhei no iPhone 7 e não trabalhou no iPhone XR, https: //m.media-amazon.com/images/i/71qffalv9zl._sy88.jpg.look-wise, eu não gostei. Ainda assim, eu o uso para o meu trabalho., O produto é muito bom e está carregando rapidamente. Parece o último longo., A robustez dependerá da maneira de seu uso. Mas sua velocidade de carregamento é ótima. Produto muito bom para o grupo de renda média., É ótimo para carregar dispositivos com vários tipos de portas. Mas funciona melhor ao carregar um dispositivo de cada vez., Bom item.</v>
      </c>
    </row>
    <row r="181">
      <c r="A181" s="9" t="s">
        <v>760</v>
      </c>
      <c r="B181" s="29" t="str">
        <f>VLOOKUP(dados!A181, reviews!A:G, 5, FALSE)</f>
        <v>Compatibility,Good one but voice not working propoer,Good but needs improvement in quality,Not strong,Works good,Waste of money,Works well,Don't buy... This remote</v>
      </c>
      <c r="C181" s="29" t="str">
        <f>VLOOKUP(dados!A181, reviews!A:G, 6, FALSE)</f>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v>
      </c>
      <c r="D181" s="29" t="str">
        <f>IFERROR(__xludf.DUMMYFUNCTION("GOOGLETRANSLATE(B181, ""en"", ""pt-br"")"),"Compatibilidade, boa, mas a voz não está funcionando, boa, mas precisa de melhorias na qualidade, não forte, funciona bem, desperdício de dinheiro, funciona bem, não compre ... este controle remoto")</f>
        <v>Compatibilidade, boa, mas a voz não está funcionando, boa, mas precisa de melhorias na qualidade, não forte, funciona bem, desperdício de dinheiro, funciona bem, não compre ... este controle remoto</v>
      </c>
      <c r="E181" s="29" t="str">
        <f>IFERROR(__xludf.DUMMYFUNCTION("GOOGLETRANSLATE(C181, ""en"", ""pt-br"")"),"Muito obrigado remoto é compatível não sobre durabilidade. Atualmente, está funcionando, bom. Eu estava duvidoso sobre a compra analisando todas as análises, mas o produto é ótimo. Em primeiro lugar, você precisa entender como emparelhar o controle remoto"&amp;" corretamente, pesquisar vídeos do YouTube e eles ajudarão você muito. Existem análises especificando o controle remoto não se conectará, observe 'você precisa desacelerar seu remoto Bluetooth quebrado primeiro!' Eu usei MI App remoto para desparachar o c"&amp;"ontrole remoto e depois emparelhou o novo controle remoto., Comprei esse controle remoto em 20 de outubro, mas não estava funcionando corretamente em dezembro com em 2 meses o produto falhou, então eu recomendo, mas este produto não desperdice o seu Dinhe"&amp;"iro, funciona bem com minha TV Mi. Assim que eu ligei a TV, ela reconheceu o controle remoto e emparelhado. Sem queixas. Muito cedo para comentar a duração da bateria.")</f>
        <v>Muito obrigado remoto é compatível não sobre durabilidade. Atualmente, está funcionando, bom. Eu estava duvidoso sobre a compra analisando todas as análises, mas o produto é ótimo. Em primeiro lugar, você precisa entender como emparelhar o controle remoto corretamente, pesquisar vídeos do YouTube e eles ajudarão você muito. Existem análises especificando o controle remoto não se conectará, observe 'você precisa desacelerar seu remoto Bluetooth quebrado primeiro!' Eu usei MI App remoto para desparachar o controle remoto e depois emparelhou o novo controle remoto., Comprei esse controle remoto em 20 de outubro, mas não estava funcionando corretamente em dezembro com em 2 meses o produto falhou, então eu recomendo, mas este produto não desperdice o seu Dinheiro, funciona bem com minha TV Mi. Assim que eu ligei a TV, ela reconheceu o controle remoto e emparelhado. Sem queixas. Muito cedo para comentar a duração da bateria.</v>
      </c>
    </row>
    <row r="182">
      <c r="A182" s="9" t="s">
        <v>764</v>
      </c>
      <c r="B182" s="29" t="str">
        <f>VLOOKUP(dados!A182, reviews!A:G, 5, FALSE)</f>
        <v>Poor plastic Material but it works.,Very cheap material but it works...,Good one,Working on par with original,Working well , quality is okay,Value for money,Not for good,It looks like original</v>
      </c>
      <c r="C182" s="29" t="str">
        <f>VLOOKUP(dados!A182, reviews!A:G, 6, FALSE)</f>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v>
      </c>
      <c r="D182" s="29" t="str">
        <f>IFERROR(__xludf.DUMMYFUNCTION("GOOGLETRANSLATE(B182, ""en"", ""pt-br"")"),"Material plástico ruim, mas funciona., Material muito barato, mas funciona ..., bom, trabalhando a par com o original, funcionando bem, a qualidade está bem, valor ao dinheiro, não para sempre, parece original")</f>
        <v>Material plástico ruim, mas funciona., Material muito barato, mas funciona ..., bom, trabalhando a par com o original, funcionando bem, a qualidade está bem, valor ao dinheiro, não para sempre, parece original</v>
      </c>
      <c r="E182" s="29" t="str">
        <f>IFERROR(__xludf.DUMMYFUNCTION("GOOGLETRANSLATE(C182, ""en"", ""pt-br"")"),"Funciona bem com minha Sony Bravia TV. ,,, A qualidade do controle teria sido melhor, além disso, sem problemas, funcionando bem, a qualidade do Buil está bem, é como original. Está funcionando muito bem qualidade e a Amazon nunca me decepciona.")</f>
        <v>Funciona bem com minha Sony Bravia TV. ,,, A qualidade do controle teria sido melhor, além disso, sem problemas, funcionando bem, a qualidade do Buil está bem, é como original. Está funcionando muito bem qualidade e a Amazon nunca me decepciona.</v>
      </c>
    </row>
    <row r="183">
      <c r="A183" s="9" t="s">
        <v>768</v>
      </c>
      <c r="B183" s="29" t="str">
        <f>VLOOKUP(dados!A183, reviews!A:G, 5, FALSE)</f>
        <v>Good quality product and long lasting.,Ok,Really fast.,Yes good,Cable speed,Goid,Working fine,Just worth it</v>
      </c>
      <c r="C183" s="29" t="str">
        <f>VLOOKUP(dados!A183, reviews!A:G, 6, FALSE)</f>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v>
      </c>
      <c r="D183" s="29" t="str">
        <f>IFERROR(__xludf.DUMMYFUNCTION("GOOGLETRANSLATE(B183, ""en"", ""pt-br"")"),"Produto de boa qualidade e duradouro., OK, muito rápido., Sim, boa, velocidade do cabo, Goid, funcionando bem, apenas vale a pena")</f>
        <v>Produto de boa qualidade e duradouro., OK, muito rápido., Sim, boa, velocidade do cabo, Goid, funcionando bem, apenas vale a pena</v>
      </c>
      <c r="E183" s="29" t="str">
        <f>IFERROR(__xludf.DUMMYFUNCTION("GOOGLETRANSLATE(C183, ""en"", ""pt-br"")"),"Obrigado Amazon, o comprimento é muito pequeno, ok, então antes de comprá -lo, com meu cabo antigo, pensei que a velocidade era padrão com um HDD com cerca de 6 anos de idade. Mas uma vez que peguei, cara, é rápido. Recomendo -o se o seu HDD diminuiu, pro"&amp;"vavelmente é o cabo que veio com o seu HDD, isso está diminuindo a velocidade., Sim, bom, o comprimento do cabo é muito pequeno como 6 cm, mas a velocidade de transferência é boa de 70 a 90 Mb/s. ., Bom, está funcionando bem mesmo depois de meses, um prod"&amp;"uto incrível atende a todas as suas expectativas")</f>
        <v>Obrigado Amazon, o comprimento é muito pequeno, ok, então antes de comprá -lo, com meu cabo antigo, pensei que a velocidade era padrão com um HDD com cerca de 6 anos de idade. Mas uma vez que peguei, cara, é rápido. Recomendo -o se o seu HDD diminuiu, provavelmente é o cabo que veio com o seu HDD, isso está diminuindo a velocidade., Sim, bom, o comprimento do cabo é muito pequeno como 6 cm, mas a velocidade de transferência é boa de 70 a 90 Mb/s. ., Bom, está funcionando bem mesmo depois de meses, um produto incrível atende a todas as suas expectativas</v>
      </c>
    </row>
    <row r="184">
      <c r="A184" s="9" t="s">
        <v>772</v>
      </c>
      <c r="B184" s="29" t="str">
        <f>VLOOKUP(dados!A184, reviews!A:G, 5, FALSE)</f>
        <v>Reliability,Best non apple usb to lightning cable,Good,Good quality using since a year,Good,Very good product,Nice cable,Worth Your Money and best alternative</v>
      </c>
      <c r="C184" s="29" t="str">
        <f>VLOOKUP(dados!A184, reviews!A:G, 6, FALSE)</f>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It’s not super fast like your regular iPhone charger but it does the job well. Compatible with portable charger also,Nice cable , length is very well good ,But charging speed is little bit slow otherwise good. Go for it😌,Writing after 2 years, it works amazing</v>
      </c>
      <c r="D184" s="29" t="str">
        <f>IFERROR(__xludf.DUMMYFUNCTION("GOOGLETRANSLATE(B184, ""en"", ""pt-br"")"),"Confiabilidade, Melhor Non Usb para Lightning Cable, boa, boa qualidade usando desde um ano, bom, muito bom produto, bom cabo, vale o seu dinheiro e melhor alternativa")</f>
        <v>Confiabilidade, Melhor Non Usb para Lightning Cable, boa, boa qualidade usando desde um ano, bom, muito bom produto, bom cabo, vale o seu dinheiro e melhor alternativa</v>
      </c>
      <c r="E184" s="29" t="str">
        <f>IFERROR(__xludf.DUMMYFUNCTION("GOOGLETRANSLATE(C184, ""en"", ""pt-br"")"),"Funciona suave, o comprimento do cordão é de comprimento. O poder de carregamento não é dificultado devido à sua central. Fio bem trançado. Vale a pena ir. Se você quiser fio curto, não vá para isso. Caso é muito longo e eu precisava dele para o carro qua"&amp;"ndo estou cobrando enquanto viajo. Velocidade decente para carregar também. Não é super rápido como o seu carregador regular do iPhone, mas faz bem o trabalho. Compatível com carregador portátil também, um bom cabo, o comprimento é muito bom, mas a veloci"&amp;"dade de carregamento é um pouco lenta, caso contrário, bom. Vá para isso, escrevendo depois de 2 anos, funciona incrível")</f>
        <v>Funciona suave, o comprimento do cordão é de comprimento. O poder de carregamento não é dificultado devido à sua central. Fio bem trançado. Vale a pena ir. Se você quiser fio curto, não vá para isso. Caso é muito longo e eu precisava dele para o carro quando estou cobrando enquanto viajo. Velocidade decente para carregar também. Não é super rápido como o seu carregador regular do iPhone, mas faz bem o trabalho. Compatível com carregador portátil também, um bom cabo, o comprimento é muito bom, mas a velocidade de carregamento é um pouco lenta, caso contrário, bom. Vá para isso, escrevendo depois de 2 anos, funciona incrível</v>
      </c>
    </row>
    <row r="185">
      <c r="A185" s="9" t="s">
        <v>776</v>
      </c>
      <c r="B185" s="29" t="str">
        <f>VLOOKUP(dados!A185, reviews!A:G, 5, FALSE)</f>
        <v>Good,Worth to buy,Great value for price,Good product,Nice product.,Reliable and worth it!,Much more sturdy and durable than Apple cable,Good</v>
      </c>
      <c r="C185" s="29" t="str">
        <f>VLOOKUP(dados!A185, reviews!A:G, 6, FALSE)</f>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v>
      </c>
      <c r="D185" s="29" t="str">
        <f>IFERROR(__xludf.DUMMYFUNCTION("GOOGLETRANSLATE(B185, ""en"", ""pt-br"")"),"Bom, vale a pena comprar, ótimo valor pelo preço, bom produto, bom produto., Confiável e vale a pena!, Muito mais resistente e durável que o cabo de maçã, bom")</f>
        <v>Bom, vale a pena comprar, ótimo valor pelo preço, bom produto, bom produto., Confiável e vale a pena!, Muito mais resistente e durável que o cabo de maçã, bom</v>
      </c>
      <c r="E185" s="29" t="str">
        <f>IFERROR(__xludf.DUMMYFUNCTION("GOOGLETRANSLATE(C185, ""en"", ""pt-br"")"),"Bom orçamento MFI certificado levemente cabo por esse preço. Atualize a revisão do uso após 3 a 5 meses., Melhor que o original em matéria de robustez e durabilidade. Melhor na perspectiva de cobrança. É muito melhor na durabilidade do fio da Apple origin"&amp;"al. Não pense mais que você pode comprar cegamente para comprar e é certificado MFI para que o dispositivo iOS não esteja danificado. Mas o pequeno ponto negativo é a qualidade da embalagem do produto., O carregador é um ótimo acessório de transporte enqu"&amp;"anto viaja sem arriscar o carregador original. O preço também é muito acessível e a velocidade de carregamento é muito boa com um bom adaptador ou banco de energia., Bom produto, um bom produto, Pode recomendar tudo, a única coisa que vejo como problema é"&amp;" o material, as roscas dos cabos retiram quando aderem a um materiais de velcro. Outro produto bom bom, carrega muito bem como original, agradável, confiável e vale a pena, o cabo enviado em caixa feita pela Apple parecia menos resistente e confiável depo"&amp;"is de usar uma ou duas vezes e sentiu que se quebraria mais rapidamente na porta de iluminação e teve Para encomendar o Amazon Basics Cable, que é melhor Miles e a Apple Mifi Certified,")</f>
        <v>Bom orçamento MFI certificado levemente cabo por esse preço. Atualize a revisão do uso após 3 a 5 meses., Melhor que o original em matéria de robustez e durabilidade. Melhor na perspectiva de cobrança. É muito melhor na durabilidade do fio da Apple original. Não pense mais que você pode comprar cegamente para comprar e é certificado MFI para que o dispositivo iOS não esteja danificado. Mas o pequeno ponto negativo é a qualidade da embalagem do produto., O carregador é um ótimo acessório de transporte enquanto viaja sem arriscar o carregador original. O preço também é muito acessível e a velocidade de carregamento é muito boa com um bom adaptador ou banco de energia., Bom produto, um bom produto, Pode recomendar tudo, a única coisa que vejo como problema é o material, as roscas dos cabos retiram quando aderem a um materiais de velcro. Outro produto bom bom, carrega muito bem como original, agradável, confiável e vale a pena, o cabo enviado em caixa feita pela Apple parecia menos resistente e confiável depois de usar uma ou duas vezes e sentiu que se quebraria mais rapidamente na porta de iluminação e teve Para encomendar o Amazon Basics Cable, que é melhor Miles e a Apple Mifi Certified,</v>
      </c>
    </row>
    <row r="186">
      <c r="A186" s="9" t="s">
        <v>780</v>
      </c>
      <c r="B186" s="29" t="str">
        <f>VLOOKUP(dados!A186, reviews!A:G, 5, FALSE)</f>
        <v>Overall it's a good product for mobile charging.,Awesome 😎,Gud data cabel....,Very good USB C TO USB C Cable .The one does not entangle to develop fold leading to cracks and cuts,Best,Rigid and high quality,Super durable,Great i have been using for 6 month</v>
      </c>
      <c r="C186" s="29" t="str">
        <f>VLOOKUP(dados!A186, reviews!A:G, 6, FALSE)</f>
        <v>Good product 👍🏻,Nice products and easy to use.very good quality and the product is very good 😊,,Simply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v>
      </c>
      <c r="D186" s="29" t="str">
        <f>IFERROR(__xludf.DUMMYFUNCTION("GOOGLETRANSLATE(B186, ""en"", ""pt-br"")"),"No geral, é um bom produto para carregamento móvel., Awesome 😎, Gud Data Cabel ...., um cabo USB C para USB C para USB. , Super durável, ótimo, eu tenho usado há 6 meses")</f>
        <v>No geral, é um bom produto para carregamento móvel., Awesome 😎, Gud Data Cabel ...., um cabo USB C para USB C para USB. , Super durável, ótimo, eu tenho usado há 6 meses</v>
      </c>
      <c r="E186" s="29" t="str">
        <f>IFERROR(__xludf.DUMMYFUNCTION("GOOGLETRANSLATE(C186, ""en"", ""pt-br"")"),"Bom produto 👍🏻, produtos agradáveis ​​e fácil de usar. Muito de boa qualidade e o produto é muito bom 😊 ,, Basta ir em frente. Eu tenho usado isso quase nos últimos 1,5 anos. Eu uso isso todos os dias, o dia inteiro durante o horário comercial e, às ve"&amp;"zes, trabalho em casa tanto para o meu telefone quanto o laptop usando com o carregador de 65 watts. É livre de problemas e faz seu trabalho como esperamos. Não há problema. Este é o problema que tive com outros cabos. Este é perfeito. Como eu disse, você"&amp;" pode simplesmente seguir em frente. Fortemente recomendado., Melhor, o comprimento poderia ter sido mais longo, valor ao dinheiro, Deus de qualidade material e carregamento rápido")</f>
        <v>Bom produto 👍🏻, produtos agradáveis ​​e fácil de usar. Muito de boa qualidade e o produto é muito bom 😊 ,, Basta ir em frente. Eu tenho usado isso quase nos últimos 1,5 anos. Eu uso isso todos os dias, o dia inteiro durante o horário comercial e, às vezes, trabalho em casa tanto para o meu telefone quanto o laptop usando com o carregador de 65 watts. É livre de problemas e faz seu trabalho como esperamos. Não há problema. Este é o problema que tive com outros cabos. Este é perfeito. Como eu disse, você pode simplesmente seguir em frente. Fortemente recomendado., Melhor, o comprimento poderia ter sido mais longo, valor ao dinheiro, Deus de qualidade material e carregamento rápido</v>
      </c>
    </row>
    <row r="187">
      <c r="A187" s="9" t="s">
        <v>784</v>
      </c>
      <c r="B187" s="29" t="str">
        <f>VLOOKUP(dados!A187, reviews!A:G, 5, FALSE)</f>
        <v>High price,Good quality,Go for it,3.0,Thank you Amazon,Awesome buy,Ok,Nice product</v>
      </c>
      <c r="C187" s="29" t="str">
        <f>VLOOKUP(dados!A187, reviews!A:G, 6, FALSE)</f>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v>
      </c>
      <c r="D187" s="29" t="str">
        <f>IFERROR(__xludf.DUMMYFUNCTION("GOOGLETRANSLATE(B187, ""en"", ""pt-br"")"),"Alto preço, boa qualidade, vá em frente, 3,0, obrigado Amazon, compra incrível, ok, bom produto")</f>
        <v>Alto preço, boa qualidade, vá em frente, 3,0, obrigado Amazon, compra incrível, ok, bom produto</v>
      </c>
      <c r="E187" s="29" t="str">
        <f>IFERROR(__xludf.DUMMYFUNCTION("GOOGLETRANSLATE(C187, ""en"", ""pt-br"")"),"O preço é alto em relação à qualidade do produto, durável e estridente, é resistente e funciona bem., Melhor, este é um excelente produto da AmazonBasics., Cabo de alta qualidade 3 vezes melhor que os cabos originais fornecidos com HDDs. Funciona muito be"&amp;"m com o meu passaporte ultra. As taxas de dados estão em pé de igualdade com o cabo original e funcionam bem nas portas USB 3.0 e 2.0. O produto é de excelente qualidade., Bom, bom")</f>
        <v>O preço é alto em relação à qualidade do produto, durável e estridente, é resistente e funciona bem., Melhor, este é um excelente produto da AmazonBasics., Cabo de alta qualidade 3 vezes melhor que os cabos originais fornecidos com HDDs. Funciona muito bem com o meu passaporte ultra. As taxas de dados estão em pé de igualdade com o cabo original e funcionam bem nas portas USB 3.0 e 2.0. O produto é de excelente qualidade., Bom, bom</v>
      </c>
    </row>
    <row r="188">
      <c r="A188" s="9" t="s">
        <v>788</v>
      </c>
      <c r="B188" s="29" t="str">
        <f>VLOOKUP(dados!A188, reviews!A:G, 5, FALSE)</f>
        <v>Good,Worth to buy,Great value for price,Good product,Nice product.,Reliable and worth it!,Much more sturdy and durable than Apple cable,Good</v>
      </c>
      <c r="C188" s="29" t="str">
        <f>VLOOKUP(dados!A188, reviews!A:G, 6, FALSE)</f>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v>
      </c>
      <c r="D188" s="29" t="str">
        <f>IFERROR(__xludf.DUMMYFUNCTION("GOOGLETRANSLATE(B188, ""en"", ""pt-br"")"),"Bom, vale a pena comprar, ótimo valor pelo preço, bom produto, bom produto., Confiável e vale a pena!, Muito mais resistente e durável que o cabo de maçã, bom")</f>
        <v>Bom, vale a pena comprar, ótimo valor pelo preço, bom produto, bom produto., Confiável e vale a pena!, Muito mais resistente e durável que o cabo de maçã, bom</v>
      </c>
      <c r="E188" s="29" t="str">
        <f>IFERROR(__xludf.DUMMYFUNCTION("GOOGLETRANSLATE(C188, ""en"", ""pt-br"")"),"Bom orçamento MFI certificado levemente cabo por esse preço. Atualize a revisão do uso após 3 a 5 meses., Melhor que o original em matéria de robustez e durabilidade. Melhor na perspectiva de cobrança. É muito melhor na durabilidade do fio da Apple origin"&amp;"al. Não pense mais que você pode comprar cegamente para comprar e é certificado MFI para que o dispositivo iOS não esteja danificado. Mas o pequeno ponto negativo é a qualidade da embalagem do produto., O carregador é um ótimo acessório de transporte enqu"&amp;"anto viaja sem arriscar o carregador original. O preço também é muito acessível e a velocidade de carregamento é muito boa com um bom adaptador ou banco de energia., Bom produto, um bom produto, Pode recomendar tudo, a única coisa que vejo como problema é"&amp;" o material, as roscas dos cabos retiram quando aderem a um materiais de velcro. Outro produto bom bom, carrega muito bem como original, agradável, confiável e vale a pena, o cabo enviado em caixa feita pela Apple parecia menos resistente e confiável depo"&amp;"is de usar uma ou duas vezes e sentiu que se quebraria mais rapidamente na porta de iluminação e teve Para encomendar o Amazon Basics Cable, que é melhor Miles e a Apple Mifi Certified,")</f>
        <v>Bom orçamento MFI certificado levemente cabo por esse preço. Atualize a revisão do uso após 3 a 5 meses., Melhor que o original em matéria de robustez e durabilidade. Melhor na perspectiva de cobrança. É muito melhor na durabilidade do fio da Apple original. Não pense mais que você pode comprar cegamente para comprar e é certificado MFI para que o dispositivo iOS não esteja danificado. Mas o pequeno ponto negativo é a qualidade da embalagem do produto., O carregador é um ótimo acessório de transporte enquanto viaja sem arriscar o carregador original. O preço também é muito acessível e a velocidade de carregamento é muito boa com um bom adaptador ou banco de energia., Bom produto, um bom produto, Pode recomendar tudo, a única coisa que vejo como problema é o material, as roscas dos cabos retiram quando aderem a um materiais de velcro. Outro produto bom bom, carrega muito bem como original, agradável, confiável e vale a pena, o cabo enviado em caixa feita pela Apple parecia menos resistente e confiável depois de usar uma ou duas vezes e sentiu que se quebraria mais rapidamente na porta de iluminação e teve Para encomendar o Amazon Basics Cable, que é melhor Miles e a Apple Mifi Certified,</v>
      </c>
    </row>
    <row r="189">
      <c r="A189" s="9" t="s">
        <v>792</v>
      </c>
      <c r="B189" s="29" t="str">
        <f>VLOOKUP(dados!A189, reviews!A:G, 5, FALSE)</f>
        <v>Good material, fast charging,Costly but good product,Support type c super fast charging,Good quality,Sturdy cable &amp; has decent charging capabilities.,Good buy.,Gud product.,Very good product</v>
      </c>
      <c r="C189" s="29" t="str">
        <f>VLOOKUP(dados!A189, reviews!A:G, 6, FALSE)</f>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v>
      </c>
      <c r="D189" s="29" t="str">
        <f>IFERROR(__xludf.DUMMYFUNCTION("GOOGLETRANSLATE(B189, ""en"", ""pt-br"")"),"Bom material, carregamento rápido, produto caro, mas bom, suporte super C, de boa qualidade, cabo de boa qualidade e recursos de carregamento decente., Boa compra., Produto Gud.")</f>
        <v>Bom material, carregamento rápido, produto caro, mas bom, suporte super C, de boa qualidade, cabo de boa qualidade e recursos de carregamento decente., Boa compra., Produto Gud.</v>
      </c>
      <c r="E189" s="29" t="str">
        <f>IFERROR(__xludf.DUMMYFUNCTION("GOOGLETRANSLATE(C189, ""en"", ""pt-br"")"),"OS Material OS muito bom, inicialmente cobra muito rápido, mas após 7 meses viu uma diferença na velocidade, entrei em contato com o vendedor para garantir, dentro de 1 dia eles me entregaram um novo sem nenhum custo. Seja um pouco macio ... é muito difíc"&amp;"il de dobrá -lo, o produto é bom, mas eu preciso de substituição o mais rápido possível. Porque parou de funcionar., O cabo é fisicamente resiliente e parece bom também. O cabo parou de funcionar em 7 meses - contatou o suporte ao cliente e garantiu uma s"&amp;"ubstituição em breve. Em suma, uma reivindicação de garantia sem complicações.")</f>
        <v>OS Material OS muito bom, inicialmente cobra muito rápido, mas após 7 meses viu uma diferença na velocidade, entrei em contato com o vendedor para garantir, dentro de 1 dia eles me entregaram um novo sem nenhum custo. Seja um pouco macio ... é muito difícil de dobrá -lo, o produto é bom, mas eu preciso de substituição o mais rápido possível. Porque parou de funcionar., O cabo é fisicamente resiliente e parece bom também. O cabo parou de funcionar em 7 meses - contatou o suporte ao cliente e garantiu uma substituição em breve. Em suma, uma reivindicação de garantia sem complicações.</v>
      </c>
    </row>
    <row r="190">
      <c r="A190" s="9" t="s">
        <v>796</v>
      </c>
      <c r="B190" s="29" t="str">
        <f>VLOOKUP(dados!A190, reviews!A:G, 5, FALSE)</f>
        <v>A budget Android TV,Wall Mount was missing from tv pack,Good,Good product but installation service is not good,Nice product ☺️👍,i am very satisfied,Good,Very good product in this price</v>
      </c>
      <c r="C190" s="29" t="str">
        <f>VLOOKUP(dados!A190, reviews!A:G, 6, FALSE)</f>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😌👍,very happy,Picture quality,Value for money product</v>
      </c>
      <c r="D190" s="29" t="str">
        <f>IFERROR(__xludf.DUMMYFUNCTION("GOOGLETRANSLATE(B190, ""en"", ""pt-br"")"),"Um orçamento Android TV, o Mount Mount estava faltando no pacote de TV, bom, bom produto, mas o serviço de instalação não é bom, bom produto ☺️👍, estou muito satisfeito, bom, muito bom produto neste preço")</f>
        <v>Um orçamento Android TV, o Mount Mount estava faltando no pacote de TV, bom, bom produto, mas o serviço de instalação não é bom, bom produto ☺️👍, estou muito satisfeito, bom, muito bom produto neste preço</v>
      </c>
      <c r="E190" s="29" t="str">
        <f>IFERROR(__xludf.DUMMYFUNCTION("GOOGLETRANSLATE(C190, ""en"", ""pt-br"")"),"Quando digo que a Android TV, poucos compradores não conseguiriam entender. Possui compilação não oficial do Android 9, então, basicamente, você pode instalar todos os Android TV APK e aplicativos. Para a Play Store, você pode instalar o Aptoide manualmen"&amp;"te e ela pode instalar todos os aplicativos de TV para você depois. Como é sua construção não oficial, você não pode ter serviços de aplicativos do Google e loja de play, ele não funcionará. Greantes da qualidade Greantes não lagdoes não pendem que não te"&amp;"ndo um problema de aquecimento, em vez de um problema, os aplicativos e as funções não estão organizados, você precisa passar por todo o material que é uma TV semelhante com o Android Official 11, é melhor aceitar isso se você precisar de compilação ofici"&amp;"al e também como Google Play Store and Services.Ver, feliz no orçamento !!, o Mount Mount não foi encontrado dentro do pacote de TV, melhor, o produto é bom. A qualidade da imagem está ok. Comprei este produto @ 6999 e também tenho 10% de desconto, o valo"&amp;"r final é 6300 nesse preço de preço é o melhor. Mas o serviço de instalação não é bom. A montagem da parede está dentro da caixa. SERVIÇO DE INSTALAÇÃO Homem diz Rs.300 para montagem na parede e, de outra forma")</f>
        <v>Quando digo que a Android TV, poucos compradores não conseguiriam entender. Possui compilação não oficial do Android 9, então, basicamente, você pode instalar todos os Android TV APK e aplicativos. Para a Play Store, você pode instalar o Aptoide manualmente e ela pode instalar todos os aplicativos de TV para você depois. Como é sua construção não oficial, você não pode ter serviços de aplicativos do Google e loja de play, ele não funcionará. Greantes da qualidade Greantes não lagdoes não pendem que não tendo um problema de aquecimento, em vez de um problema, os aplicativos e as funções não estão organizados, você precisa passar por todo o material que é uma TV semelhante com o Android Official 11, é melhor aceitar isso se você precisar de compilação oficial e também como Google Play Store and Services.Ver, feliz no orçamento !!, o Mount Mount não foi encontrado dentro do pacote de TV, melhor, o produto é bom. A qualidade da imagem está ok. Comprei este produto @ 6999 e também tenho 10% de desconto, o valor final é 6300 nesse preço de preço é o melhor. Mas o serviço de instalação não é bom. A montagem da parede está dentro da caixa. SERVIÇO DE INSTALAÇÃO Homem diz Rs.300 para montagem na parede e, de outra forma</v>
      </c>
    </row>
    <row r="191">
      <c r="A191" s="9" t="s">
        <v>800</v>
      </c>
      <c r="B191" s="29" t="str">
        <f>VLOOKUP(dados!A191, reviews!A:G, 5, FALSE)</f>
        <v>Value for Money,A good upgrade from stock cable.,GOOD CABLE,Value for the money,Great buy,Overall good,Awesome experience,Worked as expected</v>
      </c>
      <c r="C191" s="29" t="str">
        <f>VLOOKUP(dados!A191, reviews!A:G, 6, FALSE)</f>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v>
      </c>
      <c r="D191" s="29" t="str">
        <f>IFERROR(__xludf.DUMMYFUNCTION("GOOGLETRANSLATE(B191, ""en"", ""pt-br"")"),"Valor pelo dinheiro, uma boa atualização do cabo de estoque., Bom cabo, valor para o dinheiro, ótima compra, boa experiência geral, incrível, funcionou como esperado")</f>
        <v>Valor pelo dinheiro, uma boa atualização do cabo de estoque., Bom cabo, valor para o dinheiro, ótima compra, boa experiência geral, incrível, funcionou como esperado</v>
      </c>
      <c r="E191" s="29" t="str">
        <f>IFERROR(__xludf.DUMMYFUNCTION("GOOGLETRANSLATE(C191, ""en"", ""pt-br"")"),"Usando com o meu Xbox e está funcionando perfeitamente, uma boa atualização do cabo de estoque que recebi da Samsung. A qualidade do som definitivamente melhorou na barra de som. É alto o suficiente entre 10-15 volume. No entanto, a saída do subwoofer não"&amp;" melhorou significativamente., Fiquei normal em vez de um cabo premium com tamanho pequeno. Mas, felizmente, eu me acostumo., Funciona muito bem., Absolutamente aula para o dinheiro gasto. Nenhuma perda de sinal, tão boa como se não houvesse divisor envol"&amp;"vido. Compra fantástica como a maioria das TVs tem apenas uma saída óptica. ,, Obtendo o som surround de 5,1 canal.")</f>
        <v>Usando com o meu Xbox e está funcionando perfeitamente, uma boa atualização do cabo de estoque que recebi da Samsung. A qualidade do som definitivamente melhorou na barra de som. É alto o suficiente entre 10-15 volume. No entanto, a saída do subwoofer não melhorou significativamente., Fiquei normal em vez de um cabo premium com tamanho pequeno. Mas, felizmente, eu me acostumo., Funciona muito bem., Absolutamente aula para o dinheiro gasto. Nenhuma perda de sinal, tão boa como se não houvesse divisor envolvido. Compra fantástica como a maioria das TVs tem apenas uma saída óptica. ,, Obtendo o som surround de 5,1 canal.</v>
      </c>
    </row>
    <row r="192">
      <c r="A192" s="9" t="s">
        <v>804</v>
      </c>
      <c r="B192" s="29" t="str">
        <f>VLOOKUP(dados!A192, reviews!A:G, 5, FALSE)</f>
        <v>Firestick plugging in issue, otherwise a good deal,Cheap &amp; Best Product,Low budget led tv,Nice tv,Very. Good,Why is the installation guy asking for installation charge?,Good Budget Tv,Good TV but after using it for 9 days, has found a flaw</v>
      </c>
      <c r="C192" s="29" t="str">
        <f>VLOOKUP(dados!A192, reviews!A:G, 6, FALSE)</f>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v>
      </c>
      <c r="D192" s="29" t="str">
        <f>IFERROR(__xludf.DUMMYFUNCTION("GOOGLETRANSLATE(B192, ""en"", ""pt-br"")"),"Firestick Pluging em edição, caso contrário, um bom negócio, barato e melhor produto, TV de baixo orçamento, TV agradável, muito. Bom, por que o cara da instalação está pedindo uma taxa de instalação?, Bom orçamento, TV, mas depois de usá -la por 9 dias, "&amp;"encontrou uma falha")</f>
        <v>Firestick Pluging em edição, caso contrário, um bom negócio, barato e melhor produto, TV de baixo orçamento, TV agradável, muito. Bom, por que o cara da instalação está pedindo uma taxa de instalação?, Bom orçamento, TV, mas depois de usá -la por 9 dias, encontrou uma falha</v>
      </c>
      <c r="E192" s="29" t="str">
        <f>IFERROR(__xludf.DUMMYFUNCTION("GOOGLETRANSLATE(C192, ""en"", ""pt-br"")"),"Eu tenho isso por 6k. A esse preço, acredito que a TV oferece qualidade decente. De qualquer forma, você não deve esperar uma qualidade incrível de uma resolução de tela de 1366x768. O áudio também está bem. Além de 50, o áudio começa a rachar. A partir d"&amp;"e uma distância de visualização de 6-8 pés, a qualidade parece boa. Por favor, note: você lutará bastante para adicionar diretamente um Firestick à porta HDMI. Eles deram outras portas ao lado das portas HDMI, por causa das quais o Firestick não tem espaç"&amp;"o adequado para caber corretamente, a menos que você realmente o empurrasse lá. Minha sugestão é obter um extensor HDMI para isso. Além disso, eu diria que, para uma pequena sala, é um valor de 7/10., valor ao dinheiro, satisfeito com o produto até agora,"&amp;" este desempenho de baixo orçamento de TV LED bom 👍 desempenho, mas Picture &amp; Audio não é bom, https: //m.media-amazon.com/images/w/webp_402378-t2/images/i/61qvxyp2mcl._sy88.jpg,Good, é ótimo, mas o cara da instalação me pediu para 400 ₹ Instalação paga "&amp;"... informações enganosas, mas novamente por esse preço é uma boa TV. Não pague o cara da instalação, você pode fazer isso sozinho, vou dar 4 estrelas em 5. Comprei este VW de 32 polegadas em 6150 após descontos. A qualidade da imagem e a qualidade do som"&amp;" são boas. Eu acrescentei o Firestick a ele e a Voila se tornou TV inteligente. As conexões para anexar esses USBs estão na parte inferior da TV, que é ligeiramente diferente de outras TVs. Isso está acontecendo mais quando assisto à TV por algumas horas "&amp;"e, quando desligo a TV com o controle remoto do Firestick, o indicador de cores amarelo abaixo não fica vermelho, mas permanece amarelo. No que diz respeito à tela, a tela da TV muda para Black Whitish, parece -me que a TV entra no modo de hibernação ou s"&amp;"uspensão. Isso é uma culpa da TV, pois uma TV normal deve se afastar completamente e o indicador deve ficar vermelho. Liguei para o técnico amanhã e se ele verificar e se ele concorda, então eu deveria obter um substituto, pois ainda tenho dois dias para "&amp;"substituí -lo. Apenas uma nota de ajuda para as pessoas que compram esta TV: se você vai conectar o Firestick a ele , como solicita o nome da marca da TV, você pode selecionar a VU e funcionará perfeitamente no seu Firestick. Obrigado e divirta -se!")</f>
        <v>Eu tenho isso por 6k. A esse preço, acredito que a TV oferece qualidade decente. De qualquer forma, você não deve esperar uma qualidade incrível de uma resolução de tela de 1366x768. O áudio também está bem. Além de 50, o áudio começa a rachar. A partir de uma distância de visualização de 6-8 pés, a qualidade parece boa. Por favor, note: você lutará bastante para adicionar diretamente um Firestick à porta HDMI. Eles deram outras portas ao lado das portas HDMI, por causa das quais o Firestick não tem espaço adequado para caber corretamente, a menos que você realmente o empurrasse lá. Minha sugestão é obter um extensor HDMI para isso. Além disso, eu diria que, para uma pequena sala, é um valor de 7/10., valor ao dinheiro, satisfeito com o produto até agora, este desempenho de baixo orçamento de TV LED bom 👍 desempenho, mas Picture &amp; Audio não é bom, https: //m.media-amazon.com/images/w/webp_402378-t2/images/i/61qvxyp2mcl._sy88.jpg,Good, é ótimo, mas o cara da instalação me pediu para 400 ₹ Instalação paga ... informações enganosas, mas novamente por esse preço é uma boa TV. Não pague o cara da instalação, você pode fazer isso sozinho, vou dar 4 estrelas em 5. Comprei este VW de 32 polegadas em 6150 após descontos. A qualidade da imagem e a qualidade do som são boas. Eu acrescentei o Firestick a ele e a Voila se tornou TV inteligente. As conexões para anexar esses USBs estão na parte inferior da TV, que é ligeiramente diferente de outras TVs. Isso está acontecendo mais quando assisto à TV por algumas horas e, quando desligo a TV com o controle remoto do Firestick, o indicador de cores amarelo abaixo não fica vermelho, mas permanece amarelo. No que diz respeito à tela, a tela da TV muda para Black Whitish, parece -me que a TV entra no modo de hibernação ou suspensão. Isso é uma culpa da TV, pois uma TV normal deve se afastar completamente e o indicador deve ficar vermelho. Liguei para o técnico amanhã e se ele verificar e se ele concorda, então eu deveria obter um substituto, pois ainda tenho dois dias para substituí -lo. Apenas uma nota de ajuda para as pessoas que compram esta TV: se você vai conectar o Firestick a ele , como solicita o nome da marca da TV, você pode selecionar a VU e funcionará perfeitamente no seu Firestick. Obrigado e divirta -se!</v>
      </c>
    </row>
    <row r="193">
      <c r="A193" s="9" t="s">
        <v>808</v>
      </c>
      <c r="B193" s="29" t="str">
        <f>VLOOKUP(dados!A193, reviews!A:G, 5, FALSE)</f>
        <v>Data transfer not the best,Good cable for iphone,Working Good,Best quality,Fast charging,Genuine product,Nice product,Good</v>
      </c>
      <c r="C193" s="29" t="str">
        <f>VLOOKUP(dados!A193, reviews!A:G, 6, FALSE)</f>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v>
      </c>
      <c r="D193" s="29" t="str">
        <f>IFERROR(__xludf.DUMMYFUNCTION("GOOGLETRANSLATE(B193, ""en"", ""pt-br"")"),"Transferência de dados não é o melhor e bom cabo para iPhone, funcionando bem, melhor qualidade, carregamento rápido, produto genuíno, bom produto, bom")</f>
        <v>Transferência de dados não é o melhor e bom cabo para iPhone, funcionando bem, melhor qualidade, carregamento rápido, produto genuíno, bom produto, bom</v>
      </c>
      <c r="E193" s="29" t="str">
        <f>IFERROR(__xludf.DUMMYFUNCTION("GOOGLETRANSLATE(C193, ""en"", ""pt-br"")"),"Nem sempre lê com precisão no PC, funcionando bem nos últimos 3 anos, comprei este cabo para conectar o jogo do carro da Apple. Melhor que o cabo original do iPhone, pois não dobra ou reduziu as juntas. Comprado em Lightning Deal por ₹ 699, bom, carregado"&amp;"r rápido, altamente recomendado, bom e duradouro")</f>
        <v>Nem sempre lê com precisão no PC, funcionando bem nos últimos 3 anos, comprei este cabo para conectar o jogo do carro da Apple. Melhor que o cabo original do iPhone, pois não dobra ou reduziu as juntas. Comprado em Lightning Deal por ₹ 699, bom, carregador rápido, altamente recomendado, bom e duradouro</v>
      </c>
    </row>
    <row r="194">
      <c r="A194" s="9" t="s">
        <v>812</v>
      </c>
      <c r="B194" s="29" t="str">
        <f>VLOOKUP(dados!A194, reviews!A:G, 5, FALSE)</f>
        <v>Best(Branded) Budget TV,A high-quality 4k Smart TV from Samsung,Received Defective,Got Replacement,Nice product but,Tv is good,Best budget tv,Value for money. Samsung is always good,Value for money product</v>
      </c>
      <c r="C194" s="29" t="str">
        <f>VLOOKUP(dados!A194, reviews!A:G, 6, FALSE)</f>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v>
      </c>
      <c r="D194" s="29" t="str">
        <f>IFERROR(__xludf.DUMMYFUNCTION("GOOGLETRANSLATE(B194, ""en"", ""pt-br"")"),"O Best (com a marca) TV, uma TV inteligente em 4K de alta qualidade da Samsung, recebeu defeituosos, obteve substituição, produto agradável, mas a TV é boa, a melhor TV orçamentária, uma relação custo-benefício. Samsung é sempre bom, produto de valor para"&amp;" dinheiro")</f>
        <v>O Best (com a marca) TV, uma TV inteligente em 4K de alta qualidade da Samsung, recebeu defeituosos, obteve substituição, produto agradável, mas a TV é boa, a melhor TV orçamentária, uma relação custo-benefício. Samsung é sempre bom, produto de valor para dinheiro</v>
      </c>
      <c r="E194" s="29" t="str">
        <f>IFERROR(__xludf.DUMMYFUNCTION("GOOGLETRANSLATE(C194, ""en"", ""pt-br"")"),"Antes de finalizar as vendas da AUE60 55 "", visitei Croma e Vijay para verificar a mesma TV ou modelos similares para obter seus recursos e qualidade de imagem. Disseram-me AUE60 &amp; AUE70 (os modelos listados aqui como Crystal 4K e 4K Pro) são e- Modelos "&amp;"exclusivos do Commerce, não disponíveis offline. Fui mostrado AU7700, que possui o mesmo processador, painel e recursos, mas estava listado a 65k para a versão de 55 "". Gostei da qualidade da imagem e decidi obter o AUE60, pois ele compartilha muito com "&amp;"o AU7700 e economizará ~ 20k.Por que fui para a AUE60 vs. Aue70 - eu sabia que não precisaria de um assistente de voz e queria Para salvar 3k. Eu sabia que, mesmo que quisesse um assistente de voz, poderia conectar a caixa de TV Fire/Mi e obter esses recu"&amp;"rsos mais tarde. A entrega era bastante livre, o executivo de entrega descarregou a TV na sala que pedi e abriu a caixa para inspecionar a TV por qualquer dano físico. Os técnicos da Samsung chegaram algumas horas depois, instalaram e deram uma demonstraç"&amp;"ão: por outras críticas - o som dos alto -falantes é aparentemente ruim, mas no meu caso, achei satisfatório. Eu tenho a parede montada em uma sala de 10x12 pés, e os alto -falantes da TV parecem melhor em comparação com os alto -falantes do Bose Soundlin"&amp;"k para o qual eu o conectei via bluetooth.treture: o painel é ótimo, mas nada que valha a pena irritar. A uniformidade cinza não é ótima (ou seja, tons cinzentos não serão perfeitamente uniformes em todo o painel, haverá zonas mais escuras em direção às b"&amp;"ordas/cantos com base na colocação da luz de fundo). Os negros não são perfeitamente negros - e eles são mais brilhantes do que você esperaria de um painel VA, mas isso não é perceptível quando a sala estiver acesa. Sem sangramento da luz de fundo. As cor"&amp;"es são tão boas quanto eu gostaria que fossem, e o painel fica visivelmente brilhante para o meu gosto, mesmo quando o brilho é reduzido para 40%. O conteúdo 720p é assistível de&gt; 8 pés, 1080p é bom (eu diria melhor do que eu esperava) e 4K está bem, 4K.C"&amp;"onnectivity: eu tenho uma conexão de banda larga de 35 MB/s e todos os fluxos de conteúdo em 4K, quando disponível, sem Grea. A TV possui Bluetooth 5.0 e trabalha com fones de ouvido TWS e Band de pescoço (eu uso o Oppo EncO W51 e o Rockerz 330) - não há "&amp;"latência perceptível e o volume pode ser controlado pelo próprio controle remoto. de aplicativos de streaming que eu precisava - Netflix, Hotstar, Prime, Apple TV+ e YouTube. Todos eles transmitem conteúdo 4K, exceto o Hotstar - que apenas transmitiu 4K a"&amp;"lgumas vezes. 1080p ainda é muito assistível e não é realmente um quebra de negócio. Nenhum suporte à Visão Dolby - com o qual fiz as pazes, considerando o fato de que 99% das TVs orçamentárias no mercado não podem produzir o contraste que você esperaria "&amp;"do conteúdo de DV de qualquer maneira, então por que se importar. Você obtém HDR e o conteúdo HDR é definitivamente mais bonito do que os não-HDR em termos de cores e vibração. Eu planejava usar a TV sem cabo, mas a TV vem com alguns canais como Republic "&amp;"TV, Bloomberg, 9xm, etc., estes transmissões em 1080p, então um ótimo bônus para ter.Remote: RF muito básico remoto, diferentemente dos Bluetooth Na maioria das novas TVs. O controle remoto parece bastante elegante e elegante, mas é isso. Maior reclamação"&amp;"-digitar para procurar coisas nos aplicativos é uma dor no atrás, você precisará usar o D-Pad para navegar em um teclado na tela. Você pode controlar a TV usando o aplicativo SmartThings da Samsung, mas adivinhe - você não pode nem usar o teclado do seu t"&amp;"elefone para digitar ao controlar o aplicativo - isso é algo que pode ser adicionado através de uma atualização, mas ainda não está lá. As imagens são todo o conteúdo 4K. A resolução pode ser reduzida depois de enviar a revisão, mas você ainda pode ter um"&amp;"a idéia do design/aparência da TV, cores e contraste, etc. Eu diria que estou muito feliz - e com a chance, não seria mude minha decisão. É uma TV Samsung, então o final do dia, se produzir uma imagem decente e dura alguns anos a mais do que eu espero, po"&amp;"sso ignorar todos os outros contras. Eu recomendo a TV se você tiver as mesmas expectativas da sua próxima TV., Em 18 de dezembro de 22, recebeu um produto com defeito, atualizado para o serviço da Amazon que eles substituíram por um novo produto hoje (27"&amp;"/12/22) .WILL POST REVISÃO DE LONGO PRONTRATIVO.PROS: Qualidade da imagem, design (fino n moldura menos) contras: som (pouco bem), upse-sacling de canais SD todos satisfeitos., estão usando-o desde o mês agora. 4.5/5-Como o serviço de instalação sempre da"&amp;" Samsung foi sem aparência. Recursos 5/5-Smart são bons Este modelo não tem reconhecimento de voz. Eu não preciso, então está bem. 4/5 de qualidade de Audio não é boa. É claro, mas o volume não é suficiente se instalar no Big Hall. Também não possui base."&amp;"Pear uma barra de som separadamente se comprar esse modelo., Mas a qualidade da imagem é ok-ok., Melhor produto de TV na determinada faixa de preço, valor para dinheiro. Samsung é sempre bom, produto de valor para dinheiro")</f>
        <v>Antes de finalizar as vendas da AUE60 55 ", visitei Croma e Vijay para verificar a mesma TV ou modelos similares para obter seus recursos e qualidade de imagem. Disseram-me AUE60 &amp; AUE70 (os modelos listados aqui como Crystal 4K e 4K Pro) são e- Modelos exclusivos do Commerce, não disponíveis offline. Fui mostrado AU7700, que possui o mesmo processador, painel e recursos, mas estava listado a 65k para a versão de 55 ". Gostei da qualidade da imagem e decidi obter o AUE60, pois ele compartilha muito com o AU7700 e economizará ~ 20k.Por que fui para a AUE60 vs. Aue70 - eu sabia que não precisaria de um assistente de voz e queria Para salvar 3k. Eu sabia que, mesmo que quisesse um assistente de voz, poderia conectar a caixa de TV Fire/Mi e obter esses recursos mais tarde. A entrega era bastante livre, o executivo de entrega descarregou a TV na sala que pedi e abriu a caixa para inspecionar a TV por qualquer dano físico. Os técnicos da Samsung chegaram algumas horas depois, instalaram e deram uma demonstração: por outras críticas - o som dos alto -falantes é aparentemente ruim, mas no meu caso, achei satisfatório. Eu tenho a parede montada em uma sala de 10x12 pés, e os alto -falantes da TV parecem melhor em comparação com os alto -falantes do Bose Soundlink para o qual eu o conectei via bluetooth.treture: o painel é ótimo, mas nada que valha a pena irritar. A uniformidade cinza não é ótima (ou seja, tons cinzentos não serão perfeitamente uniformes em todo o painel, haverá zonas mais escuras em direção às bordas/cantos com base na colocação da luz de fundo). Os negros não são perfeitamente negros - e eles são mais brilhantes do que você esperaria de um painel VA, mas isso não é perceptível quando a sala estiver acesa. Sem sangramento da luz de fundo. As cores são tão boas quanto eu gostaria que fossem, e o painel fica visivelmente brilhante para o meu gosto, mesmo quando o brilho é reduzido para 40%. O conteúdo 720p é assistível de&gt; 8 pés, 1080p é bom (eu diria melhor do que eu esperava) e 4K está bem, 4K.Connectivity: eu tenho uma conexão de banda larga de 35 MB/s e todos os fluxos de conteúdo em 4K, quando disponível, sem Grea. A TV possui Bluetooth 5.0 e trabalha com fones de ouvido TWS e Band de pescoço (eu uso o Oppo EncO W51 e o Rockerz 330) - não há latência perceptível e o volume pode ser controlado pelo próprio controle remoto. de aplicativos de streaming que eu precisava - Netflix, Hotstar, Prime, Apple TV+ e YouTube. Todos eles transmitem conteúdo 4K, exceto o Hotstar - que apenas transmitiu 4K algumas vezes. 1080p ainda é muito assistível e não é realmente um quebra de negócio. Nenhum suporte à Visão Dolby - com o qual fiz as pazes, considerando o fato de que 99% das TVs orçamentárias no mercado não podem produzir o contraste que você esperaria do conteúdo de DV de qualquer maneira, então por que se importar. Você obtém HDR e o conteúdo HDR é definitivamente mais bonito do que os não-HDR em termos de cores e vibração. Eu planejava usar a TV sem cabo, mas a TV vem com alguns canais como Republic TV, Bloomberg, 9xm, etc., estes transmissões em 1080p, então um ótimo bônus para ter.Remote: RF muito básico remoto, diferentemente dos Bluetooth Na maioria das novas TVs. O controle remoto parece bastante elegante e elegante, mas é isso. Maior reclamação-digitar para procurar coisas nos aplicativos é uma dor no atrás, você precisará usar o D-Pad para navegar em um teclado na tela. Você pode controlar a TV usando o aplicativo SmartThings da Samsung, mas adivinhe - você não pode nem usar o teclado do seu telefone para digitar ao controlar o aplicativo - isso é algo que pode ser adicionado através de uma atualização, mas ainda não está lá. As imagens são todo o conteúdo 4K. A resolução pode ser reduzida depois de enviar a revisão, mas você ainda pode ter uma idéia do design/aparência da TV, cores e contraste, etc. Eu diria que estou muito feliz - e com a chance, não seria mude minha decisão. É uma TV Samsung, então o final do dia, se produzir uma imagem decente e dura alguns anos a mais do que eu espero, posso ignorar todos os outros contras. Eu recomendo a TV se você tiver as mesmas expectativas da sua próxima TV., Em 18 de dezembro de 22, recebeu um produto com defeito, atualizado para o serviço da Amazon que eles substituíram por um novo produto hoje (27/12/22) .WILL POST REVISÃO DE LONGO PRONTRATIVO.PROS: Qualidade da imagem, design (fino n moldura menos) contras: som (pouco bem), upse-sacling de canais SD todos satisfeitos., estão usando-o desde o mês agora. 4.5/5-Como o serviço de instalação sempre da Samsung foi sem aparência. Recursos 5/5-Smart são bons Este modelo não tem reconhecimento de voz. Eu não preciso, então está bem. 4/5 de qualidade de Audio não é boa. É claro, mas o volume não é suficiente se instalar no Big Hall. Também não possui base.Pear uma barra de som separadamente se comprar esse modelo., Mas a qualidade da imagem é ok-ok., Melhor produto de TV na determinada faixa de preço, valor para dinheiro. Samsung é sempre bom, produto de valor para dinheiro</v>
      </c>
    </row>
    <row r="195">
      <c r="A195" s="9" t="s">
        <v>815</v>
      </c>
      <c r="B195" s="29" t="str">
        <f>VLOOKUP(dados!A195, reviews!A:G, 5, FALSE)</f>
        <v>Works just fine for my vu tv,Quality to be improve,Good,Good product,Value for money 👍,Works fine with Vu smart TV,Good Product. Suitable for VU,Ok, Quality can be improved</v>
      </c>
      <c r="C195" s="29" t="str">
        <f>VLOOKUP(dados!A195, reviews!A:G, 6, FALSE)</f>
        <v>Not as good as the original remote, but does the job. Really happy with this product,Very light,Good one, working as expected.,Good product,Nice product.....👌 value for money,The quality of the buttons is average, but it does the job. Works fine with Vu smart TV.,Perfect fit for VU tv,Ok</v>
      </c>
      <c r="D195" s="29" t="str">
        <f>IFERROR(__xludf.DUMMYFUNCTION("GOOGLETRANSLATE(B195, ""en"", ""pt-br"")"),"Funciona muito bem para a minha TV VU, a qualidade a ser melhorada, boa, boa, produto, valor ao dinheiro 👍, funciona bem com a Vu Smart TV, bom produto. Adequado para Vu, OK, a qualidade pode ser melhorada")</f>
        <v>Funciona muito bem para a minha TV VU, a qualidade a ser melhorada, boa, boa, produto, valor ao dinheiro 👍, funciona bem com a Vu Smart TV, bom produto. Adequado para Vu, OK, a qualidade pode ser melhorada</v>
      </c>
      <c r="E195" s="29" t="str">
        <f>IFERROR(__xludf.DUMMYFUNCTION("GOOGLETRANSLATE(C195, ""en"", ""pt-br"")"),"Não é tão bom quanto o controle remoto original, mas faz o trabalho. Muito feliz com este produto, muito leve, bom, funcionando como esperado., Bom produto, bom produto ..... 👌 Valor do dinheiro, a qualidade dos botões é média, mas faz o trabalho. Funcio"&amp;"na bem com a Vu Smart TV., Perfect Fit for Vu TV, OK")</f>
        <v>Não é tão bom quanto o controle remoto original, mas faz o trabalho. Muito feliz com este produto, muito leve, bom, funcionando como esperado., Bom produto, bom produto ..... 👌 Valor do dinheiro, a qualidade dos botões é média, mas faz o trabalho. Funciona bem com a Vu Smart TV., Perfect Fit for Vu TV, OK</v>
      </c>
    </row>
    <row r="196">
      <c r="A196" s="9" t="s">
        <v>819</v>
      </c>
      <c r="B196" s="29" t="str">
        <f>VLOOKUP(dados!A196, reviews!A:G, 5, FALSE)</f>
        <v>Good product,Good product,Built and charge power,Nice product Happy to buy,Not recommended,Good quality but charge little slow,Stopped working within 6 months,Value for money</v>
      </c>
      <c r="C196" s="29" t="str">
        <f>VLOOKUP(dados!A196, reviews!A:G, 6, FALSE)</f>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v>
      </c>
      <c r="D196" s="29" t="str">
        <f>IFERROR(__xludf.DUMMYFUNCTION("GOOGLETRANSLATE(B196, ""en"", ""pt-br"")"),"Bom produto, bom produto, energia construída e cobrança, bom produto feliz em comprar, não recomendado, de boa qualidade, mas cobrar pouco lento, parou de funcionar dentro de 6 meses, valor ao dinheiro")</f>
        <v>Bom produto, bom produto, energia construída e cobrança, bom produto feliz em comprar, não recomendado, de boa qualidade, mas cobrar pouco lento, parou de funcionar dentro de 6 meses, valor ao dinheiro</v>
      </c>
      <c r="E196" s="29" t="str">
        <f>IFERROR(__xludf.DUMMYFUNCTION("GOOGLETRANSLATE(C196, ""en"", ""pt-br"")"),"Bom, perfeito, eu gosto de que seu poder de carregamento e carregamento do meu telefone é adequado ... muito bom até agora, principalmente como. Dependendo das avaliações dos clientes e da marca Duracell, comprei este cabo. Mas lamento dizer que a velocid"&amp;"ade de carregamento é muito baixa. Eu carreguei meu comprimido e dentro de uma hora e meia apenas 10 % cobraram. Nem de todo satisfeito com o produto., A qualidade do Wire e USB Pin é boa, mas cobra um celular pouco lento do que o carregador fornecido com"&amp;" celular pela OPPO / Real Me / Samsung., Estava funcionando bem, mas de repente parou de trabalhar dentro de 6 meses após compra., melhor produto")</f>
        <v>Bom, perfeito, eu gosto de que seu poder de carregamento e carregamento do meu telefone é adequado ... muito bom até agora, principalmente como. Dependendo das avaliações dos clientes e da marca Duracell, comprei este cabo. Mas lamento dizer que a velocidade de carregamento é muito baixa. Eu carreguei meu comprimido e dentro de uma hora e meia apenas 10 % cobraram. Nem de todo satisfeito com o produto., A qualidade do Wire e USB Pin é boa, mas cobra um celular pouco lento do que o carregador fornecido com celular pela OPPO / Real Me / Samsung., Estava funcionando bem, mas de repente parou de trabalhar dentro de 6 meses após compra., melhor produto</v>
      </c>
    </row>
    <row r="197">
      <c r="A197" s="9" t="s">
        <v>823</v>
      </c>
      <c r="B197" s="29" t="str">
        <f>VLOOKUP(dados!A197, reviews!A:G, 5, FALSE)</f>
        <v>Terrible,Charging status,Good quality,good charging,Nice product,Waste of Money.,Fast Charging Cable,Charching</v>
      </c>
      <c r="C197" s="29" t="str">
        <f>VLOOKUP(dados!A197, reviews!A:G, 6, FALSE)</f>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v>
      </c>
      <c r="D197" s="29" t="str">
        <f>IFERROR(__xludf.DUMMYFUNCTION("GOOGLETRANSLATE(B197, ""en"", ""pt-br"")"),"Terrível, status de cobrança, boa qualidade, bom carregamento, bom produto, desperdício de dinheiro., Cabo de carregamento rápido, cargo")</f>
        <v>Terrível, status de cobrança, boa qualidade, bom carregamento, bom produto, desperdício de dinheiro., Cabo de carregamento rápido, cargo</v>
      </c>
      <c r="E197" s="29" t="str">
        <f>IFERROR(__xludf.DUMMYFUNCTION("GOOGLETRANSLATE(C197, ""en"", ""pt-br"")"),"Após 1-2 meses, ficou pior e meu telefone com uma carga ou leva muito tempo como 11 a 12 horas. Às vezes, nem se conecta ao telefone. Não compre, não compre outros cabos baratos. Prefira os de marca, eles serão caros, mas valem o seu dinheiro e o tempo., "&amp;"Ok, mas não suportando 18 W de carregamento rápido, carregamento rápido, eu gosto muito, o carregador trabalhou por quase 20 dias após a entrega., Belo cabo de carregamento para Samsung M30 , Assim,")</f>
        <v>Após 1-2 meses, ficou pior e meu telefone com uma carga ou leva muito tempo como 11 a 12 horas. Às vezes, nem se conecta ao telefone. Não compre, não compre outros cabos baratos. Prefira os de marca, eles serão caros, mas valem o seu dinheiro e o tempo., Ok, mas não suportando 18 W de carregamento rápido, carregamento rápido, eu gosto muito, o carregador trabalhou por quase 20 dias após a entrega., Belo cabo de carregamento para Samsung M30 , Assim,</v>
      </c>
    </row>
    <row r="198">
      <c r="A198" s="9" t="s">
        <v>827</v>
      </c>
      <c r="B198" s="29" t="str">
        <f>VLOOKUP(dados!A198, reviews!A:G, 5, FALSE)</f>
        <v>Worked on iPhone 7 and didn’t work on XR,Good one,Dull Physical Looks,Just Buy it,Go for it,About the product,Get charging cable at the price,Working well.</v>
      </c>
      <c r="C198" s="29" t="str">
        <f>VLOOKUP(dados!A198, reviews!A:G, 6, FALSE)</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D198" s="29" t="str">
        <f>IFERROR(__xludf.DUMMYFUNCTION("GOOGLETRANSLATE(B198, ""en"", ""pt-br"")"),"Trabalhou no iPhone 7 e não trabalhou no XR, bom, looks físicos sem graça, basta comprá -lo, seguir em frente, sobre o produto, obter o cabo de carregamento pelo preço, funcionando bem.")</f>
        <v>Trabalhou no iPhone 7 e não trabalhou no XR, bom, looks físicos sem graça, basta comprá -lo, seguir em frente, sobre o produto, obter o cabo de carregamento pelo preço, funcionando bem.</v>
      </c>
      <c r="E198" s="29" t="str">
        <f>IFERROR(__xludf.DUMMYFUNCTION("GOOGLETRANSLATE(C198, ""en"", ""pt-br"")"),"Trabalhei no iPhone 7 e não trabalhou no iPhone XR, https: //m.media-amazon.com/images/i/71qffalv9zl._sy88.jpg.look-wise, eu não gostei. Ainda assim, eu o uso para o meu trabalho., O produto é muito bom e está carregando rapidamente. Parece o último longo"&amp;"., A robustez dependerá da maneira de seu uso. Mas sua velocidade de carregamento é ótima. Produto muito bom para o grupo de renda média., É ótimo para carregar dispositivos com vários tipos de portas. Mas funciona melhor ao carregar um dispositivo de cad"&amp;"a vez., Bom item.")</f>
        <v>Trabalhei no iPhone 7 e não trabalhou no iPhone XR, https: //m.media-amazon.com/images/i/71qffalv9zl._sy88.jpg.look-wise, eu não gostei. Ainda assim, eu o uso para o meu trabalho., O produto é muito bom e está carregando rapidamente. Parece o último longo., A robustez dependerá da maneira de seu uso. Mas sua velocidade de carregamento é ótima. Produto muito bom para o grupo de renda média., É ótimo para carregar dispositivos com vários tipos de portas. Mas funciona melhor ao carregar um dispositivo de cada vez., Bom item.</v>
      </c>
    </row>
    <row r="199">
      <c r="A199" s="9" t="s">
        <v>831</v>
      </c>
      <c r="B199" s="29" t="str">
        <f>VLOOKUP(dados!A199, reviews!A:G, 5, FALSE)</f>
        <v>It is the best tv if you are getting it in 10-12k,Good price but the OS lags,GARBAGE QUALITY,Good product.,Good quality,Great experience everything is fantastic 🤠,Super picture quality and sound quality,Awesome</v>
      </c>
      <c r="C199" s="29" t="str">
        <f>VLOOKUP(dados!A199, reviews!A:G, 6, FALSE)</f>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v>
      </c>
      <c r="D199" s="29" t="str">
        <f>IFERROR(__xludf.DUMMYFUNCTION("GOOGLETRANSLATE(B199, ""en"", ""pt-br"")"),"É a melhor TV se você estiver obtendo em 10-12k, bom preço, mas o sistema operacional fica, qualidade de lixo, bom produto., Boa qualidade, ótima experiência, tudo é fantástico 🤠, qualidade de super imagem e qualidade de som, incrível")</f>
        <v>É a melhor TV se você estiver obtendo em 10-12k, bom preço, mas o sistema operacional fica, qualidade de lixo, bom produto., Boa qualidade, ótima experiência, tudo é fantástico 🤠, qualidade de super imagem e qualidade de som, incrível</v>
      </c>
      <c r="E199" s="29" t="str">
        <f>IFERROR(__xludf.DUMMYFUNCTION("GOOGLETRANSLATE(C199, ""en"", ""pt-br"")"),"Pros- xiomi 5a é o melhor em um orçamento de qualidade de qualidade- muito boa saída de áudio- cheia de featureCons- às vezes os atrasos da TV- às vezes prendendo esse alcance de prêmio, todas as TVs com contras. é bom, mas como está sendo executado no An"&amp;"droid 12, ele fica. Espero que, após algumas atualizações, o problema dos lags seja resolvido, produtos inúteis e qualidade inútil. Exibir problemas dentro de 7 meses e o centro de serviço não está atualizado. Vá para melhores marcas onde a qualidade é ga"&amp;"rantida. Eu gostaria que se houvesse opção de estrelas negativas., Usar como conecta a TV, a imagem é muito boa. Eu estava pulando um melhor nível de música. Globaly It é um bom produto., Https: //m.media-amazon.com/images/w/webp_402378-t1/images/i/61spxd"&amp;"bojzl._sy88.jpg,Greater Então sempre, boa qualidade, boa 👍 👍 👍 👍 👍")</f>
        <v>Pros- xiomi 5a é o melhor em um orçamento de qualidade de qualidade- muito boa saída de áudio- cheia de featureCons- às vezes os atrasos da TV- às vezes prendendo esse alcance de prêmio, todas as TVs com contras. é bom, mas como está sendo executado no Android 12, ele fica. Espero que, após algumas atualizações, o problema dos lags seja resolvido, produtos inúteis e qualidade inútil. Exibir problemas dentro de 7 meses e o centro de serviço não está atualizado. Vá para melhores marcas onde a qualidade é garantida. Eu gostaria que se houvesse opção de estrelas negativas., Usar como conecta a TV, a imagem é muito boa. Eu estava pulando um melhor nível de música. Globaly It é um bom produto., Https: //m.media-amazon.com/images/w/webp_402378-t1/images/i/61spxdbojzl._sy88.jpg,Greater Então sempre, boa qualidade, boa 👍 👍 👍 👍 👍</v>
      </c>
    </row>
    <row r="200">
      <c r="A200" s="9" t="s">
        <v>834</v>
      </c>
      <c r="B200" s="29" t="str">
        <f>VLOOKUP(dados!A200, reviews!A:G, 5, FALSE)</f>
        <v>You might be able to get away by using other usb too,Built well but there are flaws.,Good alternative for Apple cable,Good alternative,Best buy,Good,Value for Money,Works as advertised.</v>
      </c>
      <c r="C200" s="29" t="str">
        <f>VLOOKUP(dados!A200, reviews!A:G, 6, FALSE)</f>
        <v>Recently ordered other. Usb for just 150 rsThe charging speed was same.This is not my main usb i use apple orignal onesHowever it seems like i over paid for getting the made for iphone tag,Product is built well, better than the Apple’s charging cable. This isn’t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v>
      </c>
      <c r="D200" s="29" t="str">
        <f>IFERROR(__xludf.DUMMYFUNCTION("GOOGLETRANSLATE(B200, ""en"", ""pt-br"")"),"Você também pode fugir usando outro USB, construído bem, mas há falhas., Boa alternativa para o cabo de maçã, boa alternativa, melhor compra, boa, valor ao dinheiro, funciona como anunciado.")</f>
        <v>Você também pode fugir usando outro USB, construído bem, mas há falhas., Boa alternativa para o cabo de maçã, boa alternativa, melhor compra, boa, valor ao dinheiro, funciona como anunciado.</v>
      </c>
      <c r="E200" s="29" t="str">
        <f>IFERROR(__xludf.DUMMYFUNCTION("GOOGLETRANSLATE(C200, ""en"", ""pt-br"")"),"Recentemente ordenou outro. USB Para apenas 150 rs. Isso não está funcionando com os adaptadores de carregamento, mas funciona bem com os bancos de poder., O tempo de carregamento é bom, pois depende totalmente do adaptador que estamos usando, se alguém e"&amp;"stiver procurando por alternativa para os cabos de carregamento da marca Apple caros, então este produto será A escolha certa., produto incrível, eu uso isso frequentemente dentro do meu carro. Escrevendo isso após 2 meses de uso regular., Cabo de carrega"&amp;"mento alternativo., Bom para iPhone - Lightning Ferk., O cabo é útil para conectar seu iPhone ao seu carro para o CarPlay.")</f>
        <v>Recentemente ordenou outro. USB Para apenas 150 rs. Isso não está funcionando com os adaptadores de carregamento, mas funciona bem com os bancos de poder., O tempo de carregamento é bom, pois depende totalmente do adaptador que estamos usando, se alguém estiver procurando por alternativa para os cabos de carregamento da marca Apple caros, então este produto será A escolha certa., produto incrível, eu uso isso frequentemente dentro do meu carro. Escrevendo isso após 2 meses de uso regular., Cabo de carregamento alternativo., Bom para iPhone - Lightning Ferk., O cabo é útil para conectar seu iPhone ao seu carro para o CarPlay.</v>
      </c>
    </row>
    <row r="201">
      <c r="A201" s="9" t="s">
        <v>838</v>
      </c>
      <c r="B201" s="29" t="str">
        <f>VLOOKUP(dados!A201, reviews!A:G, 5, FALSE)</f>
        <v>Good product,Working,Something is better than nothing,Average,Good,good product,Good work,Good</v>
      </c>
      <c r="C201" s="29" t="str">
        <f>VLOOKUP(dados!A201, reviews!A:G, 6, FALSE)</f>
        <v>Good product n it works fine,It's good one but price more than quality,Connecting to sensor for using is slightly a headache...... after Connecting sensor you need to use it in a delicate way,Useful itom,Good,good product and good responce,Good work,Worth for money</v>
      </c>
      <c r="D201" s="29" t="str">
        <f>IFERROR(__xludf.DUMMYFUNCTION("GOOGLETRANSLATE(B201, ""en"", ""pt-br"")"),"Bom produto, trabalho, algo é melhor do que nada, médio, bom, bom produto, bom trabalho, bom")</f>
        <v>Bom produto, trabalho, algo é melhor do que nada, médio, bom, bom produto, bom trabalho, bom</v>
      </c>
      <c r="E201" s="29" t="str">
        <f>IFERROR(__xludf.DUMMYFUNCTION("GOOGLETRANSLATE(C201, ""en"", ""pt-br"")"),"Bom produto n, funciona bem, é bom, mas o preço mais que a qualidade, conectar -se ao sensor para o uso é um pouco uma dor de cabeça ... Produto e boa resposta, bom trabalho, valor para dinheiro")</f>
        <v>Bom produto n, funciona bem, é bom, mas o preço mais que a qualidade, conectar -se ao sensor para o uso é um pouco uma dor de cabeça ... Produto e boa resposta, bom trabalho, valor para dinheiro</v>
      </c>
    </row>
    <row r="202">
      <c r="A202" s="9" t="s">
        <v>842</v>
      </c>
      <c r="B202" s="29" t="str">
        <f>VLOOKUP(dados!A202, reviews!A:G, 5, FALSE)</f>
        <v>Fitting issue,Perfect fit good quality product,good product,👌🏻Fit, 👍🏻cost wise, 👍🏻👍🏻material.,Wonderful product,Good for. New remote.,Nice product,Perfect for samsung frame series solar remote</v>
      </c>
      <c r="C202" s="29" t="str">
        <f>VLOOKUP(dados!A202, reviews!A:G, 6, FALSE)</f>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v>
      </c>
      <c r="D202" s="29" t="str">
        <f>IFERROR(__xludf.DUMMYFUNCTION("GOOGLETRANSLATE(B202, ""en"", ""pt-br"")"),"Problema de ajuste, produto perfeito para boa qualidade, bom produto, 👌🏻fit, 👍🏻 👍🏻 👍🏻cost wise, 👍🏻👍🏻material., Produto maravilhoso, bom para. Novo remoto., Bom produto, perfeito para a série Samsung Frame Solar Remote")</f>
        <v>Problema de ajuste, produto perfeito para boa qualidade, bom produto, 👌🏻fit, 👍🏻 👍🏻 👍🏻cost wise, 👍🏻👍🏻material., Produto maravilhoso, bom para. Novo remoto., Bom produto, perfeito para a série Samsung Frame Solar Remote</v>
      </c>
      <c r="E202" s="29" t="str">
        <f>IFERROR(__xludf.DUMMYFUNCTION("GOOGLETRANSLATE(C202, ""en"", ""pt-br"")"),"O produto é bom em termos de suavidade, tenacidade, usabilidade. Mas a questão apenas foi um pouco maior que o controle remoto, o produto é o que é anunciado- ajuste perfeito e boa qualidade. Recomendado para comprar, bom produto, ajuste perfeito, custo d"&amp;"e custo OK, material de boa qualidade. A Samsung 55 polegadas de Crystal UHD TV Remote é segura nesta capa, muito boa qualidade e muito útil. Especialmente quando você tem filhos em casa quebrando tudo., Ele se encaixa perfeitamente. Qualidade também boa."&amp;" Você pode comprar este produto .., ajuste perfeito para o controle remoto solar Samsung, a qualidade do material é boa ... serve ao propósito")</f>
        <v>O produto é bom em termos de suavidade, tenacidade, usabilidade. Mas a questão apenas foi um pouco maior que o controle remoto, o produto é o que é anunciado- ajuste perfeito e boa qualidade. Recomendado para comprar, bom produto, ajuste perfeito, custo de custo OK, material de boa qualidade. A Samsung 55 polegadas de Crystal UHD TV Remote é segura nesta capa, muito boa qualidade e muito útil. Especialmente quando você tem filhos em casa quebrando tudo., Ele se encaixa perfeitamente. Qualidade também boa. Você pode comprar este produto .., ajuste perfeito para o controle remoto solar Samsung, a qualidade do material é boa ... serve ao propósito</v>
      </c>
    </row>
    <row r="203">
      <c r="A203" s="9" t="s">
        <v>846</v>
      </c>
      <c r="B203" s="29" t="str">
        <f>VLOOKUP(dados!A203, reviews!A:G, 5, FALSE)</f>
        <v>Useful but the length is a bit short,This product is overpriced,Not proper,good,Happy to get it,USB Cable,good,Theek hi h</v>
      </c>
      <c r="C203" s="29" t="str">
        <f>VLOOKUP(dados!A203, reviews!A:G, 6, FALSE)</f>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v>
      </c>
      <c r="D203" s="29" t="str">
        <f>IFERROR(__xludf.DUMMYFUNCTION("GOOGLETRANSLATE(B203, ""en"", ""pt-br"")"),"Útil, mas o comprimento é um pouco curto, este produto é muito caro, não adequado, bom, feliz em obtê -lo, cabo USB, bom, oi hi h h")</f>
        <v>Útil, mas o comprimento é um pouco curto, este produto é muito caro, não adequado, bom, feliz em obtê -lo, cabo USB, bom, oi hi h h</v>
      </c>
      <c r="E203" s="29" t="str">
        <f>IFERROR(__xludf.DUMMYFUNCTION("GOOGLETRANSLATE(C203, ""en"", ""pt-br"")"),"O produto é bom, mas a duração do fio é curta, este produto é muito caro, não adequado, muito bom, eu não esperava ciência de material de boa qualidade que eu havia encomendado de dois. Estou muito feliz em obter um bom material. Esperança a equipe SaiteC"&amp;"hit manterá a qualidade em seus produtos.")</f>
        <v>O produto é bom, mas a duração do fio é curta, este produto é muito caro, não adequado, muito bom, eu não esperava ciência de material de boa qualidade que eu havia encomendado de dois. Estou muito feliz em obter um bom material. Esperança a equipe SaiteChit manterá a qualidade em seus produtos.</v>
      </c>
    </row>
    <row r="204">
      <c r="A204" s="9" t="s">
        <v>850</v>
      </c>
      <c r="B204" s="29" t="str">
        <f>VLOOKUP(dados!A204, reviews!A:G, 5, FALSE)</f>
        <v>Excellent solution for Sony TVs,Worth purchase,Very bad,Bad product,Remote,Good quality</v>
      </c>
      <c r="C204" s="29" t="str">
        <f>VLOOKUP(dados!A204, reviews!A:G, 6, FALSE)</f>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 . . .. .,Fast response and good quality remote.</v>
      </c>
      <c r="D204" s="29" t="str">
        <f>IFERROR(__xludf.DUMMYFUNCTION("GOOGLETRANSLATE(B204, ""en"", ""pt-br"")"),"Excelente solução para TVs da Sony, vale a pena comprar, muito ruim, mau produto, remoto, de boa qualidade")</f>
        <v>Excelente solução para TVs da Sony, vale a pena comprar, muito ruim, mau produto, remoto, de boa qualidade</v>
      </c>
      <c r="E204" s="29" t="str">
        <f>IFERROR(__xludf.DUMMYFUNCTION("GOOGLETRANSLATE(C204, ""en"", ""pt-br"")"),"Às vezes, são soluções simples que resgatam do que uma alternativa cara de empresas de marca. Eu tinha minha TV da Sony em perfeitas condições de trabalho, mas foi desgastado remoto (as crianças lidaram com isso suavemente lol). Quando tentei comprar o co"&amp;"ntrole remoto original da Sony, não consegui encontrar um exato ou o próprio controle remoto é caro. Nesse ponto, pensei em correr riscos com este pedaço da Marvel e funcionou como um encanto. Operação suave e nenhuma configuração necessária. Eu recomendo"&amp;" este produto. Vá em frente :) 25 de novembro: parou de responder à minha TV. Não estou funcionando muito bem com minha TV da Sony. Não é recomendado, útil e de boa qualidade, não funcionou. . . ..., resposta rápida e controle remoto de boa qualidade.")</f>
        <v>Às vezes, são soluções simples que resgatam do que uma alternativa cara de empresas de marca. Eu tinha minha TV da Sony em perfeitas condições de trabalho, mas foi desgastado remoto (as crianças lidaram com isso suavemente lol). Quando tentei comprar o controle remoto original da Sony, não consegui encontrar um exato ou o próprio controle remoto é caro. Nesse ponto, pensei em correr riscos com este pedaço da Marvel e funcionou como um encanto. Operação suave e nenhuma configuração necessária. Eu recomendo este produto. Vá em frente :) 25 de novembro: parou de responder à minha TV. Não estou funcionando muito bem com minha TV da Sony. Não é recomendado, útil e de boa qualidade, não funcionou. . . ..., resposta rápida e controle remoto de boa qualidade.</v>
      </c>
    </row>
    <row r="205">
      <c r="A205" s="9" t="s">
        <v>854</v>
      </c>
      <c r="B205" s="29" t="str">
        <f>VLOOKUP(dados!A205, reviews!A:G, 5, FALSE)</f>
        <v>Damaged product,Good quality aa well as fit,Good but fits loose at top, bit tight at bottom.,Fits the Samsung Smart TV Remote Perfectly!!,Perfectly fitted,Costly but good,Average product,A worthy product</v>
      </c>
      <c r="C205" s="29" t="str">
        <f>VLOOKUP(dados!A205, reviews!A:G, 6, FALSE)</f>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v>
      </c>
      <c r="D205" s="29" t="str">
        <f>IFERROR(__xludf.DUMMYFUNCTION("GOOGLETRANSLATE(B205, ""en"", ""pt-br"")"),"Produto danificado, AA de boa qualidade também em forma, bom, mas se solta no topo, um pouco apertado no fundo., Caixa no controle remoto da Samsung Smart TV perfeitamente !!, perfeitamente ajustado, caro, mas bom, produto médio, um produto digno")</f>
        <v>Produto danificado, AA de boa qualidade também em forma, bom, mas se solta no topo, um pouco apertado no fundo., Caixa no controle remoto da Samsung Smart TV perfeitamente !!, perfeitamente ajustado, caro, mas bom, produto médio, um produto digno</v>
      </c>
      <c r="E205" s="29" t="str">
        <f>IFERROR(__xludf.DUMMYFUNCTION("GOOGLETRANSLATE(C205, ""en"", ""pt-br"")"),"A qualidade é boa. Mas recebeu o produto danificado. Estava esperando o item, mas quando a entrega chegou tarde, eu tive que entender, infelizmente, o produto não é bom para mim. Este item foi colado nas bordas, bom, mas se solta na parte superior, um pou"&amp;"co apertado no fundo. Mas ainda assim, pode ir com a compra., Isso se encaixa perfeitamente no controle remoto da Samsung Smart TV, todas as bordas são cobertas, por isso Espero que ele o salve de todos os tipos de gotas. Acredito que eu precisava, porque"&amp;" meu filho continua deixando cair o controle remoto e eu estava preocupado porque o Samsung Smart Remote é bastante caro. Ele até se encaixa na forma ligeiramente inclinada do controle remoto perfeitamente., O produto é bom conforme descrito e ajustado pe"&amp;"rfeitamente muito bem. Obrigado Amazon, um bom produto em um lado mais alto, a qualidade média de ok ok, o ajuste pode ser melhor, pois as porções laterais estão soltas e podem reduzir a vida geral da cobertura, pois as crianças colocam o dedo e os itens "&amp;"pequenos nele. No entanto, as porções superior e inferior são apertadas o suficiente para atender ao objetivo. O azul luminoso dá um brilho decente quando está no escuro.")</f>
        <v>A qualidade é boa. Mas recebeu o produto danificado. Estava esperando o item, mas quando a entrega chegou tarde, eu tive que entender, infelizmente, o produto não é bom para mim. Este item foi colado nas bordas, bom, mas se solta na parte superior, um pouco apertado no fundo. Mas ainda assim, pode ir com a compra., Isso se encaixa perfeitamente no controle remoto da Samsung Smart TV, todas as bordas são cobertas, por isso Espero que ele o salve de todos os tipos de gotas. Acredito que eu precisava, porque meu filho continua deixando cair o controle remoto e eu estava preocupado porque o Samsung Smart Remote é bastante caro. Ele até se encaixa na forma ligeiramente inclinada do controle remoto perfeitamente., O produto é bom conforme descrito e ajustado perfeitamente muito bem. Obrigado Amazon, um bom produto em um lado mais alto, a qualidade média de ok ok, o ajuste pode ser melhor, pois as porções laterais estão soltas e podem reduzir a vida geral da cobertura, pois as crianças colocam o dedo e os itens pequenos nele. No entanto, as porções superior e inferior são apertadas o suficiente para atender ao objetivo. O azul luminoso dá um brilho decente quando está no escuro.</v>
      </c>
    </row>
    <row r="206">
      <c r="A206" s="9" t="s">
        <v>858</v>
      </c>
      <c r="B206" s="29" t="str">
        <f>VLOOKUP(dados!A206, reviews!A:G, 5, FALSE)</f>
        <v>BEST WITH BOAT &amp; LG SMART TV,This product is overpriced,Good picture quality, sturdy,It worked when I connect with soundbar to the smart TV,Good 👍,Good quality product my solve screen onn off,Ok,This cable support HDMI arc, but each time we have to select port in TV</v>
      </c>
      <c r="C206" s="29" t="str">
        <f>VLOOKUP(dados!A206, reviews!A:G, 6, FALSE)</f>
        <v>Perfect hdmi cable for boat soundbar and lg smart tv,This product is overpriced,Value for money &amp; good quality product,Quality product,Good 👍,Good quality,Good,It's ok to purchase for and as arc port</v>
      </c>
      <c r="D206" s="29" t="str">
        <f>IFERROR(__xludf.DUMMYFUNCTION("GOOGLETRANSLATE(B206, ""en"", ""pt-br"")"),"MELHOR COM BARCO &amp; LG SMART TV, este produto é muito caro, boa qualidade de imagem, resistente, ele funcionou quando eu me conecto com a barra de som à TV inteligente, bom 👍, produto de boa qualidade minha tela de resolução ONN OK, OK, este suporte a cab"&amp;"o HDMI Arc , mas cada vez que temos que selecionar a porta na TV")</f>
        <v>MELHOR COM BARCO &amp; LG SMART TV, este produto é muito caro, boa qualidade de imagem, resistente, ele funcionou quando eu me conecto com a barra de som à TV inteligente, bom 👍, produto de boa qualidade minha tela de resolução ONN OK, OK, este suporte a cabo HDMI Arc , mas cada vez que temos que selecionar a porta na TV</v>
      </c>
      <c r="E206" s="29" t="str">
        <f>IFERROR(__xludf.DUMMYFUNCTION("GOOGLETRANSLATE(C206, ""en"", ""pt-br"")"),"Cabo HDMI perfeito para barra sonora de barco e TV inteligente LG, este produto é muito caro, valor para dinheiro e produto de boa qualidade, produto de qualidade, bom 👍, boa qualidade, bom, é bom comprar e como porta arco")</f>
        <v>Cabo HDMI perfeito para barra sonora de barco e TV inteligente LG, este produto é muito caro, valor para dinheiro e produto de boa qualidade, produto de qualidade, bom 👍, boa qualidade, bom, é bom comprar e como porta arco</v>
      </c>
    </row>
    <row r="207">
      <c r="A207" s="9" t="s">
        <v>862</v>
      </c>
      <c r="B207" s="29" t="str">
        <f>VLOOKUP(dados!A207, reviews!A:G, 5, FALSE)</f>
        <v>It works,Reasonably Good Product,Very usefull,Work with iPod perfectly.,Not a good product,Wonderful Product and fast charging,Nice cable,Usefull to me</v>
      </c>
      <c r="C207" s="29" t="str">
        <f>VLOOKUP(dados!A207, reviews!A:G, 6, FALSE)</f>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v>
      </c>
      <c r="D207" s="29" t="str">
        <f>IFERROR(__xludf.DUMMYFUNCTION("GOOGLETRANSLATE(B207, ""en"", ""pt-br"")"),"Funciona, um produto razoavelmente bom, muito útil, trabalha com o iPod perfeitamente., Não é um bom produto, produto maravilhoso e carregamento rápido, bom cabo, útil para mim")</f>
        <v>Funciona, um produto razoavelmente bom, muito útil, trabalha com o iPod perfeitamente., Não é um bom produto, produto maravilhoso e carregamento rápido, bom cabo, útil para mim</v>
      </c>
      <c r="E207" s="29" t="str">
        <f>IFERROR(__xludf.DUMMYFUNCTION("GOOGLETRANSLATE(C207, ""en"", ""pt-br"")"),"O maior problema de comprar um acessório para um produto da Apple a partir de um fornecedor que não seja da Apple é que você nunca saberá se isso funcionará. Este produto está funcionando. Eu usei um antigo iPod touch. Sou capaz de carregar e transferir d"&amp;"ados. Espero que o produto também tenha uma boa vida útil. Valor do dinheiro, após uma experiência ruim com o cabo de carregamento FastX para iPad, fiquei apreensivo ao comprar qualquer coisa on -line. Mas, então, decidi tentar mais uma vez com a Amkette."&amp;" Para minha delícia, o cabo encaixou a porta e começou a carregar o iPad. O carregamento é mais lento que o cabo da Apple original, mas será necessário se você não for um usuário pesado. Espero que funcione por mais de 6 meses, pelo menos., Eu perco a esp"&amp;"erança de reviver meu iPhone4 que encontrei em alguns itens antigos. O cabo antigo foi danificado e não conseguiu carregá -lo. Encomendei o cabo apenas para verificar se meu antigo iPhone pode reviver mesmo após quase 7 a 8 anos sem carregar. Peguei o cab"&amp;"o no tempo e a qualidade da embalagem e do cabo parecem impressionantes e, para minha surpresa, meu telefone foi cobrado e começou a funcionar. Sou grato por o cabo me ajudar a reviver meu telefone antigo., Trabalhando com iPod perfeitamente., Não é um bo"&amp;"m produto, se encaixa bem 100% de carregamento rápido.")</f>
        <v>O maior problema de comprar um acessório para um produto da Apple a partir de um fornecedor que não seja da Apple é que você nunca saberá se isso funcionará. Este produto está funcionando. Eu usei um antigo iPod touch. Sou capaz de carregar e transferir dados. Espero que o produto também tenha uma boa vida útil. Valor do dinheiro, após uma experiência ruim com o cabo de carregamento FastX para iPad, fiquei apreensivo ao comprar qualquer coisa on -line. Mas, então, decidi tentar mais uma vez com a Amkette. Para minha delícia, o cabo encaixou a porta e começou a carregar o iPad. O carregamento é mais lento que o cabo da Apple original, mas será necessário se você não for um usuário pesado. Espero que funcione por mais de 6 meses, pelo menos., Eu perco a esperança de reviver meu iPhone4 que encontrei em alguns itens antigos. O cabo antigo foi danificado e não conseguiu carregá -lo. Encomendei o cabo apenas para verificar se meu antigo iPhone pode reviver mesmo após quase 7 a 8 anos sem carregar. Peguei o cabo no tempo e a qualidade da embalagem e do cabo parecem impressionantes e, para minha surpresa, meu telefone foi cobrado e começou a funcionar. Sou grato por o cabo me ajudar a reviver meu telefone antigo., Trabalhando com iPod perfeitamente., Não é um bom produto, se encaixa bem 100% de carregamento rápido.</v>
      </c>
    </row>
    <row r="208">
      <c r="A208" s="9" t="s">
        <v>866</v>
      </c>
      <c r="B208" s="29" t="str">
        <f>VLOOKUP(dados!A208, reviews!A:G, 5, FALSE)</f>
        <v>Worth of money,There is no 8 gb storage only 2.8 is there,Superb quality,Good product,Nice product for tcl android smart tv,TCL 32inch android tv good quality and rate,Nice smart Tv,Paisa vasul</v>
      </c>
      <c r="C208" s="29" t="str">
        <f>VLOOKUP(dados!A208, reviews!A:G, 6, FALSE)</f>
        <v>Picture &amp; sound quality good,Storage is not 8 gb there is only 2.8 gb,https://m.media-amazon.com/images/I/51-RmznbJjL._SY88.jpg,Good tv i like it,https://m.media-amazon.com/images/I/71R-NmGhkYL._SY88.jpg,,It’s a nice smart android television support all the web OTT platform,Nice ,product worth for the price</v>
      </c>
      <c r="D208" s="29" t="str">
        <f>IFERROR(__xludf.DUMMYFUNCTION("GOOGLETRANSLATE(B208, ""en"", ""pt-br"")"),"Valor de dinheiro, não há armazenamento de 8 GB apenas 2,8 existe, qualidade excelente, bom produto, bom produto para TV Android TV Android, TV TCL 32 polegadas Android TV de boa qualidade e taxa, Nice Smart TV, Paisa Vasul")</f>
        <v>Valor de dinheiro, não há armazenamento de 8 GB apenas 2,8 existe, qualidade excelente, bom produto, bom produto para TV Android TV Android, TV TCL 32 polegadas Android TV de boa qualidade e taxa, Nice Smart TV, Paisa Vasul</v>
      </c>
      <c r="E208" s="29" t="str">
        <f>IFERROR(__xludf.DUMMYFUNCTION("GOOGLETRANSLATE(C208, ""en"", ""pt-br"")"),"Qualidade da imagem e som boa, o armazenamento não é de 8 GB, há apenas 2,8 GB, https: //m.media-amazon.com/images/i/51-rmznbjjl._sy88.jpg, TV, eu gosto, https:/ /m.media-mazon.com/images/i/71r-nmghkyl._sy88.jpg., um bom suporte à televisão Android Smart "&amp;"Android em toda a plataforma da Web OTT, Nice, Produto que vale o preço pelo preço")</f>
        <v>Qualidade da imagem e som boa, o armazenamento não é de 8 GB, há apenas 2,8 GB, https: //m.media-amazon.com/images/i/51-rmznbjjl._sy88.jpg, TV, eu gosto, https:/ /m.media-mazon.com/images/i/71r-nmghkyl._sy88.jpg., um bom suporte à televisão Android Smart Android em toda a plataforma da Web OTT, Nice, Produto que vale o preço pelo preço</v>
      </c>
    </row>
    <row r="209">
      <c r="A209" s="9" t="s">
        <v>869</v>
      </c>
      <c r="B209" s="29" t="str">
        <f>VLOOKUP(dados!A209, reviews!A:G, 5, FALSE)</f>
        <v>They did what they said... Sent a replacement when complained...,Charging Rapidly on Replacement,They did what they said... Sent a replacement when complained...,Capacity,Not original but worth buying,Does not support fast charging,Good,Good quality</v>
      </c>
      <c r="C209" s="29" t="str">
        <f>VLOOKUP(dados!A209, reviews!A:G, 6, FALSE)</f>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v>
      </c>
      <c r="D209" s="29" t="str">
        <f>IFERROR(__xludf.DUMMYFUNCTION("GOOGLETRANSLATE(B209, ""en"", ""pt-br"")"),"Eles fizeram o que disseram ... enviaram um substituto quando reclamados ..., carregando rapidamente a substituição, eles fizeram o que disseram ... enviaram um substituto quando reclamados ..., capacidade, não original, mas vale a pena comprar, não supor"&amp;"ta Charagem rápida, boa, boa qualidade")</f>
        <v>Eles fizeram o que disseram ... enviaram um substituto quando reclamados ..., carregando rapidamente a substituição, eles fizeram o que disseram ... enviaram um substituto quando reclamados ..., capacidade, não original, mas vale a pena comprar, não suporta Charagem rápida, boa, boa qualidade</v>
      </c>
      <c r="E209" s="29" t="str">
        <f>IFERROR(__xludf.DUMMYFUNCTION("GOOGLETRANSLATE(C209, ""en"", ""pt-br"")"),"2ª revisão de compra .... Comprada em 17 de julho de 2019, o Dash Charge parou de trabalhar em 15 de setembro de 2019 ... dentro de 2 meses ... mas .... quando entrei em contato com eles no número do Whatsapp, eles me enviaram imediatamente um novo cabo n"&amp;"o dia seguinte .... 5 estrelas para manter a promessa e o profissionalismo .... Uso ... tudo aconteceu como esperado e escrito abaixo após a compra ... Após 5-6 meses, o cabo interrompeu a conectividade do PC .... depois de um mês, começou a mostrar probl"&amp;"emas ao carregar ... costumava carregar em uma posição Somente, e o carregamento costumava parar com pouco movimento ... finalmente teve que substituí-lo pelo novo após 6-7 meses ... como o preço agora é reduzido para 300, então direi um bom produto nesse"&amp;" preço. . Não é duradouro ... se você quer um cabo confiável, duradouro e longo, vá para o original do OnePlus Showroom ....--------------------- ------ (Revisão inicial escrita logo após a compra) Sim, ele suporta carga de traço e sem problemas de aqueci"&amp;"mento ... (usando-o desde 3 dias). Um ponto negativo é de curta duração ... tem 1 metro de comprimento ... o cabo original é de 1,5 metros ... por isso é difícil usar meu telefone enquanto carregava ..... outro ponto negativo que eu posso descobrir é que "&amp;"o cabo é realmente difícil ... na minha experiência do que os flexíveis suaves ... não é fácil colocar um cabo duro na minha bolsa sem colocar tensão nela (para trajeto diário para o escritório) ... isso faz com que eles quebrem facilmente antes do tempo "&amp;"... Também não é fácil de usar quando o celular está carregando ... ele pressiona os dois pontos, o lado do carregador e o lado móvel, o que novamente o torna vulnerável a rachaduras ... isso levanta uma questão sobre a longevidade do cabo ... ..As vamos "&amp;"fazer alguns cálculos ..... meu cabo OnePlus original durou 2 anos, cujo custo atualmente é Rs.1100 .... era macio, fácil de dobrar e manter na minha bolsa enquanto viaja diariamente para o trabalho .... O cabo Rs.1100 online tem 1,5 metro de comprimento,"&amp;" o que facilita o trabalho no telefone enquanto estiver conectado ..... Popio Cable custa Rs.400 atualmente (mas eles mostram 999, o que significa preço pode subir) ... então, mesmo que durar 6-8 meses, será mais caro para mim do que um cabo original em 2"&amp;" anos ... o cabo Popio tem 1 metro de comprimento, contra 1,5 metros de cabo original. . O uso de um cabo curto durante o carregamento lança a porta de carregamento do cabo e do telefone, o que é prejudicial para ambos, e também diminui a vida útil da por"&amp;"ta do cabo e do carregamento ... eles dizem que você deve considerar o custo ao escrever uma revisão. . Mas você também deve considerar o custo a longo prazo, não apenas o custo imediato ... .. então, se você estiver pensando em mudar seu telefone no futu"&amp;"ro e não quiser gastar muito em cabo, Popio é o Melhor opção disponível .... mas, se você estiver procurando uma solução de longo prazo e pode comprar um cabo Rs.1100, sugerirei ir para o original .... tem mais comprimento, é Soft, e dura mais com uso mod"&amp;"erado ..., eu pedi este cabo para 330/- na venda ontem. Quando conectei o cabo, ele não estava carregando rapidamente no meu OnePlus. Mas então imediatamente reservei um cabo de substituição que chegou esta manhã e o conectei e pronto! ""Charging rapidame"&amp;"nte"" agradecido, 2ª revisão de compra .... Comprada em 17 de julho de 2019, a acusação de traço parou de funcionar em 15 de setembro de 2019 ... dentro de 2 meses ... mas .... quando entrei em contato com eles no número do WhatsApp fornecido , eles imedi"&amp;"atamente me enviaram um novo cabo no dia seguinte .... 5 estrelas para manter a promessa e o profissionalismo ....----------------- Primeira revisão de compra : Escrevendo após 6 meses de uso ... tudo aconteceu como esperado e escrito abaixo após a compra"&amp;" ... Após 5-6 meses, o cabo interrompeu a conectividade do PC .... depois de um mês, começou a mostrar problemas ao carregar ... costumava carregar apenas em uma posição, e o carregamento costumava parar com pouco movimento ... finalmente teve que substit"&amp;"uí-lo por um novo após 6-7 meses ... como o preço agora é reduzido para 300, então direi bem Produto neste preço ... não duradouro ... se você quiser um cabo confiável, duradouro e longo, vá para o original do OnePlus Showroom ....--------------- --------"&amp;"---- (Revisão inicial escrita logo após a compra) Sim, ele suporta carga de traço e sem problemas de aquecimento ... (usando-o desde 3 dias). Um ponto negativo é um comprimento curto. . Tem 1 metro de comprimento ... o cabo original é de 1,5 metros ... po"&amp;"r isso é difícil usar meu telefone enquanto cobra ... outro ponto negativo que posso descobrir é que o cabo é realmente difícil ... no meu Experimente os cabos duros quebram com mais frequência do que os flexíveis macios ... não é fácil colocar um cabo du"&amp;"ro na minha bolsa sem pressionar (para viajar diariamente para o escritório) ... isso faz com que eles quebrem facilmente antes do tempo .. ... Cabos rígidos também não são fáceis de usar quando o celular está carregando ... ele pressiona os pontos, o lad"&amp;"o do carregador e o celular, o que novamente o torna vulnerável a rachaduras ... isso levanta uma questão sobre a longevidade do cabo ..... vamos fazer alguns cálculos ..... meu cabo OnePlus original durou 2 anos, cujo custo atualmente é Rs.1100 .... era "&amp;"macio, fácil de dobrar e manter no meu bolsa enquanto viaja diariamente para o trabalho .... o cabo Rs.1100 online tem 1,5 metro de comprimento, o que facilita o trabalho do telefone enquanto está conectado ..... Popio Cable custa Rs.400 no momento (mas e"&amp;"les mostram 999, o que significa que o preço pode subir) ... então, mesmo que durar 6-8 meses, será mais caro para mim do que um cabo original em 2 anos ... o cabo Popio tem 1 metro de comprimento, contra 1.5 Medidores de cabo original ... o preço tão efe"&amp;"tivo do cabo Popio é de Rs.500 para cabo de 1,5 metro ... o cabo Popio tem 1 metro de comprimento contra 1,5 metros de cabo original ... o que facilita o uso do telefone enquanto ele está carregando .... usar um cabo curto durante o carregamento licencia "&amp;"a porta de carregamento do cabo e do telefone, o que é prejudicial para ambos, e também diminui a vida útil da porta do cabo e do carregamento ... eles dizem que você deve considerar custo ao escrever uma revisão ... mas você também deve considerar o cust"&amp;"o a longo prazo, não apenas o custo imediato .... então, se você estiver pensando em mudar seu telefone no futuro e não quer gastar muito No cabo, Popio é a melhor opção disponível .... mas, se você estiver procurando uma solução de longo prazo e pode com"&amp;"prar um cabo Rs.1100, sugiro ir para o original .... tem mais comprimento, é macio e dura mais com uso moderado ...., o produto é bom, vale a pena comprar e a qualidade é ótima, o produto não suporta o carregamento rápido para o OnePlus 7T, a qualidade do"&amp;" fio é ótimo. A velocidade de carregamento é boa e a taxa de transferência é um pouco menos comparada ao cabo OnePlus original, de boa qualidade, duradouro")</f>
        <v>2ª revisão de compra .... Comprada em 17 de julho de 2019, o Dash Charge parou de trabalhar em 15 de setembro de 2019 ... dentro de 2 meses ... mas .... quando entrei em contato com eles no número do Whatsapp, eles me enviaram imediatamente um novo cabo no dia seguinte .... 5 estrelas para manter a promessa e o profissionalismo .... Uso ... tudo aconteceu como esperado e escrito abaixo após a compra ... Após 5-6 meses, o cabo interrompeu a conectividade do PC .... depois de um mês, começou a mostrar problemas ao carregar ... costumava carregar em uma posição Somente, e o carregamento costumava parar com pouco movimento ... finalmente teve que substituí-lo pelo novo após 6-7 meses ... como o preço agora é reduzido para 300, então direi um bom produto nesse preço. . Não é duradouro ... se você quer um cabo confiável, duradouro e longo, vá para o original do OnePlus Showroom ....--------------------- ------ (Revisão inicial escrita logo após a compra) Sim, ele suporta carga de traço e sem problemas de aquecimento ... (usando-o desde 3 dias). Um ponto negativo é de curta duração ... tem 1 metro de comprimento ... o cabo original é de 1,5 metros ... por isso é difícil usar meu telefone enquanto carregava ..... outro ponto negativo que eu posso descobrir é que o cabo é realmente difícil ... na minha experiência do que os flexíveis suaves ... não é fácil colocar um cabo duro na minha bolsa sem colocar tensão nela (para trajeto diário para o escritório) ... isso faz com que eles quebrem facilmente antes do tempo ... Também não é fácil de usar quando o celular está carregando ... ele pressiona os dois pontos, o lado do carregador e o lado móvel, o que novamente o torna vulnerável a rachaduras ... isso levanta uma questão sobre a longevidade do cabo ... ..As vamos fazer alguns cálculos ..... meu cabo OnePlus original durou 2 anos, cujo custo atualmente é Rs.1100 .... era macio, fácil de dobrar e manter na minha bolsa enquanto viaja diariamente para o trabalho .... O cabo Rs.1100 online tem 1,5 metro de comprimento, o que facilita o trabalho no telefone enquanto estiver conectado ..... Popio Cable custa Rs.400 atualmente (mas eles mostram 999, o que significa preço pode subir) ... então, mesmo que durar 6-8 meses, será mais caro para mim do que um cabo original em 2 anos ... o cabo Popio tem 1 metro de comprimento, contra 1,5 metros de cabo original. . O uso de um cabo curto durante o carregamento lança a porta de carregamento do cabo e do telefone, o que é prejudicial para ambos, e também diminui a vida útil da porta do cabo e do carregamento ... eles dizem que você deve considerar o custo ao escrever uma revisão. . Mas você também deve considerar o custo a longo prazo, não apenas o custo imediato ... .. então, se você estiver pensando em mudar seu telefone no futuro e não quiser gastar muito em cabo, Popio é o Melhor opção disponível .... mas, se você estiver procurando uma solução de longo prazo e pode comprar um cabo Rs.1100, sugerirei ir para o original .... tem mais comprimento, é Soft, e dura mais com uso moderado ..., eu pedi este cabo para 330/- na venda ontem. Quando conectei o cabo, ele não estava carregando rapidamente no meu OnePlus. Mas então imediatamente reservei um cabo de substituição que chegou esta manhã e o conectei e pronto! "Charging rapidamente" agradecido, 2ª revisão de compra .... Comprada em 17 de julho de 2019, a acusação de traço parou de funcionar em 15 de setembro de 2019 ... dentro de 2 meses ... mas .... quando entrei em contato com eles no número do WhatsApp fornecido , eles imediatamente me enviaram um novo cabo no dia seguinte .... 5 estrelas para manter a promessa e o profissionalismo ....----------------- Primeira revisão de compra : Escrevendo após 6 meses de uso ... tudo aconteceu como esperado e escrito abaixo após a compra ... Após 5-6 meses, o cabo interrompeu a conectividade do PC .... depois de um mês, começou a mostrar problemas ao carregar ... costumava carregar apenas em uma posição, e o carregamento costumava parar com pouco movimento ... finalmente teve que substituí-lo por um novo após 6-7 meses ... como o preço agora é reduzido para 300, então direi bem Produto neste preço ... não duradouro ... se você quiser um cabo confiável, duradouro e longo, vá para o original do OnePlus Showroom ....--------------- ------------ (Revisão inicial escrita logo após a compra) Sim, ele suporta carga de traço e sem problemas de aquecimento ... (usando-o desde 3 dias). Um ponto negativo é um comprimento curto. . Tem 1 metro de comprimento ... o cabo original é de 1,5 metros ... por isso é difícil usar meu telefone enquanto cobra ... outro ponto negativo que posso descobrir é que o cabo é realmente difícil ... no meu Experimente os cabos duros quebram com mais frequência do que os flexíveis macios ... não é fácil colocar um cabo duro na minha bolsa sem pressionar (para viajar diariamente para o escritório) ... isso faz com que eles quebrem facilmente antes do tempo .. ... Cabos rígidos também não são fáceis de usar quando o celular está carregando ... ele pressiona os pontos, o lado do carregador e o celular, o que novamente o torna vulnerável a rachaduras ... isso levanta uma questão sobre a longevidade do cabo ..... vamos fazer alguns cálculos ..... meu cabo OnePlus original durou 2 anos, cujo custo atualmente é Rs.1100 .... era macio, fácil de dobrar e manter no meu bolsa enquanto viaja diariamente para o trabalho .... o cabo Rs.1100 online tem 1,5 metro de comprimento, o que facilita o trabalho do telefone enquanto está conectado ..... Popio Cable custa Rs.400 no momento (mas eles mostram 999, o que significa que o preço pode subir) ... então, mesmo que durar 6-8 meses, será mais caro para mim do que um cabo original em 2 anos ... o cabo Popio tem 1 metro de comprimento, contra 1.5 Medidores de cabo original ... o preço tão efetivo do cabo Popio é de Rs.500 para cabo de 1,5 metro ... o cabo Popio tem 1 metro de comprimento contra 1,5 metros de cabo original ... o que facilita o uso do telefone enquanto ele está carregando .... usar um cabo curto durante o carregamento licencia a porta de carregamento do cabo e do telefone, o que é prejudicial para ambos, e também diminui a vida útil da porta do cabo e do carregamento ... eles dizem que você deve considerar custo ao escrever uma revisão ... mas você também deve considerar o custo a longo prazo, não apenas o custo imediato .... então, se você estiver pensando em mudar seu telefone no futuro e não quer gastar muito No cabo, Popio é a melhor opção disponível .... mas, se você estiver procurando uma solução de longo prazo e pode comprar um cabo Rs.1100, sugiro ir para o original .... tem mais comprimento, é macio e dura mais com uso moderado ...., o produto é bom, vale a pena comprar e a qualidade é ótima, o produto não suporta o carregamento rápido para o OnePlus 7T, a qualidade do fio é ótimo. A velocidade de carregamento é boa e a taxa de transferência é um pouco menos comparada ao cabo OnePlus original, de boa qualidade, duradouro</v>
      </c>
    </row>
    <row r="210">
      <c r="A210" s="9" t="s">
        <v>873</v>
      </c>
      <c r="B210" s="29" t="str">
        <f>VLOOKUP(dados!A210, reviews!A:G, 5, FALSE)</f>
        <v>Value for money,faulty product,Must buy,Best one,Fine with the charger,Not upto the mark…one time usage product,Value for money,review</v>
      </c>
      <c r="C210" s="29" t="str">
        <f>VLOOKUP(dados!A210, reviews!A:G, 6, FALSE)</f>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fine.,It’s not a fast charger, infact the charging works only one side. Doesn’t work as a data cable as wel. Wouldn’t recommend if someone is looking for data + charging. One time usage product.,Liked the product alot. Value for money,Good Product</v>
      </c>
      <c r="D210" s="29" t="str">
        <f>IFERROR(__xludf.DUMMYFUNCTION("GOOGLETRANSLATE(B210, ""en"", ""pt-br"")"),"Valor por dinheiro, produto defeituoso, deve comprar, melhor, multa com o carregador, não até a marca ... um produto de uso único, valor ao dinheiro, revisão")</f>
        <v>Valor por dinheiro, produto defeituoso, deve comprar, melhor, multa com o carregador, não até a marca ... um produto de uso único, valor ao dinheiro, revisão</v>
      </c>
      <c r="E210" s="29" t="str">
        <f>IFERROR(__xludf.DUMMYFUNCTION("GOOGLETRANSLATE(C210, ""en"", ""pt-br"")"),"Bom produto, o fio funcionou bem por 1,5 meses e depois iniciou problemas. Por alguns dias, eu não conseguia entender por que meu telefone não cobrou toda a noite e então eu percebi, os cabos para automaticamente para funcionar e começam por seu próprio d"&amp;"esejo, quando verificado chegou a saber que o produto tinha apenas um mês de garantia, isso é tão bom. A qualidade de cobrança é incrível. A durabilidade também é boa. Vale a pena comprar, bom produto, estou extremamente feliz com o carregador. Está funci"&amp;"onando bem., Não é um carregador rápido, de fato o carregamento funciona apenas de um lado. Não funciona como um cabo de dados como WEL. Não recomendaria se alguém estivesse procurando dados + carregamento. Um produto de uso único. Gostei muito do produto"&amp;". Valor ao dinheiro, bom produto")</f>
        <v>Bom produto, o fio funcionou bem por 1,5 meses e depois iniciou problemas. Por alguns dias, eu não conseguia entender por que meu telefone não cobrou toda a noite e então eu percebi, os cabos para automaticamente para funcionar e começam por seu próprio desejo, quando verificado chegou a saber que o produto tinha apenas um mês de garantia, isso é tão bom. A qualidade de cobrança é incrível. A durabilidade também é boa. Vale a pena comprar, bom produto, estou extremamente feliz com o carregador. Está funcionando bem., Não é um carregador rápido, de fato o carregamento funciona apenas de um lado. Não funciona como um cabo de dados como WEL. Não recomendaria se alguém estivesse procurando dados + carregamento. Um produto de uso único. Gostei muito do produto. Valor ao dinheiro, bom produto</v>
      </c>
    </row>
    <row r="211">
      <c r="A211" s="9" t="s">
        <v>877</v>
      </c>
      <c r="B211" s="29" t="str">
        <f>VLOOKUP(dados!A211, reviews!A:G, 5, FALSE)</f>
        <v>its not Universal,Tatasky remote from Amazon is cheapest, best,Good services by amazon,Okay product,1 item missing,Nice product,Ok,Good for general use</v>
      </c>
      <c r="C211" s="29" t="str">
        <f>VLOOKUP(dados!A211, reviews!A:G, 6, FALSE)</f>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v>
      </c>
      <c r="D211" s="29" t="str">
        <f>IFERROR(__xludf.DUMMYFUNCTION("GOOGLETRANSLATE(B211, ""en"", ""pt-br"")"),"Não é universal e tataky remoto da Amazon é mais barato, melhor, bons serviços da Amazon, produto OK, 1 item ausente, bom produto, ok, bom para uso geral")</f>
        <v>Não é universal e tataky remoto da Amazon é mais barato, melhor, bons serviços da Amazon, produto OK, 1 item ausente, bom produto, ok, bom para uso geral</v>
      </c>
      <c r="E211" s="29" t="str">
        <f>IFERROR(__xludf.DUMMYFUNCTION("GOOGLETRANSLATE(C211, ""en"", ""pt-br"")"),"O controle remoto é exato como o original. Mas não é um controle remoto universal. No entanto, por um determinado preço, seu valor pelo dinheiro funciona bem., Tata Sky Remote por Rs. 140 (incl. Impostos e entrega gratuita) vale dinheiro gasto. Não é orig"&amp;"inal, mas funcionando bem. O que mais você espera com esse menor custo e entrega mais rápida., Qulaity não é muito bom, mas ok conforme preço, parece diferente do meu controle remoto original, mas funcionando bem a partir de agora, o pedido feito para 2 c"&amp;"ontroles remotos e recebeu apenas 1, bom produto mas envie com baterias., Não é o esperado, é bom")</f>
        <v>O controle remoto é exato como o original. Mas não é um controle remoto universal. No entanto, por um determinado preço, seu valor pelo dinheiro funciona bem., Tata Sky Remote por Rs. 140 (incl. Impostos e entrega gratuita) vale dinheiro gasto. Não é original, mas funcionando bem. O que mais você espera com esse menor custo e entrega mais rápida., Qulaity não é muito bom, mas ok conforme preço, parece diferente do meu controle remoto original, mas funcionando bem a partir de agora, o pedido feito para 2 controles remotos e recebeu apenas 1, bom produto mas envie com baterias., Não é o esperado, é bom</v>
      </c>
    </row>
    <row r="212">
      <c r="A212" s="9" t="s">
        <v>881</v>
      </c>
      <c r="B212" s="29" t="str">
        <f>VLOOKUP(dados!A212, reviews!A:G, 5, FALSE)</f>
        <v>Beat projector for good price,Value for money,Excellent,Wow!!! Just wow!! 🔥🔥,Recently purchased and started using from yesterday,It's beautiful, premium portable useful gadget,Brightness is excellent.,Experience</v>
      </c>
      <c r="C212" s="29" t="str">
        <f>VLOOKUP(dados!A212, reviews!A:G, 6, FALSE)</f>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I’m really satisfied with the purchase! ❤️,I will put a detailed review after a month. However at first glance, this product is worth for 6500 rupees you pay.,,I give 5 out of 5 star because resolution is 720p.,</v>
      </c>
      <c r="D212" s="29" t="str">
        <f>IFERROR(__xludf.DUMMYFUNCTION("GOOGLETRANSLATE(B212, ""en"", ""pt-br"")"),"Bata o projetor por um bom preço, valor pelo dinheiro, excelente, uau !!! Apenas Uau!! 🔥🔥, comprado recentemente e começou a usar de ontem, é um gadget útil portátil bonito, o brilho é excelente., Experiência")</f>
        <v>Bata o projetor por um bom preço, valor pelo dinheiro, excelente, uau !!! Apenas Uau!! 🔥🔥, comprado recentemente e começou a usar de ontem, é um gadget útil portátil bonito, o brilho é excelente., Experiência</v>
      </c>
      <c r="E212" s="29" t="str">
        <f>IFERROR(__xludf.DUMMYFUNCTION("GOOGLETRANSLATE(C212, ""en"", ""pt-br"")"),"Bom projetor para essa faixa de preço ... boa qualidade de imagem .. design e acabamento elegantes também bom, mas baixo volume de áudio. É melhor usar alto -falantes extras ..., boa qualidade para o preço, foi incrível vê -lo no quadro geral em casa .. e"&amp;" o projetor de pixel estava balançando ... mas uma coisa podemos aproveitar bem o picture bem no mínimo ou sem luz ...., o projetor é tão bom para um pequeno home theater !! A saída de vídeo é muito boa de um pequeno dispositivo !!! Conectei -o com meu ba"&amp;"stão de fogo da Amazon !! Estou realmente satisfeito com a compra! ❤️, vou colocar uma revisão detalhada após um mês. No entanto, à primeira vista, este produto vale para 6500 rúpias que você paga., Dou 5 de 5 estrelas porque a resolução é 720p.,")</f>
        <v>Bom projetor para essa faixa de preço ... boa qualidade de imagem .. design e acabamento elegantes também bom, mas baixo volume de áudio. É melhor usar alto -falantes extras ..., boa qualidade para o preço, foi incrível vê -lo no quadro geral em casa .. e o projetor de pixel estava balançando ... mas uma coisa podemos aproveitar bem o picture bem no mínimo ou sem luz ...., o projetor é tão bom para um pequeno home theater !! A saída de vídeo é muito boa de um pequeno dispositivo !!! Conectei -o com meu bastão de fogo da Amazon !! Estou realmente satisfeito com a compra! ❤️, vou colocar uma revisão detalhada após um mês. No entanto, à primeira vista, este produto vale para 6500 rúpias que você paga., Dou 5 de 5 estrelas porque a resolução é 720p.,</v>
      </c>
    </row>
    <row r="213">
      <c r="A213" s="9" t="s">
        <v>885</v>
      </c>
      <c r="B213" s="29" t="str">
        <f>VLOOKUP(dados!A213, reviews!A:G, 5, FALSE)</f>
        <v>Value for money,Does the job,Waste of money product,Ok types,Waste product,Good for the price and works well with Tatasky remote,Don't buy it,It works</v>
      </c>
      <c r="C213" s="29" t="str">
        <f>VLOOKUP(dados!A213, reviews!A:G, 6, FALSE)</f>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v>
      </c>
      <c r="D213" s="29" t="str">
        <f>IFERROR(__xludf.DUMMYFUNCTION("GOOGLETRANSLATE(B213, ""en"", ""pt-br"")"),"Valor do dinheiro, o trabalho, desperdício de dinheiro, tipos OK, resíduos, bom para o preço e funciona bem com o Tatasky Remote, não compre, ele funciona")</f>
        <v>Valor do dinheiro, o trabalho, desperdício de dinheiro, tipos OK, resíduos, bom para o preço e funciona bem com o Tatasky Remote, não compre, ele funciona</v>
      </c>
      <c r="E213" s="29" t="str">
        <f>IFERROR(__xludf.DUMMYFUNCTION("GOOGLETRANSLATE(C213, ""en"", ""pt-br"")"),"Valor do dinheiro, o controle remoto é compatível com a nossa caixa de céu Tata e faz o trabalho, não durou mais de 15 dias e parou de funcionar. Absolutamente desperdício de dinheiro. Por favor, não opte por este produto, ok tipos para o valor, resíduos,"&amp;" não vende outro desperdício de dinheiro, é bom, funciona bem com o meu tataky. REM DURÁVEL, virá saber mais tarde. Até agora, eu pedi esse controle remoto sem saber que não é retornado. Não funciona com a TV e nem mesmo com a caixa superior. Ele pede out"&amp;"ro controle remoto (original) para capturar e configurar o sinal e configurar, em que mundo eu compraria esse absurdo se tivesse os controles remotos originais funcionando. Instead encomendou o controle remoto com o Sky Tata, que funcionará com a caixa su"&amp;"perior e a TV, Funciona")</f>
        <v>Valor do dinheiro, o controle remoto é compatível com a nossa caixa de céu Tata e faz o trabalho, não durou mais de 15 dias e parou de funcionar. Absolutamente desperdício de dinheiro. Por favor, não opte por este produto, ok tipos para o valor, resíduos, não vende outro desperdício de dinheiro, é bom, funciona bem com o meu tataky. REM DURÁVEL, virá saber mais tarde. Até agora, eu pedi esse controle remoto sem saber que não é retornado. Não funciona com a TV e nem mesmo com a caixa superior. Ele pede outro controle remoto (original) para capturar e configurar o sinal e configurar, em que mundo eu compraria esse absurdo se tivesse os controles remotos originais funcionando. Instead encomendou o controle remoto com o Sky Tata, que funcionará com a caixa superior e a TV, Funciona</v>
      </c>
    </row>
    <row r="214">
      <c r="A214" s="9" t="s">
        <v>889</v>
      </c>
      <c r="B214" s="29" t="str">
        <f>VLOOKUP(dados!A214, reviews!A:G, 5, FALSE)</f>
        <v>Nice,good,Paisa vassol,Sturdy and long.,Good for the price and great quality.,Works as expected,Good,Good</v>
      </c>
      <c r="C214" s="29" t="str">
        <f>VLOOKUP(dados!A214, reviews!A:G, 6, FALSE)</f>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v>
      </c>
      <c r="D214" s="29" t="str">
        <f>IFERROR(__xludf.DUMMYFUNCTION("GOOGLETRANSLATE(B214, ""en"", ""pt-br"")"),"Bom, bom, Paisa Vassol, resistente e longo., Bom para o preço e a ótima qualidade., Funciona como esperado, bom, bom")</f>
        <v>Bom, bom, Paisa Vassol, resistente e longo., Bom para o preço e a ótima qualidade., Funciona como esperado, bom, bom</v>
      </c>
      <c r="E214" s="29" t="str">
        <f>IFERROR(__xludf.DUMMYFUNCTION("GOOGLETRANSLATE(C214, ""en"", ""pt-br"")"),"Comprimento suficiente, excelente qualidade de construção, boa alternativa aos cabos genéricos, cabo forte, as extremidades do cabo são quase como borracha. Ouro revestido. O cabo também é de alta espessura., Por que eu comprei isso? Eu tenho DVR Rack, pa"&amp;"ra DVR, que está muito acima do limite de alcance, portanto, preciso que um mouse seja conectado à porta USB do DVR, que está no rack acima, alterações de alcance ? Mouse sem fio não funcionou bem com meu DVR em particular, tinha muito atraso, portanto, e"&amp;"u tive que recorrer a um extensor de porta USB com amplo comprimento: o cabo muito robusto capaz de se conectar ao meu dvr e a conexão é estável. Amazon Basics é muito confiável., Este cabo é bom para qualquer dispositivo que precise de extensão sobre imp"&amp;"ressoras USB 2.0, como impressoras, TVs, consoles de jogos, teclados etc. A qualidade de construção é boa. O material do cabo é macio para que não quebre. Os conectores são banhados a ouro e não enferrujam. Mas lembre -se, este cabo não fornecerá velocida"&amp;"des USB 3.0, mesmo se você o conectar a uma porta USB 3.0., Para USB 2.0, qualquer USB 3.0 se usado será se comportar como USB 2.0TYPE: Adirection: Fêmea a Malefunção: Extensão do comprimento do USBBuilt: Média Not Pano/Fibra BraiderLength: Como mencionad"&amp;"o obras para todas as conexões: Sim [incluindo PC \ Printer \ Console Pen Drive etc], o produto é conforme descrição, bom como o esperado.")</f>
        <v>Comprimento suficiente, excelente qualidade de construção, boa alternativa aos cabos genéricos, cabo forte, as extremidades do cabo são quase como borracha. Ouro revestido. O cabo também é de alta espessura., Por que eu comprei isso? Eu tenho DVR Rack, para DVR, que está muito acima do limite de alcance, portanto, preciso que um mouse seja conectado à porta USB do DVR, que está no rack acima, alterações de alcance ? Mouse sem fio não funcionou bem com meu DVR em particular, tinha muito atraso, portanto, eu tive que recorrer a um extensor de porta USB com amplo comprimento: o cabo muito robusto capaz de se conectar ao meu dvr e a conexão é estável. Amazon Basics é muito confiável., Este cabo é bom para qualquer dispositivo que precise de extensão sobre impressoras USB 2.0, como impressoras, TVs, consoles de jogos, teclados etc. A qualidade de construção é boa. O material do cabo é macio para que não quebre. Os conectores são banhados a ouro e não enferrujam. Mas lembre -se, este cabo não fornecerá velocidades USB 3.0, mesmo se você o conectar a uma porta USB 3.0., Para USB 2.0, qualquer USB 3.0 se usado será se comportar como USB 2.0TYPE: Adirection: Fêmea a Malefunção: Extensão do comprimento do USBBuilt: Média Not Pano/Fibra BraiderLength: Como mencionado obras para todas as conexões: Sim [incluindo PC \ Printer \ Console Pen Drive etc], o produto é conforme descrição, bom como o esperado.</v>
      </c>
    </row>
    <row r="215">
      <c r="A215" s="9" t="s">
        <v>893</v>
      </c>
      <c r="B215" s="29" t="str">
        <f>VLOOKUP(dados!A215, reviews!A:G, 5, FALSE)</f>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v>
      </c>
      <c r="C215" s="29" t="str">
        <f>VLOOKUP(dados!A215, reviews!A:G, 6, FALSE)</f>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It’s durable and charging power is also good.Recommended👍</v>
      </c>
      <c r="D215" s="29" t="str">
        <f>IFERROR(__xludf.DUMMYFUNCTION("GOOGLETRANSLATE(B215, ""en"", ""pt-br"")"),"Cabo perfeito para meu uso. Muito melhor do que o cabo da maçã fornecido com meu iPad, boa compra, boa qualidade, incrível qualidade de construção, excelente cabo rápido para o meu iPhone 11 Pro, bom produto (classificado como 5 estrelas mais cedo, mas ag"&amp;"ora reduzido a 3 estrelas, pois parou de funcionar dentro de 6 meses), não tão bom, bom, bom produto")</f>
        <v>Cabo perfeito para meu uso. Muito melhor do que o cabo da maçã fornecido com meu iPad, boa compra, boa qualidade, incrível qualidade de construção, excelente cabo rápido para o meu iPhone 11 Pro, bom produto (classificado como 5 estrelas mais cedo, mas agora reduzido a 3 estrelas, pois parou de funcionar dentro de 6 meses), não tão bom, bom, bom produto</v>
      </c>
      <c r="E215" s="29" t="str">
        <f>IFERROR(__xludf.DUMMYFUNCTION("GOOGLETRANSLATE(C215, ""en"", ""pt-br"")"),"Eu estava procurando um cabo durável para o meu iPad porque o cabo que a Apple fornece na caixa parece bastante frágil e realmente não inspira confiança. Além disso, eu uso meu iPad principalmente para jogos, por isso está quase sempre conectado ao meu PC"&amp;" durante os jogos. Então, eu precisava de um cabo realmente robusto, que pudesse carregar, sincronizar e me sentir bem ao fazê -lo. E esse cabo faz o trabalho perfeitamente !! é resistente. Meu iPad tirou algumas gotas da minha mesa e foi salvo meu cabo. "&amp;"Mesmo após 3 meses de abuso diário, esse cabo não tem sinais de desgaste. A velocidade de carga é a mesma do cabo de maçã original. E a velocidade de sincronização. Uma coisa que esse cabo faz melhor que o cabo original é a qualidade da conexão. Quase nun"&amp;"ca quebra acidentalmente a conexão enquanto se move demais, o que foi um problema com meu cabo original. Estou muito satisfeito com a compra e até tenho uma sobressalente em caso de emergência. Parece durável. Carrega meu iPhone muito bem. Obrigado Amazon"&amp;". ,,, O produto é bom, a qualidade da construção é boa e faz o que é dito na descrição do produto. Mas parou de funcionar dentro de 6 meses após o uso. O PROD foi encomendado em 22 de abril e agora em 22 de setembro não está cobrando o telefone. Entrei em"&amp;" contato com a Amazon para o mesmo e aguardando sua ajuda., Usei -o como um backup para carregar telefone no carro. O Apple Car Play parou de funcionar intermitentemente ao usar este cabo, bom produto, mas o PHN estava recebendo calor enquanto está com o "&amp;"seu cabo, este cabo está funcionando muito bem. É durável e o poder de carregamento também é bom. Recompensado👍")</f>
        <v>Eu estava procurando um cabo durável para o meu iPad porque o cabo que a Apple fornece na caixa parece bastante frágil e realmente não inspira confiança. Além disso, eu uso meu iPad principalmente para jogos, por isso está quase sempre conectado ao meu PC durante os jogos. Então, eu precisava de um cabo realmente robusto, que pudesse carregar, sincronizar e me sentir bem ao fazê -lo. E esse cabo faz o trabalho perfeitamente !! é resistente. Meu iPad tirou algumas gotas da minha mesa e foi salvo meu cabo. Mesmo após 3 meses de abuso diário, esse cabo não tem sinais de desgaste. A velocidade de carga é a mesma do cabo de maçã original. E a velocidade de sincronização. Uma coisa que esse cabo faz melhor que o cabo original é a qualidade da conexão. Quase nunca quebra acidentalmente a conexão enquanto se move demais, o que foi um problema com meu cabo original. Estou muito satisfeito com a compra e até tenho uma sobressalente em caso de emergência. Parece durável. Carrega meu iPhone muito bem. Obrigado Amazon. ,,, O produto é bom, a qualidade da construção é boa e faz o que é dito na descrição do produto. Mas parou de funcionar dentro de 6 meses após o uso. O PROD foi encomendado em 22 de abril e agora em 22 de setembro não está cobrando o telefone. Entrei em contato com a Amazon para o mesmo e aguardando sua ajuda., Usei -o como um backup para carregar telefone no carro. O Apple Car Play parou de funcionar intermitentemente ao usar este cabo, bom produto, mas o PHN estava recebendo calor enquanto está com o seu cabo, este cabo está funcionando muito bem. É durável e o poder de carregamento também é bom. Recompensado👍</v>
      </c>
    </row>
    <row r="216">
      <c r="A216" s="9" t="s">
        <v>897</v>
      </c>
      <c r="B216" s="29" t="str">
        <f>VLOOKUP(dados!A216, reviews!A:G, 5, FALSE)</f>
        <v>Good compatibility,Good Product,Good nice serves the purpose ..Build quality is also good .,Not meet the anticipation.,Good,Nive product worth for money.,Horrible experience,Thanks for prompt replacement.</v>
      </c>
      <c r="C216" s="29" t="str">
        <f>VLOOKUP(dados!A216, reviews!A:G, 6, FALSE)</f>
        <v>The remote works well and is pleasantly compatible with the system.,It's a good Remote. All the functions are working for tatasky,Nice quality,The back cover was loose and fragile.,👌,Good,मैंने tata play का remote मंगवाया था. पर वो काम नहीं कर रहा था. फिर रिटर्न के लिए apply किया. आज 19 दिन हो गए ना ही remote मिला और ना ही refund.,Very prompt replacement of the defective Remote for TV</v>
      </c>
      <c r="D216" s="29" t="str">
        <f>IFERROR(__xludf.DUMMYFUNCTION("GOOGLETRANSLATE(B216, ""en"", ""pt-br"")"),"Boa compatibilidade, bom produto, bom bom serve a propósito. A qualidade da construção também é boa., Não atenda à antecipação., Bom e Nive Product Worth for Money., Experiência horrível, obrigado por substituição rápida.")</f>
        <v>Boa compatibilidade, bom produto, bom bom serve a propósito. A qualidade da construção também é boa., Não atenda à antecipação., Bom e Nive Product Worth for Money., Experiência horrível, obrigado por substituição rápida.</v>
      </c>
      <c r="E216" s="29" t="str">
        <f>IFERROR(__xludf.DUMMYFUNCTION("GOOGLETRANSLATE(C216, ""en"", ""pt-br"")"),"O controle remoto funciona bem e é agradavelmente compatível com o sistema., É um bom controle remoto. Todas as funções estão funcionando para Tatasky, boa qualidade, a tampa traseira foi solta e frágil., 👌, boa, tata toca का remoto मंगवाया था. पर वो काम"&amp;" नहीं करहा था. फिर रिटर्न के Aplicar किया. आज 19 दिन हो गए ना ही Remoto मिला और ना ही Reembolso., Substituição muito rápida do controle remoto defeituoso para TV")</f>
        <v>O controle remoto funciona bem e é agradavelmente compatível com o sistema., É um bom controle remoto. Todas as funções estão funcionando para Tatasky, boa qualidade, a tampa traseira foi solta e frágil., 👌, boa, tata toca का remoto मंगवाया था. पर वो काम नहीं करहा था. फिर रिटर्न के Aplicar किया. आज 19 दिन हो गए ना ही Remoto मिला और ना ही Reembolso., Substituição muito rápida do controle remoto defeituoso para TV</v>
      </c>
    </row>
    <row r="217">
      <c r="A217" s="9" t="s">
        <v>901</v>
      </c>
      <c r="B217" s="29" t="str">
        <f>VLOOKUP(dados!A217, reviews!A:G, 5, FALSE)</f>
        <v>Nice,Nice product,Value for money,Karbonn,Good,Nice product,Not suitable for external monitor purpose,Good</v>
      </c>
      <c r="C217" s="29" t="str">
        <f>VLOOKUP(dados!A217, reviews!A:G, 6, FALSE)</f>
        <v>Nice product,Nice product,Ok good,,Good,अच्छा,Only for home drama and cinema experienceGood to buy in this price rangeReview after two months its working fine without any issues,</v>
      </c>
      <c r="D217" s="29" t="str">
        <f>IFERROR(__xludf.DUMMYFUNCTION("GOOGLETRANSLATE(B217, ""en"", ""pt-br"")"),"Bom, bom produto, valor para dinheiro, karbonn, bom, bom produto, não adequado para fins de monitor externo, bom")</f>
        <v>Bom, bom produto, valor para dinheiro, karbonn, bom, bom produto, não adequado para fins de monitor externo, bom</v>
      </c>
      <c r="E217" s="29" t="str">
        <f>IFERROR(__xludf.DUMMYFUNCTION("GOOGLETRANSLATE(C217, ""en"", ""pt-br"")"),"Bom produto, bom produto, ok bom ,, bom, अच्छा, apenas para drama doméstico e experiência em cinema para comprar neste preço rangereview após dois meses está funcionando bem sem problemas,")</f>
        <v>Bom produto, bom produto, ok bom ,, bom, अच्छा, apenas para drama doméstico e experiência em cinema para comprar neste preço rangereview após dois meses está funcionando bem sem problemas,</v>
      </c>
    </row>
    <row r="218">
      <c r="A218" s="9" t="s">
        <v>905</v>
      </c>
      <c r="B218" s="29" t="str">
        <f>VLOOKUP(dados!A218, reviews!A:G, 5, FALSE)</f>
        <v>Almost Perfect!,Review After using 1month,Nice tv,Panel and video quality,Good Product,Worth for money,Nice,Good</v>
      </c>
      <c r="C218" s="29" t="str">
        <f>VLOOKUP(dados!A218, reviews!A:G, 6, FALSE)</f>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v>
      </c>
      <c r="D218" s="29" t="str">
        <f>IFERROR(__xludf.DUMMYFUNCTION("GOOGLETRANSLATE(B218, ""en"", ""pt-br"")"),"Quase perfeito!, Revise depois de usar 1 mês, qualidade de TV, painel e vídeo, bom produto, valor por dinheiro, bom, bom")</f>
        <v>Quase perfeito!, Revise depois de usar 1 mês, qualidade de TV, painel e vídeo, bom produto, valor por dinheiro, bom, bom</v>
      </c>
      <c r="E218" s="29" t="str">
        <f>IFERROR(__xludf.DUMMYFUNCTION("GOOGLETRANSLATE(C218, ""en"", ""pt-br"")"),"Atualização após 9 meses de uso: 1. A TV ainda está forte - todos os pontos positivos mencionados na resenha original abaixo ainda são verdadeiros e muito felizes com a TV. É como se o OnePlus estivesse ouvindo seus clientes! Após as atualizações recentes"&amp;" de firmware, os problemas que mencionei quase desapareceram. Agora podemos organizar e mover aplicativos (YouTube, Netflix), conforme nosso desejo na própria tela inicial. Finalmente, sou capaz de colocar o YouTube em primeiro lugar, pois é o aplicativo "&amp;"mais usado para minha criança. Não há mais problemas de desconexão do WiFi observados anteriormente. Prime Video ainda mostra erros às vezes. Embora eu ache que isso seja um problema com o aplicativo e não a TV. Recomendo esta TV! Revisão original: dei um"&amp;" salto de fé na compra desta TV, pois havia críticas mistas para isso. No entanto, depois de usá -lo por 2 meses, a seguir são minhas observações: Bom: 1. A qualidade da imagem é fantástica. Não há atraso ao assistir/encaminhar vídeos 4K/8K.2. Vi uma revi"&amp;"são do YouTube, que dizia que seu brilho era baixo em comparação com outros modelos - o brilho é mais do que você precisaria de uma TV. Eu nunca precisei executá -lo com brilho total até agora, até 40 trabalhos para mim. Para minha criança assistir rimas,"&amp;" defino o brilho para 0 e, mesmo assim, é mais do que o necessário. Houve algumas críticas que diziam que a qualidade do som era média e você precisa de uma barra de som. Eu discordo - eu assisti filmes com até 50 som e isso é bom o suficiente para um sal"&amp;"ão de 1000 pés quadrados.4. Comando de voz - é bastante preciso e sou capaz de trocar rimas de berçário para o meu bebê enquanto trabalha na cozinha, que fica a cerca de 15 a 20 pés de distância.5. Ser capaz de controlar a TV do aplicativo também é um rec"&amp;"urso muito útil - não é necessário procurar remoto. Ser capaz de lançar a partir do aplicativo também ajuda muito. Seria ainda melhor se tudo no telefone (não apenas fotos e vídeos) pudesse ser lançado usando o appnot tão bom: 1. Se a TV dormir/protetor d"&amp;"e tela por mais de 10 minutos, a. Muitas vezes, é desconectado do wifi - precisa reiniciá -lo novamente. O Prime Video falha em retomar - exibe erro - e precisa reiniciar a TV novamente. Na tela inicial, você não pode reorganizar os aplicativos para ter s"&amp;"eus aplicativos preferidos primeiro. Você pode fazê -lo na janela de aplicativos, o que é inútil, pois você precisa navegar primeiro - mais fácil de navegar para o seu aplicativo preferido na própria tela inicial. Somente contras Por outra revisão do usuá"&amp;"rio, mas recebi essa TV em 32 K, AO em todo o Satishied, apenas menos que muito crítico é o provedor de serviços de instalação. O produto deve instalar o provedor de serviços de instalação de cuidados. O provedor de serviços de instalação é um desperdício"&amp;" total e não respondeu corretamente. A data da instalação foi em 21.02.22, mas só foi feita pelo provedor de serviços em 27.10.22.O executivo que participou da instalação é uma pessoa residual e não sabe como se comportar com o cliente. Ele se comportou m"&amp;"uito rudemente. O provedor de serviços de instalação é um dano e desperdício total. Nem um pouco valor. ,, Qualidade impressionante de fotos e alguns problemas com recursos inteligentes, como na instalação de aplicativos e em conexão com apenas um player "&amp;"de áudio do smartphone no trabalho corretamente, mas o vídeo não é exibido na TV., Dolby Atom 4 K Video etc. Bom")</f>
        <v>Atualização após 9 meses de uso: 1. A TV ainda está forte - todos os pontos positivos mencionados na resenha original abaixo ainda são verdadeiros e muito felizes com a TV. É como se o OnePlus estivesse ouvindo seus clientes! Após as atualizações recentes de firmware, os problemas que mencionei quase desapareceram. Agora podemos organizar e mover aplicativos (YouTube, Netflix), conforme nosso desejo na própria tela inicial. Finalmente, sou capaz de colocar o YouTube em primeiro lugar, pois é o aplicativo mais usado para minha criança. Não há mais problemas de desconexão do WiFi observados anteriormente. Prime Video ainda mostra erros às vezes. Embora eu ache que isso seja um problema com o aplicativo e não a TV. Recomendo esta TV! Revisão original: dei um salto de fé na compra desta TV, pois havia críticas mistas para isso. No entanto, depois de usá -lo por 2 meses, a seguir são minhas observações: Bom: 1. A qualidade da imagem é fantástica. Não há atraso ao assistir/encaminhar vídeos 4K/8K.2. Vi uma revisão do YouTube, que dizia que seu brilho era baixo em comparação com outros modelos - o brilho é mais do que você precisaria de uma TV. Eu nunca precisei executá -lo com brilho total até agora, até 40 trabalhos para mim. Para minha criança assistir rimas, defino o brilho para 0 e, mesmo assim, é mais do que o necessário. Houve algumas críticas que diziam que a qualidade do som era média e você precisa de uma barra de som. Eu discordo - eu assisti filmes com até 50 som e isso é bom o suficiente para um salão de 1000 pés quadrados.4. Comando de voz - é bastante preciso e sou capaz de trocar rimas de berçário para o meu bebê enquanto trabalha na cozinha, que fica a cerca de 15 a 20 pés de distância.5. Ser capaz de controlar a TV do aplicativo também é um recurso muito útil - não é necessário procurar remoto. Ser capaz de lançar a partir do aplicativo também ajuda muito. Seria ainda melhor se tudo no telefone (não apenas fotos e vídeos) pudesse ser lançado usando o appnot tão bom: 1. Se a TV dormir/protetor de tela por mais de 10 minutos, a. Muitas vezes, é desconectado do wifi - precisa reiniciá -lo novamente. O Prime Video falha em retomar - exibe erro - e precisa reiniciar a TV novamente. Na tela inicial, você não pode reorganizar os aplicativos para ter seus aplicativos preferidos primeiro. Você pode fazê -lo na janela de aplicativos, o que é inútil, pois você precisa navegar primeiro - mais fácil de navegar para o seu aplicativo preferido na própria tela inicial. Somente contras Por outra revisão do usuário, mas recebi essa TV em 32 K, AO em todo o Satishied, apenas menos que muito crítico é o provedor de serviços de instalação. O produto deve instalar o provedor de serviços de instalação de cuidados. O provedor de serviços de instalação é um desperdício total e não respondeu corretamente. A data da instalação foi em 21.02.22, mas só foi feita pelo provedor de serviços em 27.10.22.O executivo que participou da instalação é uma pessoa residual e não sabe como se comportar com o cliente. Ele se comportou muito rudemente. O provedor de serviços de instalação é um dano e desperdício total. Nem um pouco valor. ,, Qualidade impressionante de fotos e alguns problemas com recursos inteligentes, como na instalação de aplicativos e em conexão com apenas um player de áudio do smartphone no trabalho corretamente, mas o vídeo não é exibido na TV., Dolby Atom 4 K Video etc. Bom</v>
      </c>
    </row>
    <row r="219">
      <c r="A219" s="9" t="s">
        <v>909</v>
      </c>
      <c r="B219" s="29" t="str">
        <f>VLOOKUP(dados!A219, reviews!A:G, 5, FALSE)</f>
        <v>It's working perfectly for my mi stick,It's a genuine product,good items. value for money.,good,Good quality product,value for money,Nice picture quality,Good Product</v>
      </c>
      <c r="C219" s="29" t="str">
        <f>VLOOKUP(dados!A219, reviews!A:G, 6, FALSE)</f>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v>
      </c>
      <c r="D219" s="29" t="str">
        <f>IFERROR(__xludf.DUMMYFUNCTION("GOOGLETRANSLATE(B219, ""en"", ""pt-br"")"),"Está funcionando perfeitamente para o meu Mi Stick, é um produto genuíno, bons itens. valor ao dinheiro., Produto de boa qualidade, valor para dinheiro, qualidade de imagem agradável, bom produto")</f>
        <v>Está funcionando perfeitamente para o meu Mi Stick, é um produto genuíno, bons itens. valor ao dinheiro., Produto de boa qualidade, valor para dinheiro, qualidade de imagem agradável, bom produto</v>
      </c>
      <c r="E219" s="29" t="str">
        <f>IFERROR(__xludf.DUMMYFUNCTION("GOOGLETRANSLATE(C219, ""en"", ""pt-br"")"),"Estou usando isso de 6 meses atrás, está funcionando para mim até agora. Deve comprar. Funciona bem. I HV encomende isso para a Amazon Fire Stick. Ainda não tendo problemas. Altamente recomendado., Bom., Continue assim, bom produto, estou usando -o para o"&amp;" Firestick. Funciona perfeitamente bem. O cabo é demorado sem perda de qualidade até ainda.")</f>
        <v>Estou usando isso de 6 meses atrás, está funcionando para mim até agora. Deve comprar. Funciona bem. I HV encomende isso para a Amazon Fire Stick. Ainda não tendo problemas. Altamente recomendado., Bom., Continue assim, bom produto, estou usando -o para o Firestick. Funciona perfeitamente bem. O cabo é demorado sem perda de qualidade até ainda.</v>
      </c>
    </row>
    <row r="220">
      <c r="A220" s="9" t="s">
        <v>913</v>
      </c>
      <c r="B220" s="29" t="str">
        <f>VLOOKUP(dados!A220, reviews!A:G, 5, FALSE)</f>
        <v>Good Quality Product,Good Product,Good,Perfect HDMI coupler,Very Good Connector,Does the job,Product is good but not working with Fire tv stick.,Perfect</v>
      </c>
      <c r="C220" s="29" t="str">
        <f>VLOOKUP(dados!A220, reviews!A:G, 6, FALSE)</f>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v>
      </c>
      <c r="D220" s="29" t="str">
        <f>IFERROR(__xludf.DUMMYFUNCTION("GOOGLETRANSLATE(B220, ""en"", ""pt-br"")"),"Produto de boa qualidade, bom produto, bom e perfeito acoplador HDMI, conector muito bom, o trabalho, o produto é bom, mas não está trabalhando com o Fire TV Stick., Perfeito")</f>
        <v>Produto de boa qualidade, bom produto, bom e perfeito acoplador HDMI, conector muito bom, o trabalho, o produto é bom, mas não está trabalhando com o Fire TV Stick., Perfeito</v>
      </c>
      <c r="E220" s="29" t="str">
        <f>IFERROR(__xludf.DUMMYFUNCTION("GOOGLETRANSLATE(C220, ""en"", ""pt-br"")"),"Trabalhando como esperado, o bom produto, funciona perfeitamente com o Amazon Firestick, funciona, funciona bem, sem problemas de atraso e desconexão. Boa qualidade., Conector muito bom, comprei para o meu projetor, pois meu cabo HDMI era curto para chega"&amp;"r à porta. Eu junte o cabo 2 HDMI com a ajuda deste acoplador. Eu fiquei como um chram e economizei dinheiro para comprar um cabo longo., O produto é bom, mas não trabalhando com o Fire TV Stick., Bom ajuste")</f>
        <v>Trabalhando como esperado, o bom produto, funciona perfeitamente com o Amazon Firestick, funciona, funciona bem, sem problemas de atraso e desconexão. Boa qualidade., Conector muito bom, comprei para o meu projetor, pois meu cabo HDMI era curto para chegar à porta. Eu junte o cabo 2 HDMI com a ajuda deste acoplador. Eu fiquei como um chram e economizei dinheiro para comprar um cabo longo., O produto é bom, mas não trabalhando com o Fire TV Stick., Bom ajuste</v>
      </c>
    </row>
    <row r="221">
      <c r="A221" s="9" t="s">
        <v>919</v>
      </c>
      <c r="B221" s="29" t="str">
        <f>VLOOKUP(dados!A221, reviews!A:G, 5, FALSE)</f>
        <v>Low quality material use,Good one,Cable is good,Charging,Good,Good,Best car charging cable,Subscribe My channel - Tunetworks GAming</v>
      </c>
      <c r="C221" s="29" t="str">
        <f>VLOOKUP(dados!A221, reviews!A:G, 6, FALSE)</f>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 used it for a week but it was performing the same</v>
      </c>
      <c r="D221" s="29" t="str">
        <f>IFERROR(__xludf.DUMMYFUNCTION("GOOGLETRANSLATE(B221, ""en"", ""pt-br"")"),"Uso de material de baixa qualidade, bom, o cabo é bom, carregando, bom, bom, melhor carro de carregamento de carro, assine meu canal - TuNetworks Gaming")</f>
        <v>Uso de material de baixa qualidade, bom, o cabo é bom, carregando, bom, bom, melhor carro de carregamento de carro, assine meu canal - TuNetworks Gaming</v>
      </c>
      <c r="E221" s="29" t="str">
        <f>IFERROR(__xludf.DUMMYFUNCTION("GOOGLETRANSLATE(C221, ""en"", ""pt-br"")"),"Este é o produto de baixa qualidade de uso de material de baixa qualidade, eu o comprei durante as obras de viagem perfeitas, este é o meu segundo cabo e é bom e alternativo para a maçã, mas preciso verificar a durabilidade na pista, extremamente feliz co"&amp;"m qualidade e robusta, boa ! Não há mais mudança de cabos todos os anos ou SOO., Como eu preciso do suporte do Apple CarPlay, isso é perfeito sem atraso. Qualquer pessoa que tenha a porta USB Tipo A em carro precisa deste para executar o Apple CarPlay com"&amp;" aparentemente., Extremamente durável e eficiente para o carro, o carregamento é muito lento, leva mais de 3 horas por carga total, também a capacidade da bateria está diminuindo de 93% para 90% e isso é ruim 😑 o usou por uma semana, mas estava realizand"&amp;"o o mesmo")</f>
        <v>Este é o produto de baixa qualidade de uso de material de baixa qualidade, eu o comprei durante as obras de viagem perfeitas, este é o meu segundo cabo e é bom e alternativo para a maçã, mas preciso verificar a durabilidade na pista, extremamente feliz com qualidade e robusta, boa ! Não há mais mudança de cabos todos os anos ou SOO., Como eu preciso do suporte do Apple CarPlay, isso é perfeito sem atraso. Qualquer pessoa que tenha a porta USB Tipo A em carro precisa deste para executar o Apple CarPlay com aparentemente., Extremamente durável e eficiente para o carro, o carregamento é muito lento, leva mais de 3 horas por carga total, também a capacidade da bateria está diminuindo de 93% para 90% e isso é ruim 😑 o usou por uma semana, mas estava realizando o mesmo</v>
      </c>
    </row>
    <row r="222">
      <c r="A222" s="9" t="s">
        <v>923</v>
      </c>
      <c r="B222" s="29" t="str">
        <f>VLOOKUP(dados!A222, reviews!A:G, 5, FALSE)</f>
        <v>Satisfied,Charging is really fast,Value for money,Product review,Good quality,Good product,Good Product,As of now seems good</v>
      </c>
      <c r="C222" s="29" t="str">
        <f>VLOOKUP(dados!A222, reviews!A:G, 6, FALSE)</f>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v>
      </c>
      <c r="D222" s="29" t="str">
        <f>IFERROR(__xludf.DUMMYFUNCTION("GOOGLETRANSLATE(B222, ""en"", ""pt-br"")"),"Satisfeito, cobrar é muito rápido, valor ao dinheiro, revisão de produtos, boa qualidade, bom produto, bom produto, a partir de agora parece bom")</f>
        <v>Satisfeito, cobrar é muito rápido, valor ao dinheiro, revisão de produtos, boa qualidade, bom produto, bom produto, a partir de agora parece bom</v>
      </c>
      <c r="E222" s="29" t="str">
        <f>IFERROR(__xludf.DUMMYFUNCTION("GOOGLETRANSLATE(C222, ""en"", ""pt-br"")"),"Parece que o carregamento durável é bom que reclama, o carregamento é muito rápido, bom produto., Até agora, satisfeito com a qualidade., Este é um bom produto. A velocidade de carregamento é mais lenta que o cabo original do iPhone, de boa qualidade, rec"&amp;"omendaria https: //m.media-amazon.com/images/i/81---f1zghl._sy88.jpg,product funcionou bem até a data e não estava tendo nenhum problema. A CABLE também é robusta o suficiente ... pediu substituição e a empresa está fazendo o mesmo ..., valor ao dinheiro")</f>
        <v>Parece que o carregamento durável é bom que reclama, o carregamento é muito rápido, bom produto., Até agora, satisfeito com a qualidade., Este é um bom produto. A velocidade de carregamento é mais lenta que o cabo original do iPhone, de boa qualidade, recomendaria https: //m.media-amazon.com/images/i/81---f1zghl._sy88.jpg,product funcionou bem até a data e não estava tendo nenhum problema. A CABLE também é robusta o suficiente ... pediu substituição e a empresa está fazendo o mesmo ..., valor ao dinheiro</v>
      </c>
    </row>
    <row r="223">
      <c r="A223" s="9" t="s">
        <v>927</v>
      </c>
      <c r="B223" s="29" t="str">
        <f>VLOOKUP(dados!A223, reviews!A:G, 5, FALSE)</f>
        <v>Good product,Bit price high.,Not the best,Issue with On off Button since first day.,Nice remote,Good,Stopped working in 1 month,Awesome product</v>
      </c>
      <c r="C223" s="29" t="str">
        <f>VLOOKUP(dados!A223, reviews!A:G, 6, FALSE)</f>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v>
      </c>
      <c r="D223" s="29" t="str">
        <f>IFERROR(__xludf.DUMMYFUNCTION("GOOGLETRANSLATE(B223, ""en"", ""pt-br"")"),"Bom produto, preço de bit alto., Não é o melhor, problema com o botão ON OFF desde o primeiro dia., Nice remoto, bom, parou de trabalhar em 1 mês, produto incrível")</f>
        <v>Bom produto, preço de bit alto., Não é o melhor, problema com o botão ON OFF desde o primeiro dia., Nice remoto, bom, parou de trabalhar em 1 mês, produto incrível</v>
      </c>
      <c r="E223" s="29" t="str">
        <f>IFERROR(__xludf.DUMMYFUNCTION("GOOGLETRANSLATE(C223, ""en"", ""pt-br"")"),"Durável, mas pouco lento, compre no mercado de mais de 300 rslocal, podemos obtê-lo 150-200/-funcionalidade e durabilidade ok, mas o preço é um pouco alto .., baixa qualidade. trabalhando bem. Eu quero redefinir o controle remoto da Airtel. Como faço isso"&amp;"?, Trabalhando, revise depois de aumentar a reclamação ao atendimento ao cliente: eles realmente o levaram prioridade e se ressentiram do novo produto. Está realmente funcionando bem a partir de agora. A maioria das chaves parou de funcionar dentro de um "&amp;"mês. E nem mesmo 2 meses o controle remoto inteiro não está funcionando., O produto incrível funciona muito bem")</f>
        <v>Durável, mas pouco lento, compre no mercado de mais de 300 rslocal, podemos obtê-lo 150-200/-funcionalidade e durabilidade ok, mas o preço é um pouco alto .., baixa qualidade. trabalhando bem. Eu quero redefinir o controle remoto da Airtel. Como faço isso?, Trabalhando, revise depois de aumentar a reclamação ao atendimento ao cliente: eles realmente o levaram prioridade e se ressentiram do novo produto. Está realmente funcionando bem a partir de agora. A maioria das chaves parou de funcionar dentro de um mês. E nem mesmo 2 meses o controle remoto inteiro não está funcionando., O produto incrível funciona muito bem</v>
      </c>
    </row>
    <row r="224">
      <c r="A224" s="9" t="s">
        <v>931</v>
      </c>
      <c r="B224" s="29" t="str">
        <f>VLOOKUP(dados!A224, reviews!A:G, 5, FALSE)</f>
        <v>Good for monitors and light weight TVs,Good adherness but adjustment screw is weak to adhere screen properly,Good,Quality is good,Good product, but has a fault,Space saver,DIY install a bit difficult,Very strong and sturdy</v>
      </c>
      <c r="C224" s="29" t="str">
        <f>VLOOKUP(dados!A224, reviews!A:G, 6, FALSE)</f>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down.👍🏻,Self install a bit difficult. The plate connecting to monitor could have been removable and drop in clamp . This would make fixing a breeze,It's doing the job well. My 27" monitor is holding it firmly on the wall.</v>
      </c>
      <c r="D224" s="29" t="str">
        <f>IFERROR(__xludf.DUMMYFUNCTION("GOOGLETRANSLATE(B224, ""en"", ""pt-br"")"),"Bom para monitores e TVs leves, boa adesão, mas parafuso de ajuste é fraco para aderir à tela corretamente, boa, qualidade é boa, bom produto, mas tem uma falha, economizador espacial, DIY instale um pouco difícil, muito forte e robusto")</f>
        <v>Bom para monitores e TVs leves, boa adesão, mas parafuso de ajuste é fraco para aderir à tela corretamente, boa, qualidade é boa, bom produto, mas tem uma falha, economizador espacial, DIY instale um pouco difícil, muito forte e robusto</v>
      </c>
      <c r="E224" s="29" t="str">
        <f>IFERROR(__xludf.DUMMYFUNCTION("GOOGLETRANSLATE(C224, ""en"", ""pt-br"")"),"Estou usando-o para o monitor Dell de 22 polegadas e achei difícil encaixar, portanto, tive que visitar a loja de fabricação para suavizar os cantos, caso contrário, é muito bom, a qualidade do produto é boa. Mas não se adequou claramente ao monitor Samsu"&amp;"ng que eu tenho. Eu tive que remover uma parte específica atrás do monitor e ajustei esse suporte de parede. Até agora, nenhum problema., O produto é bom. Estou usando o monitor Benq EX2780Q. Se mantém bem o suficiente, mas há apenas 2 lugares para estrag"&amp;"á -lo. Isso faz com que você duvide às vezes o tempo que isso pode aguentar o peso do monitor. Eu o uso nos últimos 2 meses e não enfrentei nenhum problema. Outro problema com este Montioe é a borracha usada para girar o Montioe é barata e é quebrada apen"&amp;"as inicialmente. Mas substituído por nozes adequadas e isso funcionou bem para o veredicto mefinal: bom monitor de montagem na parede, tomando facilmente 5 kg de peso. . Muito fácil de instalar. Produto muito resistente. Nunca sinta que o monitor cairá. "&amp;"👍🏻, eu instale -se um pouco difícil. A placa conectada ao monitor poderia ter sido removível e cair no grampo. Isso faria a fixação de uma brisa, está fazendo bem o trabalho. Meu monitor de 27 ""está segurando -o firmemente na parede.")</f>
        <v>Estou usando-o para o monitor Dell de 22 polegadas e achei difícil encaixar, portanto, tive que visitar a loja de fabricação para suavizar os cantos, caso contrário, é muito bom, a qualidade do produto é boa. Mas não se adequou claramente ao monitor Samsung que eu tenho. Eu tive que remover uma parte específica atrás do monitor e ajustei esse suporte de parede. Até agora, nenhum problema., O produto é bom. Estou usando o monitor Benq EX2780Q. Se mantém bem o suficiente, mas há apenas 2 lugares para estragá -lo. Isso faz com que você duvide às vezes o tempo que isso pode aguentar o peso do monitor. Eu o uso nos últimos 2 meses e não enfrentei nenhum problema. Outro problema com este Montioe é a borracha usada para girar o Montioe é barata e é quebrada apenas inicialmente. Mas substituído por nozes adequadas e isso funcionou bem para o veredicto mefinal: bom monitor de montagem na parede, tomando facilmente 5 kg de peso. . Muito fácil de instalar. Produto muito resistente. Nunca sinta que o monitor cairá. 👍🏻, eu instale -se um pouco difícil. A placa conectada ao monitor poderia ter sido removível e cair no grampo. Isso faria a fixação de uma brisa, está fazendo bem o trabalho. Meu monitor de 27 "está segurando -o firmemente na parede.</v>
      </c>
    </row>
    <row r="225">
      <c r="A225" s="9" t="s">
        <v>935</v>
      </c>
      <c r="B225" s="29" t="str">
        <f>VLOOKUP(dados!A225, reviews!A:G, 5, FALSE)</f>
        <v>Good,Works with Samsung Fold 4 fast charge,Ok,Nice product,Great Cable for Charging,Charging problem seen a little bit,Best cable,A good contender for well known branded C2C cables.</v>
      </c>
      <c r="C225" s="29" t="str">
        <f>VLOOKUP(dados!A225, reviews!A:G, 6, FALSE)</f>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 My Buddy k3 • Brillo 3 • Power Plate 7 • Mobot one • Clamp M •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v>
      </c>
      <c r="D225" s="29" t="str">
        <f>IFERROR(__xludf.DUMMYFUNCTION("GOOGLETRANSLATE(B225, ""en"", ""pt-br"")"),"Bom, trabalha com a Samsung Fold 4 Fast Charge, OK, bom produto, ótimo cabo para carregar, problema de carregamento visto um pouco, melhor cabo, um bom candidato a cabos C2C de marca bem conhecidos.")</f>
        <v>Bom, trabalha com a Samsung Fold 4 Fast Charge, OK, bom produto, ótimo cabo para carregar, problema de carregamento visto um pouco, melhor cabo, um bom candidato a cabos C2C de marca bem conhecidos.</v>
      </c>
      <c r="E225" s="29" t="str">
        <f>IFERROR(__xludf.DUMMYFUNCTION("GOOGLETRANSLATE(C225, ""en"", ""pt-br"")"),"Bom, usando -o para Samsung Z Fold 4 com um carregador de 30w de Ambrane. O lado do design é muito prático. Vale a pena o dinheiro., Muito útil, muito agradável nessa faixa de preço, a qualidade do cabo é ótima e é bem construído, ambos os lados são conec"&amp;"tores em forma de L (1 lado do cabo deveria ter sido regular, pois a porta do modelador l bloqueia outras portas e Se você tem um suporte para celular, não pode usar esse cabo. É muito ruim para a transferência de dados, mesmo um arquivo de 1 GB leva 5 ou"&amp;" mais minutos. Telefone, é ótimo. .Btw, algumas semanas depois, comido pela nossa cabra. Uma vantagem adicional de 90 ° Conectores. [Preço da oferta: ₹ 139] Longa revisão: Tenho usado produtos de retratos ultimamente e tenho que apreciar a qualidade e a i"&amp;"novação que eles trazem para os usuários finais. Produtos que possuo da Retratics: • Meu amigo K3 • Brillo 3 • Placa de energia 7 • MOBOT ONE • CLAMP M • KONNECT LALL Os produtos que comprei da Retrthics não apenas atendiam às minhas expectativas, mas ele"&amp;"s tiveram um desempenho além disso. Isso me fez começar a construir confiança na marca. Uso o S21 Ultra, que pode ser cobrado em 25W e esse cabo suporta o mesmo com o carregador original da Samsung. Acredito firmemente que o produto funcionaria na entrega"&amp;" de energia nominal (60W). Parece e parece resistente e espero que também seja durável. As extremidades de 90 ° mantêm os cabos afastados sem interferir no espaço de trabalho. Funciona o melhor ao jogar jogos de Battle Royale, pois o cabo não vai atrapalh"&amp;"ar. A combinação de cores cinza e preta funciona como um encanto e se mistura com dispositivos Apple. As velocidades de transferência de dados ainda não foram testadas. Vou atualizar aqui assim que tiver entradas suficientes sobre o mesmo. Este cabo Tipo "&amp;"C para Tipo C, se você precisar carregar dispositivos a 60W ou menos.")</f>
        <v>Bom, usando -o para Samsung Z Fold 4 com um carregador de 30w de Ambrane. O lado do design é muito prático. Vale a pena o dinheiro., Muito útil, muito agradável nessa faixa de preço, a qualidade do cabo é ótima e é bem construído, ambos os lados são conectores em forma de L (1 lado do cabo deveria ter sido regular, pois a porta do modelador l bloqueia outras portas e Se você tem um suporte para celular, não pode usar esse cabo. É muito ruim para a transferência de dados, mesmo um arquivo de 1 GB leva 5 ou mais minutos. Telefone, é ótimo. .Btw, algumas semanas depois, comido pela nossa cabra. Uma vantagem adicional de 90 ° Conectores. [Preço da oferta: ₹ 139] Longa revisão: Tenho usado produtos de retratos ultimamente e tenho que apreciar a qualidade e a inovação que eles trazem para os usuários finais. Produtos que possuo da Retratics: • Meu amigo K3 • Brillo 3 • Placa de energia 7 • MOBOT ONE • CLAMP M • KONNECT LALL Os produtos que comprei da Retrthics não apenas atendiam às minhas expectativas, mas eles tiveram um desempenho além disso. Isso me fez começar a construir confiança na marca. Uso o S21 Ultra, que pode ser cobrado em 25W e esse cabo suporta o mesmo com o carregador original da Samsung. Acredito firmemente que o produto funcionaria na entrega de energia nominal (60W). Parece e parece resistente e espero que também seja durável. As extremidades de 90 ° mantêm os cabos afastados sem interferir no espaço de trabalho. Funciona o melhor ao jogar jogos de Battle Royale, pois o cabo não vai atrapalhar. A combinação de cores cinza e preta funciona como um encanto e se mistura com dispositivos Apple. As velocidades de transferência de dados ainda não foram testadas. Vou atualizar aqui assim que tiver entradas suficientes sobre o mesmo. Este cabo Tipo C para Tipo C, se você precisar carregar dispositivos a 60W ou menos.</v>
      </c>
    </row>
    <row r="226">
      <c r="A226" s="9" t="s">
        <v>939</v>
      </c>
      <c r="B226" s="29" t="str">
        <f>VLOOKUP(dados!A226, reviews!A:G, 5, FALSE)</f>
        <v>Very good product,All items is really good,value money,Good,Worthy product,Ok,Quality and Price marks Top.,Delivery too late , but nice products</v>
      </c>
      <c r="C226" s="29" t="str">
        <f>VLOOKUP(dados!A226, reviews!A:G, 6, FALSE)</f>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v>
      </c>
      <c r="D226" s="29" t="str">
        <f>IFERROR(__xludf.DUMMYFUNCTION("GOOGLETRANSLATE(B226, ""en"", ""pt-br"")"),"Produto muito bom, todos os itens são realmente bons, valor de valor, produto bom e digno, ok, qualidade e marcas de preços., Entrega tarde demais, mas produtos agradáveis")</f>
        <v>Produto muito bom, todos os itens são realmente bons, valor de valor, produto bom e digno, ok, qualidade e marcas de preços., Entrega tarde demais, mas produtos agradáveis</v>
      </c>
      <c r="E226" s="29" t="str">
        <f>IFERROR(__xludf.DUMMYFUNCTION("GOOGLETRANSLATE(C226, ""en"", ""pt-br"")"),"https://m.media-amazon.com/images/i/61t7yikcrxl._sy88.jpg,Good, uma instalação de uma instalação muito rápida, bom serviço, bom serviço melhor de todos os tempos e tudo é bom e totalmente satisfeito, bom, bom, HD e não HD Separeverything é absolutamente p"&amp;"ara as expectativas, ok, eu estava usando o Sky Tata por volta de 10 anos. Quando eu foi instalado, eram cerca de 2500rs que estão realmente saqueando pessoas da classe média e também para recarga que eu costumava pagar 350rs e realmente foi uma situação "&amp;"muito horrível no passado. As pessoas da aldeia são realmente saqueadas muito dessas pessoas de instalação, os chamados engenheiros. Um dia eu estava checando o Google e encontrei esta caixa de configuração com 1000rs e chocada e senti que era uma piada. "&amp;"Depois de se aproximar da Amazon, percebi que está percebendo que está true.e eu pedi uma caixa para a minha TV UHD de 55 polegadas, como eles esperavam os chamados engenheiros nunca chegaram a tempo. E eu recebi uma ligação com o suporte ao cliente para "&amp;"cancelá -lo. Então eles responderam e vieram entregar e instalar. Esses engenheiros são realmente talentosos e começaram a adicionar preços para tudo o que já paguei. ex. Remoto, Wire, Antena. Eles começaram a cobrar por tudo. Lá, percebi, como essas pess"&amp;"oas saqueando pessoas sem instrução ou desconhecem. Portanto, esteja ciente de sempre que estiver comprando qualquer verificação do produto e faça perguntas para tudo. A qualidade do vídeo e os canais HD com um preço menos é realmente incrível. Tata Sky é"&amp;" a marca de materiais e o software de qualidade de imagem é realmente ótimo e fácil de usar., Obrigado")</f>
        <v>https://m.media-amazon.com/images/i/61t7yikcrxl._sy88.jpg,Good, uma instalação de uma instalação muito rápida, bom serviço, bom serviço melhor de todos os tempos e tudo é bom e totalmente satisfeito, bom, bom, HD e não HD Separeverything é absolutamente para as expectativas, ok, eu estava usando o Sky Tata por volta de 10 anos. Quando eu foi instalado, eram cerca de 2500rs que estão realmente saqueando pessoas da classe média e também para recarga que eu costumava pagar 350rs e realmente foi uma situação muito horrível no passado. As pessoas da aldeia são realmente saqueadas muito dessas pessoas de instalação, os chamados engenheiros. Um dia eu estava checando o Google e encontrei esta caixa de configuração com 1000rs e chocada e senti que era uma piada. Depois de se aproximar da Amazon, percebi que está percebendo que está true.e eu pedi uma caixa para a minha TV UHD de 55 polegadas, como eles esperavam os chamados engenheiros nunca chegaram a tempo. E eu recebi uma ligação com o suporte ao cliente para cancelá -lo. Então eles responderam e vieram entregar e instalar. Esses engenheiros são realmente talentosos e começaram a adicionar preços para tudo o que já paguei. ex. Remoto, Wire, Antena. Eles começaram a cobrar por tudo. Lá, percebi, como essas pessoas saqueando pessoas sem instrução ou desconhecem. Portanto, esteja ciente de sempre que estiver comprando qualquer verificação do produto e faça perguntas para tudo. A qualidade do vídeo e os canais HD com um preço menos é realmente incrível. Tata Sky é a marca de materiais e o software de qualidade de imagem é realmente ótimo e fácil de usar., Obrigado</v>
      </c>
    </row>
    <row r="227">
      <c r="A227" s="9" t="s">
        <v>946</v>
      </c>
      <c r="B227" s="29" t="str">
        <f>VLOOKUP(dados!A227, reviews!A:G, 5, FALSE)</f>
        <v>Nice product.... Works well... Satisfactory purchase....,Not original Samsung remote,Nice,Not a bad deal,very good,Plastic quality,Works perfect!,Work well</v>
      </c>
      <c r="C227" s="29" t="str">
        <f>VLOOKUP(dados!A227, reviews!A:G, 6, FALSE)</f>
        <v>Cheap price.... Looks good..... Value for money....,Product is not strong , assembled pets are loose and not fixed firmly . Works fine with Samsung . Have to wait and see it’s durability,You can buy it, nice,Can buy,very good suitable for my samsung tv,Plastic quality not good,True to its name, it works absolutely fine with the Samsung led.Just the Netflix and prime buttons aren't there bt great to use otherwise,Plastic quality is not good</v>
      </c>
      <c r="D227" s="29" t="str">
        <f>IFERROR(__xludf.DUMMYFUNCTION("GOOGLETRANSLATE(B227, ""en"", ""pt-br"")"),"Bom produto .... funciona bem ... compra satisfatória ...., não é original Samsung Remote, Nice, não é um mau negócio, muito bom, qualidade de plástico, funciona perfeitamente!, Funciona bem")</f>
        <v>Bom produto .... funciona bem ... compra satisfatória ...., não é original Samsung Remote, Nice, não é um mau negócio, muito bom, qualidade de plástico, funciona perfeitamente!, Funciona bem</v>
      </c>
      <c r="E227" s="29" t="str">
        <f>IFERROR(__xludf.DUMMYFUNCTION("GOOGLETRANSLATE(C227, ""en"", ""pt-br"")"),"Preço barato .... parece bom ..... valor do dinheiro ...., o produto não é forte, os animais de estimação montados estão soltos e não são fixos firmemente. Funciona bem com a Samsung. Tenho que esperar e ver sua durabilidade, você pode comprá -lo, legal, "&amp;"pode comprar, muito bom adequado para minha TV Samsung, qualidade de plástico não bom, fiel ao seu nome, funciona absolutamente bem com o Samsung liderado. Just the Netflix e Prime os botões não estão lá se seja ótimo de usar de outra forma, a qualidade d"&amp;"o plástico não é boa")</f>
        <v>Preço barato .... parece bom ..... valor do dinheiro ...., o produto não é forte, os animais de estimação montados estão soltos e não são fixos firmemente. Funciona bem com a Samsung. Tenho que esperar e ver sua durabilidade, você pode comprá -lo, legal, pode comprar, muito bom adequado para minha TV Samsung, qualidade de plástico não bom, fiel ao seu nome, funciona absolutamente bem com o Samsung liderado. Just the Netflix e Prime os botões não estão lá se seja ótimo de usar de outra forma, a qualidade do plástico não é boa</v>
      </c>
    </row>
    <row r="228">
      <c r="A228" s="9" t="s">
        <v>950</v>
      </c>
      <c r="B228" s="29" t="str">
        <f>VLOOKUP(dados!A228, reviews!A:G, 5, FALSE)</f>
        <v>Better than original sony remote control,Good delivery time,Recommend to buy,Value for money but with other considerations,Excellent,Good,Superb,Excellent product!! Works well</v>
      </c>
      <c r="C228" s="29" t="str">
        <f>VLOOKUP(dados!A228, reviews!A:G, 6, FALSE)</f>
        <v>Superb… am writing this after 2 months usage… simply super product… should go blindly…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v>
      </c>
      <c r="D228" s="29" t="str">
        <f>IFERROR(__xludf.DUMMYFUNCTION("GOOGLETRANSLATE(B228, ""en"", ""pt-br"")"),"Melhor do que o controle remoto da Sony original, bom tempo de entrega, recomendar comprar, valor ao dinheiro, mas com outras considerações, excelente, excelente, excelente, excelente produto !! Funciona bem")</f>
        <v>Melhor do que o controle remoto da Sony original, bom tempo de entrega, recomendar comprar, valor ao dinheiro, mas com outras considerações, excelente, excelente, excelente, excelente produto !! Funciona bem</v>
      </c>
      <c r="E228" s="29" t="str">
        <f>IFERROR(__xludf.DUMMYFUNCTION("GOOGLETRANSLATE(C228, ""en"", ""pt-br"")"),"Soberbo ... estou escrevendo isso após 2 meses de uso ... simplesmente super produto ... deve ir às cegas ... nunca insatisfeito ..., ok, pode comprar nessa faixa de preço, a entrega foi rápida, mas a qualidade do produto não é muito promissora. A bateria"&amp;" foi atingida no controle remoto, embora esteja funcionando bem para o meu Sony D100, mas talvez eu tenha que quebrar o controle remoto para tirar a bateria, descanse, acho que está tudo bem pelo preço., Excelente. Recebido não estava funcionando, mas o v"&amp;"endedor o substituiu e isso está funcionando bem., O preço é bom. A qualidade também é super, muito obrigado por vender este produto com o melhor preço.")</f>
        <v>Soberbo ... estou escrevendo isso após 2 meses de uso ... simplesmente super produto ... deve ir às cegas ... nunca insatisfeito ..., ok, pode comprar nessa faixa de preço, a entrega foi rápida, mas a qualidade do produto não é muito promissora. A bateria foi atingida no controle remoto, embora esteja funcionando bem para o meu Sony D100, mas talvez eu tenha que quebrar o controle remoto para tirar a bateria, descanse, acho que está tudo bem pelo preço., Excelente. Recebido não estava funcionando, mas o vendedor o substituiu e isso está funcionando bem., O preço é bom. A qualidade também é super, muito obrigado por vender este produto com o melhor preço.</v>
      </c>
    </row>
    <row r="229">
      <c r="A229" s="9" t="s">
        <v>954</v>
      </c>
      <c r="B229" s="29" t="str">
        <f>VLOOKUP(dados!A229, reviews!A:G, 5, FALSE)</f>
        <v>Good quality but not superb,Good,Good,Not working properly,Must buy,Authentic. Orignal. Excellent,Not so good,Worth every paisa</v>
      </c>
      <c r="C229" s="29" t="str">
        <f>VLOOKUP(dados!A229, reviews!A:G, 6, FALSE)</f>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v>
      </c>
      <c r="D229" s="29" t="str">
        <f>IFERROR(__xludf.DUMMYFUNCTION("GOOGLETRANSLATE(B229, ""en"", ""pt-br"")"),"Boa qualidade, mas não excelente, boa, boa, não funcionando corretamente, deve comprar, autêntica. Orignal. Excelente, não tão bom, vale a pena cada Paisa")</f>
        <v>Boa qualidade, mas não excelente, boa, boa, não funcionando corretamente, deve comprar, autêntica. Orignal. Excelente, não tão bom, vale a pena cada Paisa</v>
      </c>
      <c r="E229" s="29" t="str">
        <f>IFERROR(__xludf.DUMMYFUNCTION("GOOGLETRANSLATE(C229, ""en"", ""pt-br"")"),"Como ok, o produto especificado, bom, sim, é um produto muito bom, experimentei muitos fios, mas apenas isso funcionou no meu sansui 65inch. A garantia de 2 anos do vendedor é a melhor parte, às vezes não está funcionando corretamente, o produto funciona "&amp;"bem, sem atrasos no vídeo/áudio, definitivamente vale a pena todos os paisa gastos nele. Não posso comentar sua durabilidade após uma semana de uso. Eu preciso de mais tempo.")</f>
        <v>Como ok, o produto especificado, bom, sim, é um produto muito bom, experimentei muitos fios, mas apenas isso funcionou no meu sansui 65inch. A garantia de 2 anos do vendedor é a melhor parte, às vezes não está funcionando corretamente, o produto funciona bem, sem atrasos no vídeo/áudio, definitivamente vale a pena todos os paisa gastos nele. Não posso comentar sua durabilidade após uma semana de uso. Eu preciso de mais tempo.</v>
      </c>
    </row>
    <row r="230">
      <c r="A230" s="9" t="s">
        <v>958</v>
      </c>
      <c r="B230" s="29" t="str">
        <f>VLOOKUP(dados!A230, reviews!A:G, 5, FALSE)</f>
        <v>Worst product wornout after 2 months,Good product,Awesome | great,Worth a buy,Best Product!,Great one compare to original cable,Worked for a month, the power supply isn't as mentioned.,Ehh bhut lambi haii</v>
      </c>
      <c r="C230" s="29" t="str">
        <f>VLOOKUP(dados!A230, reviews!A:G, 6, FALSE)</f>
        <v>Product is not working after 2 months,Boat💕,Nice product,Worth a buy,Really satisfying quality and product is still working fine.,Worth itSame as original,Not worthy,Thik aaw</v>
      </c>
      <c r="D230" s="29" t="str">
        <f>IFERROR(__xludf.DUMMYFUNCTION("GOOGLETRANSLATE(B230, ""en"", ""pt-br"")"),"O pior produto cansado após 2 meses, bom produto, incrível | Ótimo, vale uma compra, melhor produto!, Ótima comparação ao cabo original, trabalhado por um mês, a fonte de alimentação não é mencionada., ehh bhut lambi haii")</f>
        <v>O pior produto cansado após 2 meses, bom produto, incrível | Ótimo, vale uma compra, melhor produto!, Ótima comparação ao cabo original, trabalhado por um mês, a fonte de alimentação não é mencionada., ehh bhut lambi haii</v>
      </c>
      <c r="E230" s="29" t="str">
        <f>IFERROR(__xludf.DUMMYFUNCTION("GOOGLETRANSLATE(C230, ""en"", ""pt-br"")"),"O produto não está funcionando depois de 2 meses, barco💕, bom produto, vale uma compra, qualidade e produto realmente satisfatórios ainda estão funcionando bem., Vale a pena como original, não digno, Thik Aaw")</f>
        <v>O produto não está funcionando depois de 2 meses, barco💕, bom produto, vale uma compra, qualidade e produto realmente satisfatórios ainda estão funcionando bem., Vale a pena como original, não digno, Thik Aaw</v>
      </c>
    </row>
    <row r="231">
      <c r="A231" s="9" t="s">
        <v>962</v>
      </c>
      <c r="B231" s="29" t="str">
        <f>VLOOKUP(dados!A231, reviews!A:G, 5, FALSE)</f>
        <v>Very good quality.,Nice product,Not a fast charger....,nice,A Good Type C adapter,Nice product,Value for money and easy to use.,Good</v>
      </c>
      <c r="C231" s="29" t="str">
        <f>VLOOKUP(dados!A231, reviews!A:G, 6, FALSE)</f>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v>
      </c>
      <c r="D231" s="29" t="str">
        <f>IFERROR(__xludf.DUMMYFUNCTION("GOOGLETRANSLATE(B231, ""en"", ""pt-br"")"),"Muito boa qualidade., Bom produto, não um carregador rápido ...., bom, um bom adaptador do tipo C, bom produto, valor para dinheiro e fácil de usar., Bom")</f>
        <v>Muito boa qualidade., Bom produto, não um carregador rápido ...., bom, um bom adaptador do tipo C, bom produto, valor para dinheiro e fácil de usar., Bom</v>
      </c>
      <c r="E231" s="29" t="str">
        <f>IFERROR(__xludf.DUMMYFUNCTION("GOOGLETRANSLATE(C231, ""en"", ""pt-br"")"),"Como: Transferência rápida de dados, antipatia: obtendo o hot -se em 2 minutos e deixe outros pêndrives ficarem quentes também., Produto, qualidade construída, velocidade de transferência tudo de bom. Pequeno tamanho tão fácil e transporta para qualquer l"&amp;"ugar. Mas a conta que recebi nada é visível., Não cobra rápido ... não parece um carregador de 20W .. CABLE É BOM, bem, eu o comprei para copiar coisas do meu telefone para USB e vice -versa. Funciona bem para esse fim. O encaixe é perfeito e sem problema"&amp;"s de conexão., Https: //m.media-amazon.com/images/w/webp_402378-t2/images/i/71jnasjtmul._sy88.jpg, produto., Trabalhando bem")</f>
        <v>Como: Transferência rápida de dados, antipatia: obtendo o hot -se em 2 minutos e deixe outros pêndrives ficarem quentes também., Produto, qualidade construída, velocidade de transferência tudo de bom. Pequeno tamanho tão fácil e transporta para qualquer lugar. Mas a conta que recebi nada é visível., Não cobra rápido ... não parece um carregador de 20W .. CABLE É BOM, bem, eu o comprei para copiar coisas do meu telefone para USB e vice -versa. Funciona bem para esse fim. O encaixe é perfeito e sem problemas de conexão., Https: //m.media-amazon.com/images/w/webp_402378-t2/images/i/71jnasjtmul._sy88.jpg, produto., Trabalhando bem</v>
      </c>
    </row>
    <row r="232">
      <c r="A232" s="9" t="s">
        <v>966</v>
      </c>
      <c r="B232" s="29" t="str">
        <f>VLOOKUP(dados!A232, reviews!A:G, 5, FALSE)</f>
        <v>Awsome quality,Nice item,Better Display Port Cable,Works! GTX1650 Super, DELL 2520D (MST),Value for money,Not Vesa certified cable.,YOU CAN BUY IT UNDOUBTEDLY.,Check Display settings as soon as you install this cable.</v>
      </c>
      <c r="C232" s="29" t="str">
        <f>VLOOKUP(dados!A232, reviews!A:G, 6, FALSE)</f>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v>
      </c>
      <c r="D232" s="29" t="str">
        <f>IFERROR(__xludf.DUMMYFUNCTION("GOOGLETRANSLATE(B232, ""en"", ""pt-br"")"),"Qualidade incrível, bom item, melhor cabo de porta de exibição, funciona! GTX1650 SUPER, Dell 2520D (MST), Valor do dinheiro, não Cabo certificado pela VESA., Você pode comprá -lo sem dúvida., Verifique as configurações de exibição assim que instalar este"&amp;" cabo.")</f>
        <v>Qualidade incrível, bom item, melhor cabo de porta de exibição, funciona! GTX1650 SUPER, Dell 2520D (MST), Valor do dinheiro, não Cabo certificado pela VESA., Você pode comprá -lo sem dúvida., Verifique as configurações de exibição assim que instalar este cabo.</v>
      </c>
      <c r="E232" s="29" t="str">
        <f>IFERROR(__xludf.DUMMYFUNCTION("GOOGLETRANSLATE(C232, ""en"", ""pt-br"")"),"A Amazon deve fornecer 2 mtr com comprimento do cabo, muito boa qualidade, item agradável, recebido em boas embalagens., Os cabos estão funcionando perfeitamente e não há diferença de cor com ele., Funciona perfeitamente com o GTX 1650 Super (Asus TUF) e "&amp;"Dell 2520D Com uma área de trabalho única na configuração do monitor duplo (multi-stream). O truque para descobrir é como o cabo se encaixa na sua porta DP, ambos os lados. Isso se encaixa perfeitamente com o GTX e eu sabia que isso vai funcionar. Não há "&amp;"necessidade de fazer nenhum vodu com cabos de puxar, ligando isso e para fazer com que o cabo DP funcione, apenas funciona diretamente para fora da caixa. O dongle está anexado ao 1º dos dois monitores Dell 2520D. O mouse funciona quando estou visualizand"&amp;"o a tela PD do tipo C com meus laptops. Caso contrário, as taxas de áudio, vídeo, resolução e atualização não se incomodam. A resistência pode ser uma pergunta, vamos esperar e observar ao longo dos dias. Muito comentou que esse cabo não durou muito., Mel"&amp;"hor no orçamento., Este não é um cabo certificado pela VESA. Às vezes, o monitor fica preto por 3 a 4 segundos. ,, O produto é bom, já faz quase uma semana que estou usando este cabo. Estou usando um monitor LG 24Gm77 (1080p 144Hz) assim que instalei este"&amp;" cabo, o visor continuou na taxa de atualização padrão (60 Hz). Então entrei nas configurações de exibição do Windows (pois as configurações da NVIDIA não tinham taxa de atualização mais de 60 Hz) para alterar a taxa de atualização para 144 Hz e trocou se"&amp;"m problemas. Evite empurrões no monitor, pois imaginei que o visor dispare para um breve empurrão de 1 ou 2 segundos. Descanse a qualidade do cabo é boa, no entanto, os bloqueios nas portas de exibição podem ser apreciados. Descanse tudo está bem. Espero "&amp;"que esta revisão possa ser útil. Obrigado.")</f>
        <v>A Amazon deve fornecer 2 mtr com comprimento do cabo, muito boa qualidade, item agradável, recebido em boas embalagens., Os cabos estão funcionando perfeitamente e não há diferença de cor com ele., Funciona perfeitamente com o GTX 1650 Super (Asus TUF) e Dell 2520D Com uma área de trabalho única na configuração do monitor duplo (multi-stream). O truque para descobrir é como o cabo se encaixa na sua porta DP, ambos os lados. Isso se encaixa perfeitamente com o GTX e eu sabia que isso vai funcionar. Não há necessidade de fazer nenhum vodu com cabos de puxar, ligando isso e para fazer com que o cabo DP funcione, apenas funciona diretamente para fora da caixa. O dongle está anexado ao 1º dos dois monitores Dell 2520D. O mouse funciona quando estou visualizando a tela PD do tipo C com meus laptops. Caso contrário, as taxas de áudio, vídeo, resolução e atualização não se incomodam. A resistência pode ser uma pergunta, vamos esperar e observar ao longo dos dias. Muito comentou que esse cabo não durou muito., Melhor no orçamento., Este não é um cabo certificado pela VESA. Às vezes, o monitor fica preto por 3 a 4 segundos. ,, O produto é bom, já faz quase uma semana que estou usando este cabo. Estou usando um monitor LG 24Gm77 (1080p 144Hz) assim que instalei este cabo, o visor continuou na taxa de atualização padrão (60 Hz). Então entrei nas configurações de exibição do Windows (pois as configurações da NVIDIA não tinham taxa de atualização mais de 60 Hz) para alterar a taxa de atualização para 144 Hz e trocou sem problemas. Evite empurrões no monitor, pois imaginei que o visor dispare para um breve empurrão de 1 ou 2 segundos. Descanse a qualidade do cabo é boa, no entanto, os bloqueios nas portas de exibição podem ser apreciados. Descanse tudo está bem. Espero que esta revisão possa ser útil. Obrigado.</v>
      </c>
    </row>
    <row r="233">
      <c r="A233" s="9" t="s">
        <v>972</v>
      </c>
      <c r="B233" s="29" t="str">
        <f>VLOOKUP(dados!A233, reviews!A:G, 5, FALSE)</f>
        <v>It's super,Value of money 💰,Display and build,Good Sound and pictures,Good product 👍,Good and smart tv for reasonable rate,Good for low budget,Tv is good but after 3  month my tv screen gone</v>
      </c>
      <c r="C233" s="29" t="str">
        <f>VLOOKUP(dados!A233, reviews!A:G, 6, FALSE)</f>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v>
      </c>
      <c r="D233" s="29" t="str">
        <f>IFERROR(__xludf.DUMMYFUNCTION("GOOGLETRANSLATE(B233, ""en"", ""pt-br"")"),"É super, valor do dinheiro 💰, exibir e construir, bom som e fotos, bom produto 👍, TV boa e inteligente por uma taxa razoável, bom para baixo orçamento, a TV é boa, mas após 3 meses minha tela de TV foi")</f>
        <v>É super, valor do dinheiro 💰, exibir e construir, bom som e fotos, bom produto 👍, TV boa e inteligente por uma taxa razoável, bom para baixo orçamento, a TV é boa, mas após 3 meses minha tela de TV foi</v>
      </c>
      <c r="E233" s="29" t="str">
        <f>IFERROR(__xludf.DUMMYFUNCTION("GOOGLETRANSLATE(C233, ""en"", ""pt-br"")"),"É uma paz muito boa o que eu li., As instituições gratuitas são muito caras e difíceis de prasasan, mas obrigado pela Amazon, minha resenha é após 2 meses de compra de TV Mi 55inchi como a qualidade da sua qualidade. 55 polegadas é muito grande e em escur"&amp;"o parece que a qualidade do teatro é melhor e muito barulhenta, o baixo é bom com o alto -falante de 40w, sem problemas e android sem um bom armazenamento com todas as portas com Dolby Vision HDR 10no problema com Pachtwallconsi Chromecast, acho que devo "&amp;"ser resolvido na atualização da TV, outros recursos são incríveis, compre -o ...., boa, boa clareza boa, bom produto, boa TV para uma taxa razoável. Até agora, a TV está funcionando bem e a qualidade da imagem também é excelente. A qualidade do som também"&amp;" é boa, mas baixa em comparação com a Sony ou a Samsung, de qualquer forma, conectei -me à barra de som, para que isso não me importe mais. O reconhecimento de voz e os comandos funcionam bem. Ao todo, é uma boa TV para comprar. Estou apenas decepcionado "&amp;"é que eu havia encomendado a TV com 8 GB de memória interna, mas recebi 4 GB. Eu realmente não entendo a lógica por trás disso., Bom para pessoas de baixo orçamento, depois de 3 meses minha tela de TV se foi.")</f>
        <v>É uma paz muito boa o que eu li., As instituições gratuitas são muito caras e difíceis de prasasan, mas obrigado pela Amazon, minha resenha é após 2 meses de compra de TV Mi 55inchi como a qualidade da sua qualidade. 55 polegadas é muito grande e em escuro parece que a qualidade do teatro é melhor e muito barulhenta, o baixo é bom com o alto -falante de 40w, sem problemas e android sem um bom armazenamento com todas as portas com Dolby Vision HDR 10no problema com Pachtwallconsi Chromecast, acho que devo ser resolvido na atualização da TV, outros recursos são incríveis, compre -o ...., boa, boa clareza boa, bom produto, boa TV para uma taxa razoável. Até agora, a TV está funcionando bem e a qualidade da imagem também é excelente. A qualidade do som também é boa, mas baixa em comparação com a Sony ou a Samsung, de qualquer forma, conectei -me à barra de som, para que isso não me importe mais. O reconhecimento de voz e os comandos funcionam bem. Ao todo, é uma boa TV para comprar. Estou apenas decepcionado é que eu havia encomendado a TV com 8 GB de memória interna, mas recebi 4 GB. Eu realmente não entendo a lógica por trás disso., Bom para pessoas de baixo orçamento, depois de 3 meses minha tela de TV se foi.</v>
      </c>
    </row>
    <row r="234">
      <c r="A234" s="9" t="s">
        <v>976</v>
      </c>
      <c r="B234" s="29" t="str">
        <f>VLOOKUP(dados!A234, reviews!A:G, 5, FALSE)</f>
        <v>Good TV in budget!,Excellent purchase.,A master piece fron sansui,Using good,Value for money 👍,Sound quality not good,Appropriate,Good</v>
      </c>
      <c r="C234" s="29" t="str">
        <f>VLOOKUP(dados!A234, reviews!A:G, 6, FALSE)</f>
        <v>It’s doesn’t support Alexa (What is mentioned in product description, it’s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v>
      </c>
      <c r="D234" s="29" t="str">
        <f>IFERROR(__xludf.DUMMYFUNCTION("GOOGLETRANSLATE(B234, ""en"", ""pt-br"")"),"Bom TV em orçamento!, Excelente compra., Uma obra -prima do sansui, usando boa, valor para dinheiro 👍, qualidade do som não boa, apropriada, boa")</f>
        <v>Bom TV em orçamento!, Excelente compra., Uma obra -prima do sansui, usando boa, valor para dinheiro 👍, qualidade do som não boa, apropriada, boa</v>
      </c>
      <c r="E234" s="29" t="str">
        <f>IFERROR(__xludf.DUMMYFUNCTION("GOOGLETRANSLATE(C234, ""en"", ""pt-br"")"),"Não suporta Alexa (o que é mencionado na descrição do produto, está errado), excelente compra. Sentindo que os vídeos são um pouco mais escuros. Qualquer corpo pode me ajudar a defini -lo em um bom vídeo de clareza. Como qual modo eu tenho que selecionar,"&amp;" nível de brilho, nível de contraste, ......, uma peça -prima chegou da qualidade da imagem Sansui.Excelente. A qualidade do som para uma sala de tamanho médio é muito boa. Fiquei surpreso ao ouvir seu som pela primeira vez. As pessoas tendem a ir para a "&amp;"Sony LG Samsung, mas dê uma olhada nessa TV antes de explorar pelo menos 10000 dólares para uma marca. Eu também tenho TVs Sony, Marq e TCL. Exceto a Sony, também pode competir com outras marcas de ponta .WL use -o por seis meses e a atualização do WL ain"&amp;"da mais. A instalação não foi feita a partir da Vecare, mesmo após a programação, mas a Amazon sobre reclamação enviada para instalar no mesmo dia. Em Nutshell, excelente VFM tv de uma marca antiga de renomada. BANG POR UM BURN, boa compra ... atende às e"&amp;"xpectativas em imagem e som ... e com preços muito competitivos ... deve ter pontos de venda da RCA., Serviço a ser disponibilizado à porta")</f>
        <v>Não suporta Alexa (o que é mencionado na descrição do produto, está errado), excelente compra. Sentindo que os vídeos são um pouco mais escuros. Qualquer corpo pode me ajudar a defini -lo em um bom vídeo de clareza. Como qual modo eu tenho que selecionar, nível de brilho, nível de contraste, ......, uma peça -prima chegou da qualidade da imagem Sansui.Excelente. A qualidade do som para uma sala de tamanho médio é muito boa. Fiquei surpreso ao ouvir seu som pela primeira vez. As pessoas tendem a ir para a Sony LG Samsung, mas dê uma olhada nessa TV antes de explorar pelo menos 10000 dólares para uma marca. Eu também tenho TVs Sony, Marq e TCL. Exceto a Sony, também pode competir com outras marcas de ponta .WL use -o por seis meses e a atualização do WL ainda mais. A instalação não foi feita a partir da Vecare, mesmo após a programação, mas a Amazon sobre reclamação enviada para instalar no mesmo dia. Em Nutshell, excelente VFM tv de uma marca antiga de renomada. BANG POR UM BURN, boa compra ... atende às expectativas em imagem e som ... e com preços muito competitivos ... deve ter pontos de venda da RCA., Serviço a ser disponibilizado à porta</v>
      </c>
    </row>
    <row r="235">
      <c r="A235" s="9" t="s">
        <v>980</v>
      </c>
      <c r="B235" s="29" t="str">
        <f>VLOOKUP(dados!A235, reviews!A:G, 5, FALSE)</f>
        <v>Good product,Switches,Remote is working,Center main button is very weak ,not working well,Punctuality. Delivered in time. Excellent,Remote,Sony Tv Remote,It works</v>
      </c>
      <c r="C235" s="29" t="str">
        <f>VLOOKUP(dados!A235, reviews!A:G, 6, FALSE)</f>
        <v>Good compatible product,Like,Remote is working nicely just the up button and down button is working a little slow else is fine,This button is very soft,Originality. Used as remote control,The buttons are very hard,Best Remote u can get👍👍,No syncing needed, just put batteries in and use it</v>
      </c>
      <c r="D235" s="29" t="str">
        <f>IFERROR(__xludf.DUMMYFUNCTION("GOOGLETRANSLATE(B235, ""en"", ""pt-br"")"),"Bom produto, interruptores, remoto está funcionando, o botão principal do centro é muito fraco, não está funcionando bem, pontualidade. Entregue no tempo. Excelente, remoto, Sony TV Remote, funciona")</f>
        <v>Bom produto, interruptores, remoto está funcionando, o botão principal do centro é muito fraco, não está funcionando bem, pontualidade. Entregue no tempo. Excelente, remoto, Sony TV Remote, funciona</v>
      </c>
      <c r="E235" s="29" t="str">
        <f>IFERROR(__xludf.DUMMYFUNCTION("GOOGLETRANSLATE(C235, ""en"", ""pt-br"")"),"O bom produto compatível, como, o Remote está funcionando bem, apenas o botão UP e o botão para baixo está funcionando um pouco lento mais, esse botão é muito suave, originalidade. Usados ​​como controle remoto, os botões são muito difíceis, o melhor remo"&amp;"to que você pode obter, sem sincronização necessária, basta colocar as baterias e usá -las")</f>
        <v>O bom produto compatível, como, o Remote está funcionando bem, apenas o botão UP e o botão para baixo está funcionando um pouco lento mais, esse botão é muito suave, originalidade. Usados ​​como controle remoto, os botões são muito difíceis, o melhor remoto que você pode obter, sem sincronização necessária, basta colocar as baterias e usá -las</v>
      </c>
    </row>
    <row r="236">
      <c r="A236" s="9" t="s">
        <v>984</v>
      </c>
      <c r="B236" s="29" t="str">
        <f>VLOOKUP(dados!A236, reviews!A:G, 5, FALSE)</f>
        <v>Terrible,Charging status,Good quality,good charging,Nice product,Waste of Money.,Fast Charging Cable,Charching</v>
      </c>
      <c r="C236" s="29" t="str">
        <f>VLOOKUP(dados!A236, reviews!A:G, 6, FALSE)</f>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v>
      </c>
      <c r="D236" s="29" t="str">
        <f>IFERROR(__xludf.DUMMYFUNCTION("GOOGLETRANSLATE(B236, ""en"", ""pt-br"")"),"Terrível, status de cobrança, boa qualidade, bom carregamento, bom produto, desperdício de dinheiro., Cabo de carregamento rápido, cargo")</f>
        <v>Terrível, status de cobrança, boa qualidade, bom carregamento, bom produto, desperdício de dinheiro., Cabo de carregamento rápido, cargo</v>
      </c>
      <c r="E236" s="29" t="str">
        <f>IFERROR(__xludf.DUMMYFUNCTION("GOOGLETRANSLATE(C236, ""en"", ""pt-br"")"),"Após 1-2 meses, ficou pior e meu telefone com uma carga ou leva muito tempo como 11 a 12 horas. Às vezes, nem se conecta ao telefone. Não compre, não compre outros cabos baratos. Prefira os de marca, eles serão caros, mas valem o seu dinheiro e o tempo., "&amp;"Ok, mas não suportando 18 W de carregamento rápido, carregamento rápido, eu gosto muito, o carregador trabalhou por quase 20 dias após a entrega., Belo cabo de carregamento para Samsung M30 , Assim,")</f>
        <v>Após 1-2 meses, ficou pior e meu telefone com uma carga ou leva muito tempo como 11 a 12 horas. Às vezes, nem se conecta ao telefone. Não compre, não compre outros cabos baratos. Prefira os de marca, eles serão caros, mas valem o seu dinheiro e o tempo., Ok, mas não suportando 18 W de carregamento rápido, carregamento rápido, eu gosto muito, o carregador trabalhou por quase 20 dias após a entrega., Belo cabo de carregamento para Samsung M30 , Assim,</v>
      </c>
    </row>
    <row r="237">
      <c r="A237" s="9" t="s">
        <v>987</v>
      </c>
      <c r="B237" s="29" t="str">
        <f>VLOOKUP(dados!A237, reviews!A:G, 5, FALSE)</f>
        <v>Osm,Very good build quality,supports fast charging,Worth the price.,Very nice,Quality,Durability King,Good quality at an affordable price.</v>
      </c>
      <c r="C237" s="29" t="str">
        <f>VLOOKUP(dados!A237, reviews!A:G, 6, FALSE)</f>
        <v>👍,works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v>
      </c>
      <c r="D237" s="29" t="str">
        <f>IFERROR(__xludf.DUMMYFUNCTION("GOOGLETRANSLATE(B237, ""en"", ""pt-br"")"),"OSM, muito boa qualidade de construção, suporta carregamento rápido, vale o preço., Muito bom, qualidade, rei de durabilidade, boa qualidade a um preço acessível.")</f>
        <v>OSM, muito boa qualidade de construção, suporta carregamento rápido, vale o preço., Muito bom, qualidade, rei de durabilidade, boa qualidade a um preço acessível.</v>
      </c>
      <c r="E237" s="29" t="str">
        <f>IFERROR(__xludf.DUMMYFUNCTION("GOOGLETRANSLATE(C237, ""en"", ""pt-br"")"),"👍, funciona muito bem e ainda está indo muito bem, mesmo após 3 meses de uso! Ele suporta PD e tem uma qualidade de construção sólida, tem alguns deles e tem sido bom até agora! Vá em frente ao produto cegamente e decente, testei com o meu Samsung S20 FE"&amp;", ele está apoiando o carregamento rápido. Espero que o cabo seja durável, atualizarei minha revisão no futuro se enfrentar mais problemas. Para ter um., Boa qualidade, em vez de comprar um cabo todos os anos ou carregar cabos rasgados, basta comprar isso"&amp;". Eu acho que este é um investimento vitalício. As extremidades são cobertas tão bem que nunca rasgarão., Boa qualidade a um preço acessível.")</f>
        <v>👍, funciona muito bem e ainda está indo muito bem, mesmo após 3 meses de uso! Ele suporta PD e tem uma qualidade de construção sólida, tem alguns deles e tem sido bom até agora! Vá em frente ao produto cegamente e decente, testei com o meu Samsung S20 FE, ele está apoiando o carregamento rápido. Espero que o cabo seja durável, atualizarei minha revisão no futuro se enfrentar mais problemas. Para ter um., Boa qualidade, em vez de comprar um cabo todos os anos ou carregar cabos rasgados, basta comprar isso. Eu acho que este é um investimento vitalício. As extremidades são cobertas tão bem que nunca rasgarão., Boa qualidade a um preço acessível.</v>
      </c>
    </row>
    <row r="238">
      <c r="A238" s="9" t="s">
        <v>990</v>
      </c>
      <c r="B238" s="29" t="str">
        <f>VLOOKUP(dados!A238, reviews!A:G, 5, FALSE)</f>
        <v>When you can’t find the original this comes handy.,No voice communication,Acceptable for the price,Bad finish, but good product,No,voice recognition is not available,Nice Remote,worked find keys are hard</v>
      </c>
      <c r="C238" s="29" t="str">
        <f>VLOOKUP(dados!A238, reviews!A:G, 6, FALSE)</f>
        <v>Just got delivered, there’s lag in remote, it takes like 2-3 secs after pressing the remote key.Like I said, when you can’t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v>
      </c>
      <c r="D238" s="29" t="str">
        <f>IFERROR(__xludf.DUMMYFUNCTION("GOOGLETRANSLATE(B238, ""en"", ""pt-br"")"),"Quando você não consegue encontrar o original, isso é útil., Sem comunicação por voz, aceitável pelo preço, acabamento ruim, mas bom produto, não, o reconhecimento de voz não está disponível, bom remoto, trabalhado, encontre as chaves são difíceis")</f>
        <v>Quando você não consegue encontrar o original, isso é útil., Sem comunicação por voz, aceitável pelo preço, acabamento ruim, mas bom produto, não, o reconhecimento de voz não está disponível, bom remoto, trabalhado, encontre as chaves são difíceis</v>
      </c>
      <c r="E238" s="29" t="str">
        <f>IFERROR(__xludf.DUMMYFUNCTION("GOOGLETRANSLATE(C238, ""en"", ""pt-br"")"),"Acabei de ser entregue, há atraso no controle remoto, é preciso 2-3 segundos depois de pressionar a tecla remota. Como eu disse, quando você não consegue encontrar o controle remoto original para comprar isso pode ser útil., Sem comunicação de voz, é acei"&amp;"tável Para o preço (INR 399), funciona como pretendido, no entanto, os botões exigem força adicional como é difícil., A melhor coisa do controle remoto é, obviamente, que funcionou. Sem problemas, basta colocar as baterias (que, honestamente, deveriam ter"&amp;" sido incluídas) e funcionou. O lado do flip é que o ajuste e o acabamento são atrozes. Está tão mal terminado que, quando o vi pela primeira vez, pensei que era falso ... não poderia ser real ... mas o preço e a função, era perfeito., Não é bom, porque l"&amp;"onge não Somente TV remoto. NENHO, o reconhecimento de voz não está disponível com esse controle remoto, então eu retorno o item de repouso do item é bom para o restante das coisas., bom censor remoto de infravermelho e boa compra. Em vez de comprar Bluet"&amp;"ooth, você pode comprar este com preço acessível., OK para emergência, as chaves são difíceis e podem não funcionar após 6 meses, mas são compatíveis com a TV TCL Android de 32 polegadas")</f>
        <v>Acabei de ser entregue, há atraso no controle remoto, é preciso 2-3 segundos depois de pressionar a tecla remota. Como eu disse, quando você não consegue encontrar o controle remoto original para comprar isso pode ser útil., Sem comunicação de voz, é aceitável Para o preço (INR 399), funciona como pretendido, no entanto, os botões exigem força adicional como é difícil., A melhor coisa do controle remoto é, obviamente, que funcionou. Sem problemas, basta colocar as baterias (que, honestamente, deveriam ter sido incluídas) e funcionou. O lado do flip é que o ajuste e o acabamento são atrozes. Está tão mal terminado que, quando o vi pela primeira vez, pensei que era falso ... não poderia ser real ... mas o preço e a função, era perfeito., Não é bom, porque longe não Somente TV remoto. NENHO, o reconhecimento de voz não está disponível com esse controle remoto, então eu retorno o item de repouso do item é bom para o restante das coisas., bom censor remoto de infravermelho e boa compra. Em vez de comprar Bluetooth, você pode comprar este com preço acessível., OK para emergência, as chaves são difíceis e podem não funcionar após 6 meses, mas são compatíveis com a TV TCL Android de 32 polegadas</v>
      </c>
    </row>
    <row r="239">
      <c r="A239" s="9" t="s">
        <v>994</v>
      </c>
      <c r="B239" s="29" t="str">
        <f>VLOOKUP(dados!A239, reviews!A:G, 5, FALSE)</f>
        <v>Best rugged cable that supports most of the fast charging standards,It's good 👍,Nice cable, although higher ampere might heat up and damage the cable,Very nice product,Nice product with good quality,Great product, Greater utility, Greatest value provider!,Awesome,good prodct</v>
      </c>
      <c r="C239" s="29" t="str">
        <f>VLOOKUP(dados!A239, reviews!A:G, 6, FALSE)</f>
        <v>Affordable, available and multi purpose cable best suitable for traveling and reducing overall cables to carry,Warking fine 🙂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v>
      </c>
      <c r="D239" s="29" t="str">
        <f>IFERROR(__xludf.DUMMYFUNCTION("GOOGLETRANSLATE(B239, ""en"", ""pt-br"")"),"Melhor cabo robusto que suporta a maioria dos padrões de carregamento rápido, é bom 👍, um cabo agradável, embora um ampere mais alto possa aquecer e danificar o cabo, produto muito bom, produto agradável com boa qualidade, ótimo produto, maior utilidade,"&amp;" maior provedor de valor! , Incrível, bom Prodct")</f>
        <v>Melhor cabo robusto que suporta a maioria dos padrões de carregamento rápido, é bom 👍, um cabo agradável, embora um ampere mais alto possa aquecer e danificar o cabo, produto muito bom, produto agradável com boa qualidade, ótimo produto, maior utilidade, maior provedor de valor! , Incrível, bom Prodct</v>
      </c>
      <c r="E239" s="29" t="str">
        <f>IFERROR(__xludf.DUMMYFUNCTION("GOOGLETRANSLATE(C239, ""en"", ""pt-br"")"),"Cabo acessível, disponível e com vários objetivos, mais adequado para viajar e reduzir os cabos gerais para transportar, alertando bem. e lágrima. Para ir em frente., a qualidade do cabo é muito boa. O tempo de carregamento é bom com a disponibilidade de "&amp;"diferentes tipos de cabos., Considerando o preço em comparação com os concorrentes no mercado, isso é barato, mas nenhum compromisso foi feito com relação à robustez ou qualidade. Os fios são maravilhosos, apesar de usá -lo há mais de um mês, nenhum probl"&amp;"ema foi enfrentado em relação a emaranhamento de arame, arriscado, etc. Muito resistente e muito fácil de transportar. A qualidade das portas também é sólida, nenhum problema foi enfrentado. A embalagem foi ótima, o desempenho do produto ainda maior. Os f"&amp;"ios são longos o suficiente, embora, na minha opinião pessoal, um pouco mais demorado seria a cereja do bolo, tornando o produto absolutamente perfeito! No geral, muito feliz com a compra. Um ótimo produto VFM para todos aqueles que têm vários dispositivo"&amp;"s de tipo com eles. Este único cabo tem uma solução para carregar tudo!, A carga de urdidura está funcionando bem e satisfatória. Lightning Cable está funcionando em estado normal, em vez de gorduras carregando. Mas em geral o produto é incrível e sentiu "&amp;"100% de valor pelo dinheiro., Como")</f>
        <v>Cabo acessível, disponível e com vários objetivos, mais adequado para viajar e reduzir os cabos gerais para transportar, alertando bem. e lágrima. Para ir em frente., a qualidade do cabo é muito boa. O tempo de carregamento é bom com a disponibilidade de diferentes tipos de cabos., Considerando o preço em comparação com os concorrentes no mercado, isso é barato, mas nenhum compromisso foi feito com relação à robustez ou qualidade. Os fios são maravilhosos, apesar de usá -lo há mais de um mês, nenhum problema foi enfrentado em relação a emaranhamento de arame, arriscado, etc. Muito resistente e muito fácil de transportar. A qualidade das portas também é sólida, nenhum problema foi enfrentado. A embalagem foi ótima, o desempenho do produto ainda maior. Os fios são longos o suficiente, embora, na minha opinião pessoal, um pouco mais demorado seria a cereja do bolo, tornando o produto absolutamente perfeito! No geral, muito feliz com a compra. Um ótimo produto VFM para todos aqueles que têm vários dispositivos de tipo com eles. Este único cabo tem uma solução para carregar tudo!, A carga de urdidura está funcionando bem e satisfatória. Lightning Cable está funcionando em estado normal, em vez de gorduras carregando. Mas em geral o produto é incrível e sentiu 100% de valor pelo dinheiro., Como</v>
      </c>
    </row>
    <row r="240">
      <c r="A240" s="9" t="s">
        <v>998</v>
      </c>
      <c r="B240" s="29" t="str">
        <f>VLOOKUP(dados!A240, reviews!A:G, 5, FALSE)</f>
        <v>Average,Nice in this price,Nice,Nice,Good product but takes long time to be delivered,Misleading Title and description,Phone is not getting charged fast.,Works as expected</v>
      </c>
      <c r="C240" s="29" t="str">
        <f>VLOOKUP(dados!A240, reviews!A:G, 6, FALSE)</f>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descriptionIt’s not 6ft cable,Better to use original item,Just bought it so not sure of durability or sturdiness but it was very cheap and so wasn’t sure how good will it work but it works perfectly fine</v>
      </c>
      <c r="D240" s="29" t="str">
        <f>IFERROR(__xludf.DUMMYFUNCTION("GOOGLETRANSLATE(B240, ""en"", ""pt-br"")"),"Média, agradável neste preço, bom, bom, bom produto, mas leva muito tempo para ser entregue, título e descrição enganosos, o telefone não está sendo cobrado rapidamente., Funciona conforme esperado")</f>
        <v>Média, agradável neste preço, bom, bom, bom produto, mas leva muito tempo para ser entregue, título e descrição enganosos, o telefone não está sendo cobrado rapidamente., Funciona conforme esperado</v>
      </c>
      <c r="E240" s="29" t="str">
        <f>IFERROR(__xludf.DUMMYFUNCTION("GOOGLETRANSLATE(C240, ""en"", ""pt-br"")"),"Mostrou 2 peças, recebidas apenas uma. Também não é de 6 pés, como mencionado. Parecia enganado. O carregamento está ok. A razão pela qual optei por isso é apenas que eu precisava de um carregador de iPhone com a porta USB., Na verdade, é um conjunto de c"&amp;"abos de três pés, ambos funcionando bem para mim. Comprado para uso de emergência e sem problemas depois de um mês., Comprei apenas 2 meses de volta. O produto é bom, agradável e com relação custo Item, acabei de comprar, então não tenho certeza da durabi"&amp;"lidade ou robustez, mas era muito barato e não tinha certeza de quão bom ele funcionará, mas funciona perfeitamente bem")</f>
        <v>Mostrou 2 peças, recebidas apenas uma. Também não é de 6 pés, como mencionado. Parecia enganado. O carregamento está ok. A razão pela qual optei por isso é apenas que eu precisava de um carregador de iPhone com a porta USB., Na verdade, é um conjunto de cabos de três pés, ambos funcionando bem para mim. Comprado para uso de emergência e sem problemas depois de um mês., Comprei apenas 2 meses de volta. O produto é bom, agradável e com relação custo Item, acabei de comprar, então não tenho certeza da durabilidade ou robustez, mas era muito barato e não tinha certeza de quão bom ele funcionará, mas funciona perfeitamente bem</v>
      </c>
    </row>
    <row r="241">
      <c r="A241" s="9" t="s">
        <v>1002</v>
      </c>
      <c r="B241" s="29" t="str">
        <f>VLOOKUP(dados!A241, reviews!A:G, 5, FALSE)</f>
        <v>Good,Good Quality,Amazing,Wire cost,Quality and performance is excellent.,Really Impressive,Good and cheap!,GOOD ONE</v>
      </c>
      <c r="C241" s="29" t="str">
        <f>VLOOKUP(dados!A241, reviews!A:G, 6, FALSE)</f>
        <v>Good Packaging.. Wire Quality is Good.,Very good quality but the wire is 15 meters only at least should be 20 meters for the price......😓,I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v>
      </c>
      <c r="D241" s="29" t="str">
        <f>IFERROR(__xludf.DUMMYFUNCTION("GOOGLETRANSLATE(B241, ""en"", ""pt-br"")"),"Bom, de boa qualidade, incrível, custo, qualidade e desempenho é excelente., Realmente impressionante, bom e barato!, Bom")</f>
        <v>Bom, de boa qualidade, incrível, custo, qualidade e desempenho é excelente., Realmente impressionante, bom e barato!, Bom</v>
      </c>
      <c r="E241" s="29" t="str">
        <f>IFERROR(__xludf.DUMMYFUNCTION("GOOGLETRANSLATE(C241, ""en"", ""pt-br"")"),"Boa embalagem .. A qualidade do fio é boa., Muito boa qualidade, mas o fio está de 15 metros, pelo menos deve ser de 20 metros para o preço ...... 😓, estou usando isso com um F&amp;D A140X como meus falantes de satélite ' Os fios estavam ficando muito frágei"&amp;"s. Fora da caixa, esses cabos são muito grossos em comparação com os que meus alto -falantes tinham antes. Depois de substituir os cabos por esses, notei duas coisas imediatamente1. Meus alto -falantes são Louder2. A qualidade do som é muito melhor que vo"&amp;"cê quer ter cuidado é que esses cabos se destacam como um polegar dolorido na frente das paredes brancas, por isso, se você é como eu, quem se importa com a aparência, pode querer cobri -las com pistas de cabo ou até pintar Eles como eu estou planejando f"&amp;"azer., O fio é a melhor qualidade, mas não vale o custo, a qualidade da durabilidade n é absolutamente boa., O produto é de 16 fios de thread de cobre puro de bitola 16. A qualidade do som é impressionante. Earca uma banda preta para a distinção +ve/-e, j"&amp;"á vi muitas críticas em que as pessoas reclamam que esse cabo não é cobre, seu alumínio e até alguns dizendo que é falso. Então eu pensei que vou esclarecer algumas dúvidas sobre este produto. É verdade! Este não é um cabo de cobre puro, seu alumínio reve"&amp;"stido de cobre. De fato, a maioria dos cabos do alto -falante é de alumínio revestido de cobre. A maioria do sinal de áudio viaja pela borda externa do condutor (efeito da pele), daí o revestimento de cobre. Mais espessa do revestimento, melhor a qualidad"&amp;"e do áudio, esse cabo só obteve um revestimento fino de cobre que o centro reforçado com aço/alumínio é para um condutor mais durável. Agora, não, na descrição, a Amazon mencionou que este é um cabo de revestimento de cobre puro, então só precisa acertar "&amp;"suas expectativas. Você simplesmente não pode esperar um cabo de cobre puro livre de oxigênio a esse preço (Rs 400). Você não encontrará um cabo decente do alto -falante de cobre de 16 bitola por menos de Rs 2000. Este é um alto -falante barato de 16 bito"&amp;"la e faz o trabalho muito bem. Este cabo é mais do que suficiente para fornecer um bom som aos seus alto -falantes. A qualidade do cabo é média, mas você obtém o que paga. Agora, se tiver alguns alto -falantes de ponta, não recomendo este cabo., Bom")</f>
        <v>Boa embalagem .. A qualidade do fio é boa., Muito boa qualidade, mas o fio está de 15 metros, pelo menos deve ser de 20 metros para o preço ...... 😓, estou usando isso com um F&amp;D A140X como meus falantes de satélite ' Os fios estavam ficando muito frágeis. Fora da caixa, esses cabos são muito grossos em comparação com os que meus alto -falantes tinham antes. Depois de substituir os cabos por esses, notei duas coisas imediatamente1. Meus alto -falantes são Louder2. A qualidade do som é muito melhor que você quer ter cuidado é que esses cabos se destacam como um polegar dolorido na frente das paredes brancas, por isso, se você é como eu, quem se importa com a aparência, pode querer cobri -las com pistas de cabo ou até pintar Eles como eu estou planejando fazer., O fio é a melhor qualidade, mas não vale o custo, a qualidade da durabilidade n é absolutamente boa., O produto é de 16 fios de thread de cobre puro de bitola 16. A qualidade do som é impressionante. Earca uma banda preta para a distinção +ve/-e, já vi muitas críticas em que as pessoas reclamam que esse cabo não é cobre, seu alumínio e até alguns dizendo que é falso. Então eu pensei que vou esclarecer algumas dúvidas sobre este produto. É verdade! Este não é um cabo de cobre puro, seu alumínio revestido de cobre. De fato, a maioria dos cabos do alto -falante é de alumínio revestido de cobre. A maioria do sinal de áudio viaja pela borda externa do condutor (efeito da pele), daí o revestimento de cobre. Mais espessa do revestimento, melhor a qualidade do áudio, esse cabo só obteve um revestimento fino de cobre que o centro reforçado com aço/alumínio é para um condutor mais durável. Agora, não, na descrição, a Amazon mencionou que este é um cabo de revestimento de cobre puro, então só precisa acertar suas expectativas. Você simplesmente não pode esperar um cabo de cobre puro livre de oxigênio a esse preço (Rs 400). Você não encontrará um cabo decente do alto -falante de cobre de 16 bitola por menos de Rs 2000. Este é um alto -falante barato de 16 bitola e faz o trabalho muito bem. Este cabo é mais do que suficiente para fornecer um bom som aos seus alto -falantes. A qualidade do cabo é média, mas você obtém o que paga. Agora, se tiver alguns alto -falantes de ponta, não recomendo este cabo., Bom</v>
      </c>
    </row>
    <row r="242">
      <c r="A242" s="9" t="s">
        <v>1008</v>
      </c>
      <c r="B242" s="29" t="str">
        <f>VLOOKUP(dados!A242, reviews!A:G, 5, FALSE)</f>
        <v>GOOD,Thank you  Amazon very good charging cable,Good,Very good product,good quality,Very Good Product,This is fast charging USB!,Simply perfect at the price of below 100</v>
      </c>
      <c r="C242" s="29" t="str">
        <f>VLOOKUP(dados!A242, reviews!A:G, 6, FALSE)</f>
        <v>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v>
      </c>
      <c r="D242" s="29" t="str">
        <f>IFERROR(__xludf.DUMMYFUNCTION("GOOGLETRANSLATE(B242, ""en"", ""pt-br"")"),"Bom, obrigado Amazon Cable de carregamento muito bom, bom, muito bom produto, boa qualidade, produto muito bom, este é um USB de carregamento rápido!, Simplesmente perfeito pelo preço abaixo de 100")</f>
        <v>Bom, obrigado Amazon Cable de carregamento muito bom, bom, muito bom produto, boa qualidade, produto muito bom, este é um USB de carregamento rápido!, Simplesmente perfeito pelo preço abaixo de 100</v>
      </c>
      <c r="E242" s="29" t="str">
        <f>IFERROR(__xludf.DUMMYFUNCTION("GOOGLETRANSLATE(C242, ""en"", ""pt-br"")"),"Está tudo bem, mas é volumoso e difícil, deve ser mais suave e mais fino ....., obrigado Amazon Cabo de carregamento muito bom 👍, bom, bom, a qualidade é boa. Vale 150-200 ₹. curto, mas durável., produto muito bom. Satisfeito .., este é um pino de carreg"&amp;"amento rápido C USB! Você pode comprá -lo., Bom produto a preço abaixo de 100")</f>
        <v>Está tudo bem, mas é volumoso e difícil, deve ser mais suave e mais fino ....., obrigado Amazon Cabo de carregamento muito bom 👍, bom, bom, a qualidade é boa. Vale 150-200 ₹. curto, mas durável., produto muito bom. Satisfeito .., este é um pino de carregamento rápido C USB! Você pode comprá -lo., Bom produto a preço abaixo de 100</v>
      </c>
    </row>
    <row r="243">
      <c r="A243" s="9" t="s">
        <v>1011</v>
      </c>
      <c r="B243" s="29" t="str">
        <f>VLOOKUP(dados!A243, reviews!A:G, 5, FALSE)</f>
        <v>Good pick for Galaxy Note 9,Durable and quality product,Best Cable for Android Auto,The cable I will always carry when I pack my stuff for a ride.,Good charging capacity and data transfers,I bought it for my bike,Excellent,👍</v>
      </c>
      <c r="C243" s="29" t="str">
        <f>VLOOKUP(dados!A243, reviews!A:G, 6, FALSE)</f>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v>
      </c>
      <c r="D243" s="29" t="str">
        <f>IFERROR(__xludf.DUMMYFUNCTION("GOOGLETRANSLATE(B243, ""en"", ""pt-br"")"),"Boa escolha para o Galaxy Note 9, Produto durável e de qualidade, Melhor cabo para Android Auto, o cabo que sempre carregarei quando arrumar minhas coisas para um passeio., Boa capacidade de carregamento e transferências de dados, comprei para minha bicic"&amp;"leta, excelente, 👍")</f>
        <v>Boa escolha para o Galaxy Note 9, Produto durável e de qualidade, Melhor cabo para Android Auto, o cabo que sempre carregarei quando arrumar minhas coisas para um passeio., Boa capacidade de carregamento e transferências de dados, comprei para minha bicicleta, excelente, 👍</v>
      </c>
      <c r="E243" s="29" t="str">
        <f>IFERROR(__xludf.DUMMYFUNCTION("GOOGLETRANSLATE(C243, ""en"", ""pt-br"")"),"Comprei o cabo para o meu Galaxy Note 9 em julho de 2022. Estou usando -o desde então e funciona bem. O cabo é difícil devido à sua natureza trançada., No geral, bom para uso, não enfrentou nenhum problema de qualidade. C A seção de pontos também é boa pa"&amp;"ra se encaixar corretamente no celular. Você pode ir em frente., Cabo mais caro que já comprei. Provavelmente o melhor cabo também. Dando 1 estrela menos pelo preço premium. Comprei isso, pois os cabos longos não funcionam bem com o Android Car. Isso func"&amp;"iona muito bem. Vá em frente se precisar se conectar com o Android Auto., Curta revisão: Isso elimina a necessidade de envolver cabos longos ao redor do guidão quando o telefone estiver montado nele para navegação. Compacto e poderoso. Mais adequado para "&amp;"montagens de motocicletas e bancos de power. Depois de estar cansado de cabos de embrulho no guidão, eu queria algo curto apenas para sentar lá e carregar o dispositivo e limpar a desordem na alça de motocicleta. Isso é exatamente o que eu queria. Tenho u"&amp;"ma montagem móvel que se parece com a montagem da garra de garra de Bobo em lojas locais e que oferece 5V ~ 2.4a. Tentei poucos cabos das lojas locais e eles morrem ou não carregam o dispositivo o suficiente quando ele estiver em uso. Mesmo quando o dispo"&amp;"sitivo não está em uso, a taxa de carregamento costumava ser baixa. É quando eu decidi experimentar este, pois sempre hesitei em que ₹ 300+ para um cabo curto seja muito alto. Agora estou muito feliz com a compra de que ela pode buscar a capacidade de car"&amp;"regamento completa do carregador móvel e entregá -lo ao dispositivo. Fiz uma ida e volta de 400 km e isso tem sido um salvador. Ainda estou para verificar se o QC3.0 reivindicado é verdadeiro, mas pelo menos serve o objetivo no meu guidão de motocicleta, "&amp;"para que não tenha reclamações. Atualizarei quando tiver a chance de testar que. Como vou usá -lo apenas na motocicleta, tenho certeza de que vou colocar alguns abusos e posso comentar o mesmo quando revisitar esta revisão para atualizações. Durabilidade:"&amp;" terei que usá -lo mais e atualizar esta revisão Na perspectiva de durabilidade, quando meu primeiro cabo de carga do Wayona Dash que usei para o OnePlus 6 morreu em 3 meses. Mas, felizmente, foi substituído sob garantia. Isso mostra o quão bom é o apoio "&amp;"da equipe Wayona. Eu só tive que registrar que o cabo morreu e não cobra mais e eles também são esse vídeo como evidência para substituir o produto. Definitivamente, recomendo este cabo. A transferência de dados é bastante rápida e também compatível com o"&amp;" meu adaptador de CQ., Bom, excelente ... Valorizando pelo dinheiro, fio agradável, carga rápida.")</f>
        <v>Comprei o cabo para o meu Galaxy Note 9 em julho de 2022. Estou usando -o desde então e funciona bem. O cabo é difícil devido à sua natureza trançada., No geral, bom para uso, não enfrentou nenhum problema de qualidade. C A seção de pontos também é boa para se encaixar corretamente no celular. Você pode ir em frente., Cabo mais caro que já comprei. Provavelmente o melhor cabo também. Dando 1 estrela menos pelo preço premium. Comprei isso, pois os cabos longos não funcionam bem com o Android Car. Isso funciona muito bem. Vá em frente se precisar se conectar com o Android Auto., Curta revisão: Isso elimina a necessidade de envolver cabos longos ao redor do guidão quando o telefone estiver montado nele para navegação. Compacto e poderoso. Mais adequado para montagens de motocicletas e bancos de power. Depois de estar cansado de cabos de embrulho no guidão, eu queria algo curto apenas para sentar lá e carregar o dispositivo e limpar a desordem na alça de motocicleta. Isso é exatamente o que eu queria. Tenho uma montagem móvel que se parece com a montagem da garra de garra de Bobo em lojas locais e que oferece 5V ~ 2.4a. Tentei poucos cabos das lojas locais e eles morrem ou não carregam o dispositivo o suficiente quando ele estiver em uso. Mesmo quando o dispositivo não está em uso, a taxa de carregamento costumava ser baixa. É quando eu decidi experimentar este, pois sempre hesitei em que ₹ 300+ para um cabo curto seja muito alto. Agora estou muito feliz com a compra de que ela pode buscar a capacidade de carregamento completa do carregador móvel e entregá -lo ao dispositivo. Fiz uma ida e volta de 400 km e isso tem sido um salvador. Ainda estou para verificar se o QC3.0 reivindicado é verdadeiro, mas pelo menos serve o objetivo no meu guidão de motocicleta, para que não tenha reclamações. Atualizarei quando tiver a chance de testar que. Como vou usá -lo apenas na motocicleta, tenho certeza de que vou colocar alguns abusos e posso comentar o mesmo quando revisitar esta revisão para atualizações. Durabilidade: terei que usá -lo mais e atualizar esta revisão Na perspectiva de durabilidade, quando meu primeiro cabo de carga do Wayona Dash que usei para o OnePlus 6 morreu em 3 meses. Mas, felizmente, foi substituído sob garantia. Isso mostra o quão bom é o apoio da equipe Wayona. Eu só tive que registrar que o cabo morreu e não cobra mais e eles também são esse vídeo como evidência para substituir o produto. Definitivamente, recomendo este cabo. A transferência de dados é bastante rápida e também compatível com o meu adaptador de CQ., Bom, excelente ... Valorizando pelo dinheiro, fio agradável, carga rápida.</v>
      </c>
    </row>
    <row r="244">
      <c r="A244" s="9" t="s">
        <v>1014</v>
      </c>
      <c r="B244" s="29" t="str">
        <f>VLOOKUP(dados!A244, reviews!A:G, 5, FALSE)</f>
        <v>Good quality product with many screws and nuts,Nice product,Ok ok product,It’s accuracy,Screws can be a problem.,Good quality for 32" TV,Perfect fit for my Sony TV,This costs approx 200 in the local market.</v>
      </c>
      <c r="C244" s="29" t="str">
        <f>VLOOKUP(dados!A244, reviews!A:G, 6, FALSE)</f>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v>
      </c>
      <c r="D244" s="29" t="str">
        <f>IFERROR(__xludf.DUMMYFUNCTION("GOOGLETRANSLATE(B244, ""en"", ""pt-br"")"),"Produto de boa qualidade com muitos parafusos e nozes, produto agradável, produto ok ok, é precisão, parafusos podem ser um problema., Boa qualidade para a TV de 32 "", ajuste perfeito para minha TV da Sony, isso custa aproximadamente 200 no mercado local"&amp;".")</f>
        <v>Produto de boa qualidade com muitos parafusos e nozes, produto agradável, produto ok ok, é precisão, parafusos podem ser um problema., Boa qualidade para a TV de 32 ", ajuste perfeito para minha TV da Sony, isso custa aproximadamente 200 no mercado local.</v>
      </c>
      <c r="E244" s="29" t="str">
        <f>IFERROR(__xludf.DUMMYFUNCTION("GOOGLETRANSLATE(C244, ""en"", ""pt-br"")"),"Minha TV de 32 polegadas se encaixa bem, também a TV de 55 polegadas pode ser montada na parede, com certeza. Boa qualidade do produto. Vários parafusos e porcas de tamanhos incluídos neste produto, bom produto, estou dando 3 estrelas porque os parafusos "&amp;"fornecem no produto não se encaixam corretamente. Eu tive que obtê -lo separadamente para instalar., Adoro gostar da precisão do encaixe. Eu tive que fazer os parafusos para encaixar na grelha, pois os parafusos eram longos e tive que adicionar arruela pa"&amp;"ra fazê -la em forma., Eu me instalei , Ele se encaixa perfeitamente na minha TV da Sony (32 polegadas). Stand é resistente e bom. Deduzindo 1 começo porque não vejo nada nas laterais do estande, o que pode impedir que minha TV caia de lado, então eu tive"&amp;" que dobrar um pouco os lados do suporte para que a TV não caia, se alguém o puxar esquerda ou direita. Caso contrário, é uma boa posição., Nada para escrever. É uma posição universal básica. Caro aqui na Amazon. Acontece que a mesma coisa era de 200 em u"&amp;"ma loja local de hardware / eletrônica / luz")</f>
        <v>Minha TV de 32 polegadas se encaixa bem, também a TV de 55 polegadas pode ser montada na parede, com certeza. Boa qualidade do produto. Vários parafusos e porcas de tamanhos incluídos neste produto, bom produto, estou dando 3 estrelas porque os parafusos fornecem no produto não se encaixam corretamente. Eu tive que obtê -lo separadamente para instalar., Adoro gostar da precisão do encaixe. Eu tive que fazer os parafusos para encaixar na grelha, pois os parafusos eram longos e tive que adicionar arruela para fazê -la em forma., Eu me instalei , Ele se encaixa perfeitamente na minha TV da Sony (32 polegadas). Stand é resistente e bom. Deduzindo 1 começo porque não vejo nada nas laterais do estande, o que pode impedir que minha TV caia de lado, então eu tive que dobrar um pouco os lados do suporte para que a TV não caia, se alguém o puxar esquerda ou direita. Caso contrário, é uma boa posição., Nada para escrever. É uma posição universal básica. Caro aqui na Amazon. Acontece que a mesma coisa era de 200 em uma loja local de hardware / eletrônica / luz</v>
      </c>
    </row>
    <row r="245">
      <c r="A245" s="9" t="s">
        <v>1018</v>
      </c>
      <c r="B245" s="29" t="str">
        <f>VLOOKUP(dados!A245, reviews!A:G, 5, FALSE)</f>
        <v>Cover is Little loose for Fire remote cover,I ordered this for colour,Pricing,Nice Product,Overpriced but good quality.,Remote stops working after 3 months,Perfect fot,Perfect size for amazon firestick</v>
      </c>
      <c r="C245" s="29" t="str">
        <f>VLOOKUP(dados!A245, reviews!A:G, 6, FALSE)</f>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v>
      </c>
      <c r="D245" s="29" t="str">
        <f>IFERROR(__xludf.DUMMYFUNCTION("GOOGLETRANSLATE(B245, ""en"", ""pt-br"")"),"A capa é pouco solta para capa remota de fogo, pedi isso para cores, preços, produto agradável, muito caro, mas de boa qualidade., Remote Pare")</f>
        <v>A capa é pouco solta para capa remota de fogo, pedi isso para cores, preços, produto agradável, muito caro, mas de boa qualidade., Remote Pare</v>
      </c>
      <c r="E245" s="29" t="str">
        <f>IFERROR(__xludf.DUMMYFUNCTION("GOOGLETRANSLATE(C245, ""en"", ""pt-br"")"),"Tudo é bom, exceto pouca cobertura solta, pedi isso especificamente para a cor. Se encaixa bem. O produto captura muita poeira. O preço é item, um bom produto, era um pouco caro, mas um produto de boa qualidade. Não recebi a mesma cor azul que mostrou na "&amp;"descrição, mas recebi uma cor azul claro brilhante que brilha no escuro., Paradas remotas de funcionamento após 3 meses, bom ajuste. Os botões de volume também devem ser cobertos com camada transperante, à medida que os símbolos são usados ​​ao longo do t"&amp;"empo, é suave, feita com borracha.")</f>
        <v>Tudo é bom, exceto pouca cobertura solta, pedi isso especificamente para a cor. Se encaixa bem. O produto captura muita poeira. O preço é item, um bom produto, era um pouco caro, mas um produto de boa qualidade. Não recebi a mesma cor azul que mostrou na descrição, mas recebi uma cor azul claro brilhante que brilha no escuro., Paradas remotas de funcionamento após 3 meses, bom ajuste. Os botões de volume também devem ser cobertos com camada transperante, à medida que os símbolos são usados ​​ao longo do tempo, é suave, feita com borracha.</v>
      </c>
    </row>
    <row r="246">
      <c r="A246" s="9" t="s">
        <v>1022</v>
      </c>
      <c r="B246" s="29" t="str">
        <f>VLOOKUP(dados!A246, reviews!A:G, 5, FALSE)</f>
        <v>Good,Good,Good,Mic is not working,Voice not working. You can't enable voice assistant in this remote,Quality is average, buttons are not smooth,Very good,Good</v>
      </c>
      <c r="C246" s="29" t="str">
        <f>VLOOKUP(dados!A246, reviews!A:G, 6, FALSE)</f>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Can’t comment on durability in 3 days but as of now I am happy with this purchase.</v>
      </c>
      <c r="D246" s="29" t="str">
        <f>IFERROR(__xludf.DUMMYFUNCTION("GOOGLETRANSLATE(B246, ""en"", ""pt-br"")"),"Bom, bom, bom, o microfone não está funcionando, a voz não está funcionando. Você não pode ativar o assistente de voz neste controle remoto, a qualidade é média, os botões não são suaves, muito bons, bons")</f>
        <v>Bom, bom, bom, o microfone não está funcionando, a voz não está funcionando. Você não pode ativar o assistente de voz neste controle remoto, a qualidade é média, os botões não são suaves, muito bons, bons</v>
      </c>
      <c r="E246" s="29" t="str">
        <f>IFERROR(__xludf.DUMMYFUNCTION("GOOGLETRANSLATE(C246, ""en"", ""pt-br"")"),"Ok, com esse preço, mas tem problemas com o botão de energia e sem suporte de voz, bom, bom, o microfone não está funcionando, a voz não está funcionando. Você não pode ativar o assistente de voz neste controle remoto., A qualidade é média, os botões não "&amp;"são suaves e o intervalo não é bom. Mas, no geral, está funcionando, muito bom, usando -o por 3 dias, depois que meu controle remoto original foi desligado após 14 meses e a VU citou Rs 2000 para um novo controle remoto. Nesse controle remoto, exceto pelo"&amp;" controle de voz, tudo funciona perfeitamente. Não posso comentar sobre a durabilidade em 3 dias, mas a partir de agora estou feliz com esta compra.")</f>
        <v>Ok, com esse preço, mas tem problemas com o botão de energia e sem suporte de voz, bom, bom, o microfone não está funcionando, a voz não está funcionando. Você não pode ativar o assistente de voz neste controle remoto., A qualidade é média, os botões não são suaves e o intervalo não é bom. Mas, no geral, está funcionando, muito bom, usando -o por 3 dias, depois que meu controle remoto original foi desligado após 14 meses e a VU citou Rs 2000 para um novo controle remoto. Nesse controle remoto, exceto pelo controle de voz, tudo funciona perfeitamente. Não posso comentar sobre a durabilidade em 3 dias, mas a partir de agora estou feliz com esta compra.</v>
      </c>
    </row>
    <row r="247">
      <c r="A247" s="9" t="s">
        <v>1026</v>
      </c>
      <c r="B247" s="29" t="str">
        <f>VLOOKUP(dados!A247, reviews!A:G, 5, FALSE)</f>
        <v>Good Stuff... Recommended!!!,Need better quality,एक मजबूत प्रोडक्ट है,Good,best buy of this cable,Best for,Tough,Nil</v>
      </c>
      <c r="C247" s="29" t="str">
        <f>VLOOKUP(dados!A247, reviews!A:G, 6, FALSE)</f>
        <v>Good Stuff... Recommended!!!,Need better quality for changing,Good product,I bought it 7 months. Ago it still working in good condition good 😊,good cable to by in budjet,The cable is of very good quality. Charging speed is good for my Redmi k20 pro which support 27 watt fast charging good thing is that the battery backup improved when charge with this cable I’m really surprise I observed this with many time as I test it with with original cable and result is the same. If this is in ur budget then just buy it don’t hesitate,Reliable, strong,Nil</v>
      </c>
      <c r="D247" s="29" t="str">
        <f>IFERROR(__xludf.DUMMYFUNCTION("GOOGLETRANSLATE(B247, ""en"", ""pt-br"")"),"Coisas boas ... recomendadas !!!, precisa de melhor qualidade, एक मजबूत प्रोडक्ट है, boa, melhor compra deste cabo, melhor para, duro, nil")</f>
        <v>Coisas boas ... recomendadas !!!, precisa de melhor qualidade, एक मजबूत प्रोडक्ट है, boa, melhor compra deste cabo, melhor para, duro, nil</v>
      </c>
      <c r="E247" s="29" t="str">
        <f>IFERROR(__xludf.DUMMYFUNCTION("GOOGLETRANSLATE(C247, ""en"", ""pt-br"")"),"Coisas boas ... recomendadas !!!, precisa de melhor qualidade para mudar, bom produto, comprei 7 meses. Atrás ele ainda está funcionando em boas condições, bom 😊, bom cabo para em Budjet, o cabo é de muito boa qualidade. A velocidade de carregamento é bo"&amp;"a para o meu Redmi K20 Pro, que suporta 27 watts de carregamento rápido, é que o backup da bateria melhorou quando a cobrança com este cabo, estou realmente surpresa, observei isso com muitos tempo enquanto o testei com o cabo original e o resultado é o m"&amp;"esmo. Se isso estiver no seu orçamento, basta comprá -lo não hesite, confiável, forte, nil")</f>
        <v>Coisas boas ... recomendadas !!!, precisa de melhor qualidade para mudar, bom produto, comprei 7 meses. Atrás ele ainda está funcionando em boas condições, bom 😊, bom cabo para em Budjet, o cabo é de muito boa qualidade. A velocidade de carregamento é boa para o meu Redmi K20 Pro, que suporta 27 watts de carregamento rápido, é que o backup da bateria melhorou quando a cobrança com este cabo, estou realmente surpresa, observei isso com muitos tempo enquanto o testei com o cabo original e o resultado é o mesmo. Se isso estiver no seu orçamento, basta comprá -lo não hesite, confiável, forte, nil</v>
      </c>
    </row>
    <row r="248">
      <c r="A248" s="9" t="s">
        <v>1030</v>
      </c>
      <c r="B248" s="29" t="str">
        <f>VLOOKUP(dados!A248, reviews!A:G, 5, FALSE)</f>
        <v>The metal pin is losing it's strength,Sahi h bs 44 rupe ki and dilivery charge 40,Good Charging cable,Good sturdy micro usb cable with good charging speeds,Cheapest micro USB cable in the market,boat is better than this,I bought this for 199rs best charging cable for all mobiles,Good</v>
      </c>
      <c r="C248" s="29" t="str">
        <f>VLOOKUP(dados!A248, reviews!A:G, 6, FALSE)</f>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v>
      </c>
      <c r="D248" s="29" t="str">
        <f>IFERROR(__xludf.DUMMYFUNCTION("GOOGLETRANSLATE(B248, ""en"", ""pt-br"")"),"O pino de metal está perdendo a força, Sahi H BS 44 Rupe Ki e Dilivery Charge 40, bom cabo de carregamento, bom cabo robusto micro USB com boas velocidades de carregamento, cabo micro USB mais barato do mercado, o barco é melhor do que isso, comprei isso "&amp;"Para o melhor cabo de carregamento de 199Rs para todos os celulares, bom")</f>
        <v>O pino de metal está perdendo a força, Sahi H BS 44 Rupe Ki e Dilivery Charge 40, bom cabo de carregamento, bom cabo robusto micro USB com boas velocidades de carregamento, cabo micro USB mais barato do mercado, o barco é melhor do que isso, comprei isso Para o melhor cabo de carregamento de 199Rs para todos os celulares, bom</v>
      </c>
      <c r="E248" s="29" t="str">
        <f>IFERROR(__xludf.DUMMYFUNCTION("GOOGLETRANSLATE(C248, ""en"", ""pt-br"")"),"É um bom cabo de dados e eu recomendo a compra, o único problema foi que o pino de metal não é fixo firmemente, por isso ficou solto, caso contrário, nenhum problema deve comprar, https: //m.media-amazon.com/images/ I/615SGNWV1ML._SY88.JPG, Cabo de carreg"&amp;"amento, que é resistente, não é um cabo de carregamento rápido, mas os três pontos de venda fazem o trabalho., Bom cabo Micro USB com boas velocidades de carregamento. Por favor, não aumente os preços, bom produto, um cabo simplico microUSB, 😂, melhor pa"&amp;"ra este preço, bom")</f>
        <v>É um bom cabo de dados e eu recomendo a compra, o único problema foi que o pino de metal não é fixo firmemente, por isso ficou solto, caso contrário, nenhum problema deve comprar, https: //m.media-amazon.com/images/ I/615SGNWV1ML._SY88.JPG, Cabo de carregamento, que é resistente, não é um cabo de carregamento rápido, mas os três pontos de venda fazem o trabalho., Bom cabo Micro USB com boas velocidades de carregamento. Por favor, não aumente os preços, bom produto, um cabo simplico microUSB, 😂, melhor para este preço, bom</v>
      </c>
    </row>
    <row r="249">
      <c r="A249" s="9" t="s">
        <v>1034</v>
      </c>
      <c r="B249" s="29" t="str">
        <f>VLOOKUP(dados!A249, reviews!A:G, 5, FALSE)</f>
        <v>Its ok product not too good not bad,Cheap and best,Performance,Works well,Not working with Fast Charger,This Type-C cable is awesome😍.,Does not support display,Good</v>
      </c>
      <c r="C249" s="29" t="str">
        <f>VLOOKUP(dados!A249, reviews!A:G, 6, FALSE)</f>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v>
      </c>
      <c r="D249" s="29" t="str">
        <f>IFERROR(__xludf.DUMMYFUNCTION("GOOGLETRANSLATE(B249, ""en"", ""pt-br"")"),"Seu produto OK não é muito bom não ruim, barato e melhor, desempenho, funciona bem, não trabalhando com carregador rápido, este cabo Tipo C é incrível😍., Não suporta tela, bom")</f>
        <v>Seu produto OK não é muito bom não ruim, barato e melhor, desempenho, funciona bem, não trabalhando com carregador rápido, este cabo Tipo C é incrível😍., Não suporta tela, bom</v>
      </c>
      <c r="E249" s="29" t="str">
        <f>IFERROR(__xludf.DUMMYFUNCTION("GOOGLETRANSLATE(C249, ""en"", ""pt-br"")"),"Não é muito bom não tão ruim, se você tem a confiança do básico da Amazon, vá em frente. Estou escrevendo esta resenha depois de usá -la por 18 meses. Ainda tão resistente e durável quanto o novo., Nil, o usou por quinze dias até agora no meu carro por co"&amp;"brança móvel. Funciona bem., Não trabalhando com o Fast Charger, se você planeja usar com carregador normal, é muito bom. Qualidade do produto também é bom., Estou usando esse cabo desde 1 ano e atualmente este cabo está funcionando perfeitamente sem prob"&amp;"lemas. para conectar rede e carregamento, bom e útil")</f>
        <v>Não é muito bom não tão ruim, se você tem a confiança do básico da Amazon, vá em frente. Estou escrevendo esta resenha depois de usá -la por 18 meses. Ainda tão resistente e durável quanto o novo., Nil, o usou por quinze dias até agora no meu carro por cobrança móvel. Funciona bem., Não trabalhando com o Fast Charger, se você planeja usar com carregador normal, é muito bom. Qualidade do produto também é bom., Estou usando esse cabo desde 1 ano e atualmente este cabo está funcionando perfeitamente sem problemas. para conectar rede e carregamento, bom e útil</v>
      </c>
    </row>
    <row r="250">
      <c r="A250" s="9" t="s">
        <v>1038</v>
      </c>
      <c r="B250" s="29" t="str">
        <f>VLOOKUP(dados!A250, reviews!A:G, 5, FALSE)</f>
        <v>Great value for money,Iys good,Poor quality,Good Quality &amp; Great Charging Speed,Slow charging,Durable and fast,It doesn't fit to Samsung mobile,Very fast charge</v>
      </c>
      <c r="C250" s="29" t="str">
        <f>VLOOKUP(dados!A250, reviews!A:G, 6, FALSE)</f>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didn’t expect from Croma,Durable and fast,I couldn't connect it to Samsung mobile,Fast charge</v>
      </c>
      <c r="D250" s="29" t="str">
        <f>IFERROR(__xludf.DUMMYFUNCTION("GOOGLETRANSLATE(B250, ""en"", ""pt-br"")"),"Ótima relação custo")</f>
        <v>Ótima relação custo</v>
      </c>
      <c r="E250" s="29" t="str">
        <f>IFERROR(__xludf.DUMMYFUNCTION("GOOGLETRANSLATE(C250, ""en"", ""pt-br"")"),"Excelente produto, é apenas um dia de idade agora. Parece sábio, é bom, resistente e durável. Diz 60W capaz, não sei como medi -lo, mas funciona bem com meu tijolo de 25wats., O cabo de carregamento parou de funcionar dentro de 2 semanas. Optei por um cab"&amp;"o de carregamento básico e mais barato, mas todo o dinheiro foi desperdiçado. Agora, terei que comprar outro cabo de boa qualidade, construir a melhor qualidade no mercado e o cabo fornece uma carga rápida com o carregador de 25 W também, carregamento mui"&amp;"to lento, não esperava de Croma, durável e rápido, não consegui conectá -lo Para Samsung Mobile, carga rápida")</f>
        <v>Excelente produto, é apenas um dia de idade agora. Parece sábio, é bom, resistente e durável. Diz 60W capaz, não sei como medi -lo, mas funciona bem com meu tijolo de 25wats., O cabo de carregamento parou de funcionar dentro de 2 semanas. Optei por um cabo de carregamento básico e mais barato, mas todo o dinheiro foi desperdiçado. Agora, terei que comprar outro cabo de boa qualidade, construir a melhor qualidade no mercado e o cabo fornece uma carga rápida com o carregador de 25 W também, carregamento muito lento, não esperava de Croma, durável e rápido, não consegui conectá -lo Para Samsung Mobile, carga rápida</v>
      </c>
    </row>
    <row r="251">
      <c r="A251" s="9" t="s">
        <v>1042</v>
      </c>
      <c r="B251" s="29" t="str">
        <f>VLOOKUP(dados!A251, reviews!A:G, 5, FALSE)</f>
        <v>Product installation was excellent  but delivery staff pathetic👌,TV Picture quality is good.,TV Picture quality is good,Very nice,Great picture and sound quality,One of the best big screen TV,Service is not good,Nice TV</v>
      </c>
      <c r="C251" s="29" t="str">
        <f>VLOOKUP(dados!A251, reviews!A:G, 6, FALSE)</f>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don’t wish to purchase a sound bar, go for this model. The picture quality is beautiful, works with apple play, it’s a win win. I got the 43” for my bedroom on a great offer. And yeah, it’s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v>
      </c>
      <c r="D251" s="29" t="str">
        <f>IFERROR(__xludf.DUMMYFUNCTION("GOOGLETRANSLATE(B251, ""en"", ""pt-br"")"),"A instalação do produto foi excelente, mas a equipe de entrega patética👌, a qualidade da imagem da TV é boa.")</f>
        <v>A instalação do produto foi excelente, mas a equipe de entrega patética👌, a qualidade da imagem da TV é boa.</v>
      </c>
      <c r="E251" s="29" t="str">
        <f>IFERROR(__xludf.DUMMYFUNCTION("GOOGLETRANSLATE(C251, ""en"", ""pt-br"")"),"Os entregadores não tomaram cuidado com a descompactação. A Amazon precisa treinar sua equipe de entrega para desempacotar diferentes tipos de coisas, pois eles criaram uma política em que precisam abrir o pacote e verificar quaisquer defeitos. 2 estrelas"&amp;" para eles, pois não são cuidadosos com a descompactação. Pude ver que eles estavam segurando o painel de TV enquanto tiravam a TV da caixa e mesmo depois de dizer a eles para ter cuidado, eles não estavam. Além disso, o estande foi jogado no painel front"&amp;"al, porque ele entendeu onde estava quando eles abriram a caixa, o que poderia ter danificado a tela.Howerver muito satisfeito com a instalação da Sony. O engenheiro tem boas mãos e muito experiente com a instalação., A qualidade da imagem da TV é boa. A "&amp;"conexão Wi -Fi é pouco lenta, mas funciona principalmente se o roteador estiver próximo. A entrega foi boa e rápida. O serviço de instalação da Sony é muito pobre perto de Bengaluru. Guy chegou tarde, no dia seguinte, para o dia programado isso também dep"&amp;"ois de ligar muitas vezes. Ele veio e foi como uma bala não conta a maioria das coisas sobre a TV, como precisa atualizar o sistema e tudo. Mas a TV geral funciona bem. Temos Bravia de 65 polegadas., (Song TV contatada após esta resenha e resolveu tudo ab"&amp;"aixo da edição, obrigado Sony TV) A imagem e a qualidade do som são muito boas, mas em software tantos bugs (problema de conectividade automática WiFi precisa conectar o mesmo Wi -Fi repetidas vezes, a configuração do som após a conexão da barra de som pr"&amp;"ecisa se selecionarmos o sistema de áudio do alto -falante, precisar usar 2 controles remotos para fazer o ajuste de som; na minha TV Mi, estou usando apenas TV remoto para ajustar o som e a conectividade AAM Conecte a barra de som via Bluetooth (na Mi TV"&amp;", a mesma barra de som conectada facilmente) tamanho remoto é tão grande tantas teclas de falatu em remoto como 1 ro 9 sem chaves chaves avançadas etc. e no espaço em branco do lado. E Atualização de software AFTRR Eu vi Little Picture Qualidade baixa com"&amp;"o comparar antes da atualização do software., a TV é ótima neste preço de compra. As TVs da Sony geralmente são muito adaptáveis. A cor e a imagem são realmente boas. O som também é bom. No entanto, recomendaria usar alto -falantes externos com uma TV de "&amp;"Esse tamanho., Se você não deseja comprar uma barra de som, escolha este modelo. A qualidade da imagem é linda, funciona com o Apple Play, é uma vitória. Recebi os 43 ”para o meu quarto em uma ótima oferta. E sim, é uma Sony. Uma compra maravilhosa, absol"&amp;"utamente vale a pena., Melhor TV em seu segmento! Excelente qualidade construída. A Sony TV pode parecer um pouco volumosa em comparação com algumas outras TVs sofisticadas, mas eu vi ao longo dos anos que elas nunca se comprometerem com a qualidade. Fiqu"&amp;"ei pouco cético em relação à clareza da imagem, pois é grande (65 ""), mas achei melhor do que o esperado. Som. A qualidade também é muito boa para uma TV LED. Os canais não HD são um pouco menos claros (não é ruim; ainda é bom), mas é óbvio ver o tamanho"&amp;" da tela., Reclamou sobre a TV sendo atingida. O revendedor deles chamou enquanto eu estava dirigindo. Solicitado para ligar/ visitar a redefinição da TV mais tarde. Seu gerente de serviço entrou em teleconferência, ouviu. Ele aconselhou o revendedor a tr"&amp;"atar a chamada de serviço como fechada sem que seja resolvido e revendedor/ centro de serviço até a data não resolvida. Nossa TV ainda está Ficando pendurado às vezes e estamos gerenciando reiniciando a TV todas as vezes, comprei recentemente o modelo de "&amp;"43 polegadas. A qualidade da imagem e do som é boa. Ele não vem com um revestimento anti-Glare. Não instale a TV na frente de a janela.")</f>
        <v>Os entregadores não tomaram cuidado com a descompactação. A Amazon precisa treinar sua equipe de entrega para desempacotar diferentes tipos de coisas, pois eles criaram uma política em que precisam abrir o pacote e verificar quaisquer defeitos. 2 estrelas para eles, pois não são cuidadosos com a descompactação. Pude ver que eles estavam segurando o painel de TV enquanto tiravam a TV da caixa e mesmo depois de dizer a eles para ter cuidado, eles não estavam. Além disso, o estande foi jogado no painel frontal, porque ele entendeu onde estava quando eles abriram a caixa, o que poderia ter danificado a tela.Howerver muito satisfeito com a instalação da Sony. O engenheiro tem boas mãos e muito experiente com a instalação., A qualidade da imagem da TV é boa. A conexão Wi -Fi é pouco lenta, mas funciona principalmente se o roteador estiver próximo. A entrega foi boa e rápida. O serviço de instalação da Sony é muito pobre perto de Bengaluru. Guy chegou tarde, no dia seguinte, para o dia programado isso também depois de ligar muitas vezes. Ele veio e foi como uma bala não conta a maioria das coisas sobre a TV, como precisa atualizar o sistema e tudo. Mas a TV geral funciona bem. Temos Bravia de 65 polegadas., (Song TV contatada após esta resenha e resolveu tudo abaixo da edição, obrigado Sony TV) A imagem e a qualidade do som são muito boas, mas em software tantos bugs (problema de conectividade automática WiFi precisa conectar o mesmo Wi -Fi repetidas vezes, a configuração do som após a conexão da barra de som precisa se selecionarmos o sistema de áudio do alto -falante, precisar usar 2 controles remotos para fazer o ajuste de som; na minha TV Mi, estou usando apenas TV remoto para ajustar o som e a conectividade AAM Conecte a barra de som via Bluetooth (na Mi TV, a mesma barra de som conectada facilmente) tamanho remoto é tão grande tantas teclas de falatu em remoto como 1 ro 9 sem chaves chaves avançadas etc. e no espaço em branco do lado. E Atualização de software AFTRR Eu vi Little Picture Qualidade baixa como comparar antes da atualização do software., a TV é ótima neste preço de compra. As TVs da Sony geralmente são muito adaptáveis. A cor e a imagem são realmente boas. O som também é bom. No entanto, recomendaria usar alto -falantes externos com uma TV de Esse tamanho., Se você não deseja comprar uma barra de som, escolha este modelo. A qualidade da imagem é linda, funciona com o Apple Play, é uma vitória. Recebi os 43 ”para o meu quarto em uma ótima oferta. E sim, é uma Sony. Uma compra maravilhosa, absolutamente vale a pena., Melhor TV em seu segmento! Excelente qualidade construída. A Sony TV pode parecer um pouco volumosa em comparação com algumas outras TVs sofisticadas, mas eu vi ao longo dos anos que elas nunca se comprometerem com a qualidade. Fiquei pouco cético em relação à clareza da imagem, pois é grande (65 "), mas achei melhor do que o esperado. Som. A qualidade também é muito boa para uma TV LED. Os canais não HD são um pouco menos claros (não é ruim; ainda é bom), mas é óbvio ver o tamanho da tela., Reclamou sobre a TV sendo atingida. O revendedor deles chamou enquanto eu estava dirigindo. Solicitado para ligar/ visitar a redefinição da TV mais tarde. Seu gerente de serviço entrou em teleconferência, ouviu. Ele aconselhou o revendedor a tratar a chamada de serviço como fechada sem que seja resolvido e revendedor/ centro de serviço até a data não resolvida. Nossa TV ainda está Ficando pendurado às vezes e estamos gerenciando reiniciando a TV todas as vezes, comprei recentemente o modelo de 43 polegadas. A qualidade da imagem e do som é boa. Ele não vem com um revestimento anti-Glare. Não instale a TV na frente de a janela.</v>
      </c>
    </row>
    <row r="252">
      <c r="A252" s="9" t="s">
        <v>1046</v>
      </c>
      <c r="B252" s="29" t="str">
        <f>VLOOKUP(dados!A252, reviews!A:G, 5, FALSE)</f>
        <v>Good Product at this Price,Works well directly in front of TV,Iam so happy,Without battery how to check the remote control,Must buy,Good product…,Seven Mi remote,Worst</v>
      </c>
      <c r="C252" s="29" t="str">
        <f>VLOOKUP(dados!A252, reviews!A:G, 6, FALSE)</f>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 product quality is very good Thanks 😊💯,Nice product,It works only when you are one feet away from TV. Doesn't serve the purpose.in one word it do not know the meaning of word remote</v>
      </c>
      <c r="D252" s="29" t="str">
        <f>IFERROR(__xludf.DUMMYFUNCTION("GOOGLETRANSLATE(B252, ""en"", ""pt-br"")"),"Bom produto a esse preço, funciona bem diretamente na frente da TV, estou tão feliz, sem bateria como verificar o controle remoto, deve comprar, bom produto ..., sete mi remoto, pior")</f>
        <v>Bom produto a esse preço, funciona bem diretamente na frente da TV, estou tão feliz, sem bateria como verificar o controle remoto, deve comprar, bom produto ..., sete mi remoto, pior</v>
      </c>
      <c r="E252" s="29" t="str">
        <f>IFERROR(__xludf.DUMMYFUNCTION("GOOGLETRANSLATE(C252, ""en"", ""pt-br"")"),"O controle remoto é tão bom e funciona sem problemas com um leve clique. Não há necessidade de pressionar com muita força, apenas um clique suave necessário sem nenhum esforço. Deveria ser melhor se houver botões Netflix, Prime e YouTube, mas nessa faixa "&amp;"de preço parece bom comigo. Ele se conecta através de raios infravermelhos em vez de Bluetooth, mas funciona absolutamente bem. Este controle remoto é para MI 4A 43, 32 e outros modelos de Mi semelhantes. Se sua TV Mi não tiver Bluetooth, esse controle re"&amp;"moto é perfeito para você a esse preço. Certifique-se de colocar novas baterias novas .., a melhor qualidade me dê remoto, https: //m.media-amazon.com /images/i/61tcj98qidl._sy88.jpg,Product é bom é barato, mas ao mesmo tempo útil. Deve comprar, entrega m"&amp;"ais rápida ... A qualidade do produto é muito boa, obrigado 😊💯, bom produto, ele funciona apenas quando você está a um metro da TV. Não serve ao propósito. Em uma palavra, não sabe o significado do controle remoto")</f>
        <v>O controle remoto é tão bom e funciona sem problemas com um leve clique. Não há necessidade de pressionar com muita força, apenas um clique suave necessário sem nenhum esforço. Deveria ser melhor se houver botões Netflix, Prime e YouTube, mas nessa faixa de preço parece bom comigo. Ele se conecta através de raios infravermelhos em vez de Bluetooth, mas funciona absolutamente bem. Este controle remoto é para MI 4A 43, 32 e outros modelos de Mi semelhantes. Se sua TV Mi não tiver Bluetooth, esse controle remoto é perfeito para você a esse preço. Certifique-se de colocar novas baterias novas .., a melhor qualidade me dê remoto, https: //m.media-amazon.com /images/i/61tcj98qidl._sy88.jpg,Product é bom é barato, mas ao mesmo tempo útil. Deve comprar, entrega mais rápida ... A qualidade do produto é muito boa, obrigado 😊💯, bom produto, ele funciona apenas quando você está a um metro da TV. Não serve ao propósito. Em uma palavra, não sabe o significado do controle remoto</v>
      </c>
    </row>
    <row r="253">
      <c r="A253" s="9" t="s">
        <v>1050</v>
      </c>
      <c r="B253" s="29" t="str">
        <f>VLOOKUP(dados!A253, reviews!A:G, 5, FALSE)</f>
        <v>Netflix button not working others works well,Good,Compatible with Vu Premium TV,Not like the original one..  but not bad.,Not Good Quality,Working fine,Half of the button doesn’t work,Hardness</v>
      </c>
      <c r="C253" s="29" t="str">
        <f>VLOOKUP(dados!A253, reviews!A:G, 6, FALSE)</f>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v>
      </c>
      <c r="D253" s="29" t="str">
        <f>IFERROR(__xludf.DUMMYFUNCTION("GOOGLETRANSLATE(B253, ""en"", ""pt-br"")"),"O botão da Netflix não está funcionando com os outros funciona bem, bom, compatível com a VU Premium TV, não como o original ... mas não é ruim., Não é de boa qualidade, funcionando bem, metade do botão não funciona, dureza")</f>
        <v>O botão da Netflix não está funcionando com os outros funciona bem, bom, compatível com a VU Premium TV, não como o original ... mas não é ruim., Não é de boa qualidade, funcionando bem, metade do botão não funciona, dureza</v>
      </c>
      <c r="E253" s="29" t="str">
        <f>IFERROR(__xludf.DUMMYFUNCTION("GOOGLETRANSLATE(C253, ""en"", ""pt-br"")"),"Bom como, bom, comprou um controle remoto de backup para a VU Premium Smart TV. É totalmente compatível. O controle remoto não possui microfone, portanto, o assistente do Google não funciona., As chaves são de borracha ... não como a original ... mas não "&amp;"é ruim, por favor, não compra, muito baixa qualidade e dentro de um mês os botões que não estão funcionando adequadamente ...., funcionando bem como o esperado, os botões não estão funcionando corretamente !! Apenas 40% de trabalho REST são apenas parte d"&amp;"o design, em vez de optar por um original !!, os botões são tão difíceis de pressionar")</f>
        <v>Bom como, bom, comprou um controle remoto de backup para a VU Premium Smart TV. É totalmente compatível. O controle remoto não possui microfone, portanto, o assistente do Google não funciona., As chaves são de borracha ... não como a original ... mas não é ruim, por favor, não compra, muito baixa qualidade e dentro de um mês os botões que não estão funcionando adequadamente ...., funcionando bem como o esperado, os botões não estão funcionando corretamente !! Apenas 40% de trabalho REST são apenas parte do design, em vez de optar por um original !!, os botões são tão difíceis de pressionar</v>
      </c>
    </row>
    <row r="254">
      <c r="A254" s="9" t="s">
        <v>1054</v>
      </c>
      <c r="B254" s="29" t="str">
        <f>VLOOKUP(dados!A254, reviews!A:G, 5, FALSE)</f>
        <v>Cable is working properly,Sturdy,Ok,Its very slow in terms of speed,Good Cable,Plug fits little tight, but does the job fine,Good product,GOOD</v>
      </c>
      <c r="C254" s="29" t="str">
        <f>VLOOKUP(dados!A254, reviews!A:G, 6, FALSE)</f>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v>
      </c>
      <c r="D254" s="29" t="str">
        <f>IFERROR(__xludf.DUMMYFUNCTION("GOOGLETRANSLATE(B254, ""en"", ""pt-br"")"),"Cable está funcionando corretamente, resistente, ok, é muito lento em termos de velocidade, bom cabo, plugue se encaixa pouco apertado, mas o trabalho é bom, bom produto, bom")</f>
        <v>Cable está funcionando corretamente, resistente, ok, é muito lento em termos de velocidade, bom cabo, plugue se encaixa pouco apertado, mas o trabalho é bom, bom produto, bom</v>
      </c>
      <c r="E254" s="29" t="str">
        <f>IFERROR(__xludf.DUMMYFUNCTION("GOOGLETRANSLATE(C254, ""en"", ""pt-br"")"),"Cable está funcionando propomente, mas o preço está do lado mais alto., Boa qualidade, o cabo era muito curto, olá a todos, não opte por isso. Eu recebi da Seagate Company. Meu cabo original mostra a velocidade de corte e cópias para SSD como 30 a 150 MBs"&amp;" PS por segundo. Mas esse cabo faz em torno de 10 a 80 MBs principalmente. O cabo também é muito fino em tamanho, o Seagate original é muito grosso e resistente. No final da velocidade, se você tiver um disco rígido externo de 2 ou 4 TB, ele carregará len"&amp;"tamente após a conexão, as pastas continuam carregando e carregando. Então, eu prefiro sugerir que vá com um cabo de velocidade de 10 GBs que terá um cabo 3 3.1. Mas faz bem o trabalho., É um bom produto. Trabalha com todos os laptops e discos rígidos. Cu"&amp;"sto-benefício. Produto recompensado, bom")</f>
        <v>Cable está funcionando propomente, mas o preço está do lado mais alto., Boa qualidade, o cabo era muito curto, olá a todos, não opte por isso. Eu recebi da Seagate Company. Meu cabo original mostra a velocidade de corte e cópias para SSD como 30 a 150 MBs PS por segundo. Mas esse cabo faz em torno de 10 a 80 MBs principalmente. O cabo também é muito fino em tamanho, o Seagate original é muito grosso e resistente. No final da velocidade, se você tiver um disco rígido externo de 2 ou 4 TB, ele carregará lentamente após a conexão, as pastas continuam carregando e carregando. Então, eu prefiro sugerir que vá com um cabo de velocidade de 10 GBs que terá um cabo 3 3.1. Mas faz bem o trabalho., É um bom produto. Trabalha com todos os laptops e discos rígidos. Custo-benefício. Produto recompensado, bom</v>
      </c>
    </row>
    <row r="255">
      <c r="A255" s="9" t="s">
        <v>1058</v>
      </c>
      <c r="B255" s="29" t="str">
        <f>VLOOKUP(dados!A255, reviews!A:G, 5, FALSE)</f>
        <v>Worked on iPhone 7 and didn’t work on XR,Good one,Dull Physical Looks,Just Buy it,Go for it,About the product,Get charging cable at the price,Working well.</v>
      </c>
      <c r="C255" s="29" t="str">
        <f>VLOOKUP(dados!A255, reviews!A:G, 6, FALSE)</f>
        <v>Worked on iPhone 7 and didn’t work on iPhone XR,https://m.media-amazon.com/images/W/WEBP_402378-T1/images/I/71qFFAlV9ZL._SY88.jpg,Look-wise,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D255" s="29" t="str">
        <f>IFERROR(__xludf.DUMMYFUNCTION("GOOGLETRANSLATE(B255, ""en"", ""pt-br"")"),"Trabalhou no iPhone 7 e não trabalhou no XR, bom, looks físicos sem graça, basta comprá -lo, seguir em frente, sobre o produto, obter o cabo de carregamento pelo preço, funcionando bem.")</f>
        <v>Trabalhou no iPhone 7 e não trabalhou no XR, bom, looks físicos sem graça, basta comprá -lo, seguir em frente, sobre o produto, obter o cabo de carregamento pelo preço, funcionando bem.</v>
      </c>
      <c r="E255" s="29" t="str">
        <f>IFERROR(__xludf.DUMMYFUNCTION("GOOGLETRANSLATE(C255, ""en"", ""pt-br"")"),"Trabalhei no iPhone 7 e não trabalhou no iPhone XR, https: //m.media-amazon.com/images/w/webp_402378-t1/images/i/71qffalv9zl._sy88.jpg.look-wise, eu não foi T gosto disso. Ainda assim, eu o uso para o meu trabalho., O produto é muito bom e está carregando"&amp;" rapidamente. Parece o último longo., A robustez dependerá da maneira de seu uso. Mas sua velocidade de carregamento é ótima. Produto muito bom para o grupo de renda média., É ótimo para carregar dispositivos com vários tipos de portas. Mas funciona melho"&amp;"r ao carregar um dispositivo de cada vez., Bom item.")</f>
        <v>Trabalhei no iPhone 7 e não trabalhou no iPhone XR, https: //m.media-amazon.com/images/w/webp_402378-t1/images/i/71qffalv9zl._sy88.jpg.look-wise, eu não foi T gosto disso. Ainda assim, eu o uso para o meu trabalho., O produto é muito bom e está carregando rapidamente. Parece o último longo., A robustez dependerá da maneira de seu uso. Mas sua velocidade de carregamento é ótima. Produto muito bom para o grupo de renda média., É ótimo para carregar dispositivos com vários tipos de portas. Mas funciona melhor ao carregar um dispositivo de cada vez., Bom item.</v>
      </c>
    </row>
    <row r="256">
      <c r="A256" s="9" t="s">
        <v>1062</v>
      </c>
      <c r="B256" s="29" t="str">
        <f>VLOOKUP(dados!A256, reviews!A:G, 5, FALSE)</f>
        <v>Good product,Average product quality,Good,Good product,Nice product,Nice product,super product s,Set up box wall mounted without screws</v>
      </c>
      <c r="C256" s="29" t="str">
        <f>VLOOKUP(dados!A256, reviews!A:G, 6, FALSE)</f>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v>
      </c>
      <c r="D256" s="29" t="str">
        <f>IFERROR(__xludf.DUMMYFUNCTION("GOOGLETRANSLATE(B256, ""en"", ""pt-br"")"),"Bom produto, qualidade média do produto, bom, bom produto, bom produto, bom produto, super produto S, montagem de parede de caixa montada sem parafusos")</f>
        <v>Bom produto, qualidade média do produto, bom, bom produto, bom produto, bom produto, super produto S, montagem de parede de caixa montada sem parafusos</v>
      </c>
      <c r="E256" s="29" t="str">
        <f>IFERROR(__xludf.DUMMYFUNCTION("GOOGLETRANSLATE(C256, ""en"", ""pt-br"")"),"Bom produto, produto ok a preço barato. Mas cobranças de entrega muito altas, mesmo para clientes principais. A qualidade não é ótima (plástico barato), mas tem seu objetivo. Valor do dinheiro, Super Product S, foi enviado sem parafusos. Decepcionado por "&amp;"isso. Mas em geral resistente. Atualizará. Tamanho do parafuso mostrado na imagem.")</f>
        <v>Bom produto, produto ok a preço barato. Mas cobranças de entrega muito altas, mesmo para clientes principais. A qualidade não é ótima (plástico barato), mas tem seu objetivo. Valor do dinheiro, Super Product S, foi enviado sem parafusos. Decepcionado por isso. Mas em geral resistente. Atualizará. Tamanho do parafuso mostrado na imagem.</v>
      </c>
    </row>
    <row r="257">
      <c r="A257" s="9" t="s">
        <v>1066</v>
      </c>
      <c r="B257" s="29" t="str">
        <f>VLOOKUP(dados!A257, reviews!A:G, 5, FALSE)</f>
        <v>Good TV for the price. (But my experience was not perfect),Good but not best  @!@,Decent tv for the price but misses on basic smart features,Perfect one in our budget. Speedy and customer friendly approach from vu</v>
      </c>
      <c r="C257" s="29" t="str">
        <f>VLOOKUP(dados!A257, reviews!A:G, 6, FALSE)</f>
        <v>,Screen quality is good.It's been a month I bought it still working fine.Two main negatives are1• It doesn't have default option to directly start on tata sky tv, we have to select hdmi option from input menu to select tata sky which one is plugged in.2•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v>
      </c>
      <c r="D257" s="29" t="str">
        <f>IFERROR(__xludf.DUMMYFUNCTION("GOOGLETRANSLATE(B257, ""en"", ""pt-br"")"),"Boa TV pelo preço. (Mas minha experiência não foi perfeita), boa, mas não é a melhor @! @, TV decente pelo preço, mas perde os recursos inteligentes básicos, perfeitos em nosso orçamento. Abordagem rápida e amigável ao cliente da VU")</f>
        <v>Boa TV pelo preço. (Mas minha experiência não foi perfeita), boa, mas não é a melhor @! @, TV decente pelo preço, mas perde os recursos inteligentes básicos, perfeitos em nosso orçamento. Abordagem rápida e amigável ao cliente da VU</v>
      </c>
      <c r="E257" s="29" t="str">
        <f>IFERROR(__xludf.DUMMYFUNCTION("GOOGLETRANSLATE(C257, ""en"", ""pt-br"")"),", A qualidade da tela é boa. Faz um mês que eu o comprei ainda funcionando bem. Dois principais negativos são 1 • Não possui opção padrão para iniciar diretamente na TAT TATS, temos que selecionar a opção HDMI no menu de entrada para selecionar Tata Sky q"&amp;"ual está conectado. Tudo bem com ele ótimos gráficos.Clusão: se alguém pedir a mim se pode comprá -lo ou não uma resposta de mina será, nem sim nem. Assim como eu) então vá em frente. Definitivamente não !!., Eu sempre compro e recomendo a Samsung Sony ou"&amp;" LG para a TV. Mas, tive um orçamento difícil desta vez e escolhi a VU porque meus amigos o usam há pelo menos 4-5 anos sem muitos problemas. Enquanto a entrega e a instalação foram excelentes, e a TV em geral é um pacote decente que dá bom Clareza do que"&amp;" as TVs e o som chinês rivais, os recursos inteligentes são ruins aqui. Você pode conectar fones de ouvido Bluetooth, mas não há opção de desconectá -los. Eu tive que emparelhar e desparasta sempre. Não há botão de comando de voz no controle remoto. Mesmo"&amp;" usando o botão de tela para entrada de voz, nada é reconhecido. Meu reconhecimento de voz de 3k Fire Stick foi muito bom. Comprei a TV Vu Gloled 55 polegadas após sugestão de meus amigos técnicos e estudo on -line. O técnico da Amazon veio à minha casa p"&amp;"ara instalação no modo bêbado. Mas me comprometi com ele devido à agenda de trabalho lotada. Ele instalou a TV com seus pequenos parafusos em vez de parafusos de parede padrão da VU. Ele fez o que quiser. A instalação adequada não foi realizada. Apenas me"&amp;" acalmei e depois dei uma queixa aos serviços ao cliente da Amazon e da VU. A Amazon não foi respondida adequadamente até agora. Mas do lado da VU, recebi uma grande resposta da solução de problemas. Os executivos de Min 3 a 4 Customercare falaram comigo,"&amp;" finalmente o vice -presidente da VU Prashanth me telefonou e pediu desculpas por inconvenientes. Ele disse ao técnico bêbado não é da VU. Eu me sinto bem para os executivos de nível superior da VU têm interação comigo. De baixo para o nível superior, a e"&amp;"quipe VUS em contato comigo por um mês para resolver meu problema devido a ficar longe de casa. Antes de alguns dias atrás, o técnico chegou à minha casa novamente de Vu. Ele reinstalou minha TV em posição perfeita com dedicação. Eu nunca espero tanto com"&amp;"portamento amigável ao cliente da VU, muito obrigado Vu. Parabéns à equipe da VU ...")</f>
        <v>, A qualidade da tela é boa. Faz um mês que eu o comprei ainda funcionando bem. Dois principais negativos são 1 • Não possui opção padrão para iniciar diretamente na TAT TATS, temos que selecionar a opção HDMI no menu de entrada para selecionar Tata Sky qual está conectado. Tudo bem com ele ótimos gráficos.Clusão: se alguém pedir a mim se pode comprá -lo ou não uma resposta de mina será, nem sim nem. Assim como eu) então vá em frente. Definitivamente não !!., Eu sempre compro e recomendo a Samsung Sony ou LG para a TV. Mas, tive um orçamento difícil desta vez e escolhi a VU porque meus amigos o usam há pelo menos 4-5 anos sem muitos problemas. Enquanto a entrega e a instalação foram excelentes, e a TV em geral é um pacote decente que dá bom Clareza do que as TVs e o som chinês rivais, os recursos inteligentes são ruins aqui. Você pode conectar fones de ouvido Bluetooth, mas não há opção de desconectá -los. Eu tive que emparelhar e desparasta sempre. Não há botão de comando de voz no controle remoto. Mesmo usando o botão de tela para entrada de voz, nada é reconhecido. Meu reconhecimento de voz de 3k Fire Stick foi muito bom. Comprei a TV Vu Gloled 55 polegadas após sugestão de meus amigos técnicos e estudo on -line. O técnico da Amazon veio à minha casa para instalação no modo bêbado. Mas me comprometi com ele devido à agenda de trabalho lotada. Ele instalou a TV com seus pequenos parafusos em vez de parafusos de parede padrão da VU. Ele fez o que quiser. A instalação adequada não foi realizada. Apenas me acalmei e depois dei uma queixa aos serviços ao cliente da Amazon e da VU. A Amazon não foi respondida adequadamente até agora. Mas do lado da VU, recebi uma grande resposta da solução de problemas. Os executivos de Min 3 a 4 Customercare falaram comigo, finalmente o vice -presidente da VU Prashanth me telefonou e pediu desculpas por inconvenientes. Ele disse ao técnico bêbado não é da VU. Eu me sinto bem para os executivos de nível superior da VU têm interação comigo. De baixo para o nível superior, a equipe VUS em contato comigo por um mês para resolver meu problema devido a ficar longe de casa. Antes de alguns dias atrás, o técnico chegou à minha casa novamente de Vu. Ele reinstalou minha TV em posição perfeita com dedicação. Eu nunca espero tanto comportamento amigável ao cliente da VU, muito obrigado Vu. Parabéns à equipe da VU ...</v>
      </c>
    </row>
    <row r="258">
      <c r="A258" s="9" t="s">
        <v>1069</v>
      </c>
      <c r="B258" s="29" t="str">
        <f>VLOOKUP(dados!A258, reviews!A:G, 5, FALSE)</f>
        <v>Good Built Quality Product.,Good quality cable,Useful product but plz check the output ports in ur tV,Nice product,Good,Very good,Good Quality,Best ever</v>
      </c>
      <c r="C258" s="29" t="str">
        <f>VLOOKUP(dados!A258, reviews!A:G, 6, FALSE)</f>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v>
      </c>
      <c r="D258" s="29" t="str">
        <f>IFERROR(__xludf.DUMMYFUNCTION("GOOGLETRANSLATE(B258, ""en"", ""pt-br"")"),"Bom produto de qualidade construída., Cabo de boa qualidade, produto útil, mas por favor verifique as portas de saída na sua TV, bom produto, bom, muito bom, de boa qualidade, melhor de todos os tempos")</f>
        <v>Bom produto de qualidade construída., Cabo de boa qualidade, produto útil, mas por favor verifique as portas de saída na sua TV, bom produto, bom, muito bom, de boa qualidade, melhor de todos os tempos</v>
      </c>
      <c r="E258" s="29" t="str">
        <f>IFERROR(__xludf.DUMMYFUNCTION("GOOGLETRANSLATE(C258, ""en"", ""pt-br"")"),"Boa qualidade construída + áudio claro + valor para dinheiro, comprei este cabo para conectar meu telefone ao meu sistema de home theater em Onkyo, pois suporta apenas a RCA aux. A qualidade do cabo é boa e é banhada a ouro. Embora eu tenha acabado de com"&amp;"prar o cabo, não pode comentar sua durabilidade. Embora isso venha com 2 anos de garantia, portanto, não antecipa nenhum problema, produto de boa qualidade. A saída de som é um pouco baixa devido ao pino aux. Pelo menos está conectado à saída da LG TV Aux"&amp;"., O som é ótimo, bom produto, produto muito bom, vem em um bom pacote. O áudio é nítido e claro. Uma boa escolha para ir")</f>
        <v>Boa qualidade construída + áudio claro + valor para dinheiro, comprei este cabo para conectar meu telefone ao meu sistema de home theater em Onkyo, pois suporta apenas a RCA aux. A qualidade do cabo é boa e é banhada a ouro. Embora eu tenha acabado de comprar o cabo, não pode comentar sua durabilidade. Embora isso venha com 2 anos de garantia, portanto, não antecipa nenhum problema, produto de boa qualidade. A saída de som é um pouco baixa devido ao pino aux. Pelo menos está conectado à saída da LG TV Aux., O som é ótimo, bom produto, produto muito bom, vem em um bom pacote. O áudio é nítido e claro. Uma boa escolha para ir</v>
      </c>
    </row>
    <row r="259">
      <c r="A259" s="9" t="s">
        <v>1073</v>
      </c>
      <c r="B259" s="29" t="str">
        <f>VLOOKUP(dados!A259, reviews!A:G, 5, FALSE)</f>
        <v>Worth the money spent,Nice product also the sterdiness good as expected.,Not the correct charger for Samsung S9,Nice product,Superb,Doubts on fast charging,One time purchase,Good Product</v>
      </c>
      <c r="C259" s="29" t="str">
        <f>VLOOKUP(dados!A259, reviews!A:G, 6, FALSE)</f>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v>
      </c>
      <c r="D259" s="29" t="str">
        <f>IFERROR(__xludf.DUMMYFUNCTION("GOOGLETRANSLATE(B259, ""en"", ""pt-br"")"),"Vale o dinheiro gasto, bom produto e também a esteritura boa como o esperado., Não é o carregador correto para a Samsung S9, bom produto, excelente, duvida de carregamento rápido, compra única, bom produto")</f>
        <v>Vale o dinheiro gasto, bom produto e também a esteritura boa como o esperado., Não é o carregador correto para a Samsung S9, bom produto, excelente, duvida de carregamento rápido, compra única, bom produto</v>
      </c>
      <c r="E259" s="29" t="str">
        <f>IFERROR(__xludf.DUMMYFUNCTION("GOOGLETRANSLATE(C259, ""en"", ""pt-br"")"),"O cabo é longo e durável. Vale a pena a compra., Recomendo este produto quem precisa de um carregamento robusto e rápido também lembre -se de que seu carregador precisa suportar enquanto usa esse cabo, depois de ver os comentários que pedi para este produ"&amp;"to para o meu Samsung S9 Mobile. Embora o cabo seja muito constante e bom, falha no objetivo principal. Quando eu mantenho meu celular por carregar, o alfinete é muito apertado e temo que, ao colocar e remover meu chip de carregamento móvel, que se quebre"&amp;", pois é muito apertado. Estou procurando outra alternativa. Então, se você estiver procurando um carregador para o Samsung Mobile S9, por favor, para não comprá -lo., Bom, excelente, eu tenho um telefone celular OnePlus 6 e tenho um carregador de traço e"&amp;" um cabo OnePlus, que se torna uma combinação de carregamento rápido. No entanto, quando conectei este cabo com o carregador de traço. Não estava carregando rapidamente meu telefone. Por isso, não posso dizer se não é um cabo de carregamento rápido, mas, "&amp;"como um cabo de carregamento comum, isso está funcionando perfeitamente bem, este é um dos melhores cabos para carregamento rápido. Eu tenho 3 unidades de cabo do tipo C 2 metros. Eu não acho que isso receberá danos em breve. A qualidade é muito boa e car"&amp;"regando S22 Ultra, Galaxy Note 8 etc sem nenhum problema. Graças à China, produto padrão. Vale o dinheiro.....")</f>
        <v>O cabo é longo e durável. Vale a pena a compra., Recomendo este produto quem precisa de um carregamento robusto e rápido também lembre -se de que seu carregador precisa suportar enquanto usa esse cabo, depois de ver os comentários que pedi para este produto para o meu Samsung S9 Mobile. Embora o cabo seja muito constante e bom, falha no objetivo principal. Quando eu mantenho meu celular por carregar, o alfinete é muito apertado e temo que, ao colocar e remover meu chip de carregamento móvel, que se quebre, pois é muito apertado. Estou procurando outra alternativa. Então, se você estiver procurando um carregador para o Samsung Mobile S9, por favor, para não comprá -lo., Bom, excelente, eu tenho um telefone celular OnePlus 6 e tenho um carregador de traço e um cabo OnePlus, que se torna uma combinação de carregamento rápido. No entanto, quando conectei este cabo com o carregador de traço. Não estava carregando rapidamente meu telefone. Por isso, não posso dizer se não é um cabo de carregamento rápido, mas, como um cabo de carregamento comum, isso está funcionando perfeitamente bem, este é um dos melhores cabos para carregamento rápido. Eu tenho 3 unidades de cabo do tipo C 2 metros. Eu não acho que isso receberá danos em breve. A qualidade é muito boa e carregando S22 Ultra, Galaxy Note 8 etc sem nenhum problema. Graças à China, produto padrão. Vale o dinheiro.....</v>
      </c>
    </row>
    <row r="260">
      <c r="A260" s="9" t="s">
        <v>1077</v>
      </c>
      <c r="B260" s="29" t="str">
        <f>VLOOKUP(dados!A260, reviews!A:G, 5, FALSE)</f>
        <v>Good product,Good one,Nice,Really nice product,Very first time change,Good,Fine product but could be better,Very nice it's charging like jet</v>
      </c>
      <c r="C260" s="29" t="str">
        <f>VLOOKUP(dados!A260, reviews!A:G, 6, FALSE)</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c r="D260" s="29" t="str">
        <f>IFERROR(__xludf.DUMMYFUNCTION("GOOGLETRANSLATE(B260, ""en"", ""pt-br"")"),"Bom produto, bom, bom, muito bom produto, mudança de primeira vez, bom, bom produto, mas pode ser melhor, muito bom, está cobrando como jato")</f>
        <v>Bom produto, bom, bom, muito bom produto, mudança de primeira vez, bom, bom produto, mas pode ser melhor, muito bom, está cobrando como jato</v>
      </c>
      <c r="E260" s="29" t="str">
        <f>IFERROR(__xludf.DUMMYFUNCTION("GOOGLETRANSLATE(C260, ""en"", ""pt-br"")"),"Bom produto, fio longo, carrega bom, legal, comprei este cabo para um produto digno de Rs.339 por esse preço, testei em vários adaptadores de carregador 33W e 18W, ele também suporta carregamento rápido. Isso a um bom preço à venda na Amazon e o produto é"&amp;" útil na garantia, mas para a garantia você precisa ir muito longe, não é prático por esse custo e meu micro para o conector do tipo C parou de funcionar após alguns dias., Gosto deste produto")</f>
        <v>Bom produto, fio longo, carrega bom, legal, comprei este cabo para um produto digno de Rs.339 por esse preço, testei em vários adaptadores de carregador 33W e 18W, ele também suporta carregamento rápido. Isso a um bom preço à venda na Amazon e o produto é útil na garantia, mas para a garantia você precisa ir muito longe, não é prático por esse custo e meu micro para o conector do tipo C parou de funcionar após alguns dias., Gosto deste produto</v>
      </c>
    </row>
    <row r="261">
      <c r="A261" s="9" t="s">
        <v>1081</v>
      </c>
      <c r="B261" s="29" t="str">
        <f>VLOOKUP(dados!A261, reviews!A:G, 5, FALSE)</f>
        <v>Looks more durable,cheap n best,Good length and charging speed.,Works,Works like a charm,stopped working,Good,Excellent Product</v>
      </c>
      <c r="C261" s="29" t="str">
        <f>VLOOKUP(dados!A261, reviews!A:G, 6, FALSE)</f>
        <v>This is my third time which purchasing a lightning cable though this is my first time Iam using Amazon basics lightning cable it’s comparatively looks more durability than other brands normally other brands are worn out with in a year and I tested product there’s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v>
      </c>
      <c r="D261" s="29" t="str">
        <f>IFERROR(__xludf.DUMMYFUNCTION("GOOGLETRANSLATE(B261, ""en"", ""pt-br"")"),"Parece mais durável, barato n melhor, bom comprimento e velocidade de carregamento., Funciona, funciona como um charme, parou de funcionar, bom e excelente produto")</f>
        <v>Parece mais durável, barato n melhor, bom comprimento e velocidade de carregamento., Funciona, funciona como um charme, parou de funcionar, bom e excelente produto</v>
      </c>
      <c r="E261" s="29" t="str">
        <f>IFERROR(__xludf.DUMMYFUNCTION("GOOGLETRANSLATE(C261, ""en"", ""pt-br"")"),"Esta é a minha terceira vez que compra um cabo de raios, embora esta seja a minha primeira vez que Iam usando o Cabo de Lightning Basics Amazon, é comparativamente mais durabilidade do que outras marcas normalmente que outras marcas são usadas em um ano e"&amp;" eu testei o produto que não há falha na cobrança e dobrar o cabo, uma das soluções baratas para os usuários da Apple, um produto útil para aqueles que desejam um comprimento de cordão longa. Encomende se o Apple Cable for muito caro, estava procurando um"&amp;" cabo resistente e confiável para o meu iPhone 13, sem nenhum compromisso sobre a qualidade, a ser usado no meu carro para o Apple Car Play. Este cabo oferece a qualidade que eu esperava e funciona como um encanto., Parou de funcionar. Deseja reivindicar "&amp;"garantia como isso pode ser feito ??, item de valor para dinheiro, excelente produto")</f>
        <v>Esta é a minha terceira vez que compra um cabo de raios, embora esta seja a minha primeira vez que Iam usando o Cabo de Lightning Basics Amazon, é comparativamente mais durabilidade do que outras marcas normalmente que outras marcas são usadas em um ano e eu testei o produto que não há falha na cobrança e dobrar o cabo, uma das soluções baratas para os usuários da Apple, um produto útil para aqueles que desejam um comprimento de cordão longa. Encomende se o Apple Cable for muito caro, estava procurando um cabo resistente e confiável para o meu iPhone 13, sem nenhum compromisso sobre a qualidade, a ser usado no meu carro para o Apple Car Play. Este cabo oferece a qualidade que eu esperava e funciona como um encanto., Parou de funcionar. Deseja reivindicar garantia como isso pode ser feito ??, item de valor para dinheiro, excelente produto</v>
      </c>
    </row>
    <row r="262">
      <c r="A262" s="9" t="s">
        <v>1085</v>
      </c>
      <c r="B262" s="29" t="str">
        <f>VLOOKUP(dados!A262, reviews!A:G, 5, FALSE)</f>
        <v>Good cable,This amazon basics cable does the job perfectly well.,Good, sturdy cable,Necessary product connector HDMI,Best quality cable I have had,Male to Female HDMI Extension Cable,very nice wire,Ultimate connectivity.... Using more than couple of years...</v>
      </c>
      <c r="C262" s="29" t="str">
        <f>VLOOKUP(dados!A262, reviews!A:G, 6, FALSE)</f>
        <v>Good quality cable.,I had projector flickering issues while connectIng to my 2018 MacBook pro 13”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v>
      </c>
      <c r="D262" s="29" t="str">
        <f>IFERROR(__xludf.DUMMYFUNCTION("GOOGLETRANSLATE(B262, ""en"", ""pt-br"")"),"Bom cabo, este cabo básico da Amazon faz o trabalho perfeitamente bem., Bom, cabo resistente, conector de produto necessário HDMI, cabo de melhor qualidade que tive, cabo de extensão HDMI masculino a feminino, fio muito agradável, conectividade definitiva"&amp;" .... usando mais do que alguns anos ...")</f>
        <v>Bom cabo, este cabo básico da Amazon faz o trabalho perfeitamente bem., Bom, cabo resistente, conector de produto necessário HDMI, cabo de melhor qualidade que tive, cabo de extensão HDMI masculino a feminino, fio muito agradável, conectividade definitiva .... usando mais do que alguns anos ...</v>
      </c>
      <c r="E262" s="29" t="str">
        <f>IFERROR(__xludf.DUMMYFUNCTION("GOOGLETRANSLATE(C262, ""en"", ""pt-br"")"),"Cabo de boa qualidade., Tive problemas de trêmula de projetor enquanto me conectava ao meu MacBook Pro 13 ”de 2018” com um adaptador USB C a HDMI de terceiros, estendido por outro cabo HDMI de ponta a um projetor Epson. Tentei redefinir o NVRAM e redefini"&amp;"r o System Magement Controller (SMC) do MacBook, mas nenhum deles funcionou. Finalmente comprou este cabo Basics Amazon e agora ele se conecta sem qualquer pista e exibe todo o conteúdo HD reproduzido no YouTube, Prime Video e iTunes., Boa qualidade. Usou"&amp;" -o como cabo de extensão entre o Amazon 4K Fire Stick e a TV., Muito durável e de boa qualidade., A qualidade desta peça é muito boa. O cabo é quase tão espesso quanto uma caneta piloto (imagem anexada) e não há degradação na qualidade. É claro que não s"&amp;"ou profissional e não fiz nenhuma medição precisa; Apenas comentando como é para um olho normal. Se você precisar correr um cabo longo (6 pés podem não ser longos o suficiente para as salas de estar, nesse caso, acho que o 10 pés será mais útil), compre i"&amp;"sso e aproveite a paz de espírito. A Amazon está funcionando bem para conectar meu laptop ao aparelho de TV e eu não enfrentei nenhum problema até agora. Sinto -me feliz., Gosto muito disso, antes de encomendar o arame HDMI do 3feet AmazonBasics e isso fo"&amp;"i muito bom, agora esse fio é muito melhor do que antes, muito mais espesso, recomendo isso, executando ótimo até agora .... usando mais do que alguns anos daqui a")</f>
        <v>Cabo de boa qualidade., Tive problemas de trêmula de projetor enquanto me conectava ao meu MacBook Pro 13 ”de 2018” com um adaptador USB C a HDMI de terceiros, estendido por outro cabo HDMI de ponta a um projetor Epson. Tentei redefinir o NVRAM e redefinir o System Magement Controller (SMC) do MacBook, mas nenhum deles funcionou. Finalmente comprou este cabo Basics Amazon e agora ele se conecta sem qualquer pista e exibe todo o conteúdo HD reproduzido no YouTube, Prime Video e iTunes., Boa qualidade. Usou -o como cabo de extensão entre o Amazon 4K Fire Stick e a TV., Muito durável e de boa qualidade., A qualidade desta peça é muito boa. O cabo é quase tão espesso quanto uma caneta piloto (imagem anexada) e não há degradação na qualidade. É claro que não sou profissional e não fiz nenhuma medição precisa; Apenas comentando como é para um olho normal. Se você precisar correr um cabo longo (6 pés podem não ser longos o suficiente para as salas de estar, nesse caso, acho que o 10 pés será mais útil), compre isso e aproveite a paz de espírito. A Amazon está funcionando bem para conectar meu laptop ao aparelho de TV e eu não enfrentei nenhum problema até agora. Sinto -me feliz., Gosto muito disso, antes de encomendar o arame HDMI do 3feet AmazonBasics e isso foi muito bom, agora esse fio é muito melhor do que antes, muito mais espesso, recomendo isso, executando ótimo até agora .... usando mais do que alguns anos daqui a</v>
      </c>
    </row>
    <row r="263">
      <c r="A263" s="9" t="s">
        <v>1089</v>
      </c>
      <c r="B263" s="29" t="str">
        <f>VLOOKUP(dados!A263, reviews!A:G, 5, FALSE)</f>
        <v>Nice product .,Good quality Braided cable, VFM,Good cord, but has Earthing issue,Ok,Good product. Little bit fast charger for phones like redmi.,Fast charging is working properly,Money value product 👌,Cable a Nice product</v>
      </c>
      <c r="C263" s="29" t="str">
        <f>VLOOKUP(dados!A263, reviews!A:G, 6, FALSE)</f>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v>
      </c>
      <c r="D263" s="29" t="str">
        <f>IFERROR(__xludf.DUMMYFUNCTION("GOOGLETRANSLATE(B263, ""en"", ""pt-br"")"),"Bom produto., Cabo trançado de boa qualidade, VFM, bom cordão, mas tem problemas de aterramento, OK, bom produto. Um pouco rápido de carregador para telefones como Redmi., Carregamento rápido está funcionando corretamente, produto de valor monetário 👌, c"&amp;"abo um bom produto")</f>
        <v>Bom produto., Cabo trançado de boa qualidade, VFM, bom cordão, mas tem problemas de aterramento, OK, bom produto. Um pouco rápido de carregador para telefones como Redmi., Carregamento rápido está funcionando corretamente, produto de valor monetário 👌, cabo um bom produto</v>
      </c>
      <c r="E263" s="29" t="str">
        <f>IFERROR(__xludf.DUMMYFUNCTION("GOOGLETRANSLATE(C263, ""en"", ""pt-br"")"),"Embalagem robusta, bom produto!, Usei este cabo de marca para o meu iPhone e iPad antes, então, quando o cabo do carregador Samsung da minha esposa desistiu do fantasma em menos de 6 meses, eu pedi isso. Cabo trançado, visivelmente de alta qualidade, dife"&amp;"rentemente dos cabos OEM frágeis e altamente caros da Apple e da Samsung. Eu uso o cabo do meu iPhone de Wayona há mais de 1 1/2 anos e ainda estou forte. Espero que este cabo C dê um desempenho semelhante, eu gosto de acordes de Wayona e especialmente os"&amp;" longos. Mas sinto um leve choque - como uma descarga estática - quando toco meu telefone enquanto carrego com esses dois cabos. Outros cordões com o mesmo carregador estão bem., OK, o cabo parece sólido e o comprimento também é bom. Charging um pouco ráp"&amp;"ido que observei para telefones como Redmi. Também parece sólido, por isso espero que funcione pelo menos 1 ano, qualidade de construção e Recurso de carregamento rápido, inquebrável, de boa qualidade, cabo um bom produto")</f>
        <v>Embalagem robusta, bom produto!, Usei este cabo de marca para o meu iPhone e iPad antes, então, quando o cabo do carregador Samsung da minha esposa desistiu do fantasma em menos de 6 meses, eu pedi isso. Cabo trançado, visivelmente de alta qualidade, diferentemente dos cabos OEM frágeis e altamente caros da Apple e da Samsung. Eu uso o cabo do meu iPhone de Wayona há mais de 1 1/2 anos e ainda estou forte. Espero que este cabo C dê um desempenho semelhante, eu gosto de acordes de Wayona e especialmente os longos. Mas sinto um leve choque - como uma descarga estática - quando toco meu telefone enquanto carrego com esses dois cabos. Outros cordões com o mesmo carregador estão bem., OK, o cabo parece sólido e o comprimento também é bom. Charging um pouco rápido que observei para telefones como Redmi. Também parece sólido, por isso espero que funcione pelo menos 1 ano, qualidade de construção e Recurso de carregamento rápido, inquebrável, de boa qualidade, cabo um bom produto</v>
      </c>
    </row>
    <row r="264">
      <c r="A264" s="9" t="s">
        <v>1093</v>
      </c>
      <c r="B264" s="29" t="str">
        <f>VLOOKUP(dados!A264, reviews!A:G, 5, FALSE)</f>
        <v>You might be able to get away by using other usb too,Built well but there are flaws.,Good alternative for Apple cable,Good alternative,Best buy,Good,Value for Money,Works as advertised.</v>
      </c>
      <c r="C264" s="29" t="str">
        <f>VLOOKUP(dados!A264, reviews!A:G, 6, FALSE)</f>
        <v>Recently ordered other. Usb for just 150 rsThe charging speed was same.This is not my main usb i use apple orignal onesHowever it seems like i over paid for getting the made for iphone tag,Product is built well, better than the Apple’s charging cable. This isn’t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v>
      </c>
      <c r="D264" s="29" t="str">
        <f>IFERROR(__xludf.DUMMYFUNCTION("GOOGLETRANSLATE(B264, ""en"", ""pt-br"")"),"Você também pode fugir usando outro USB, construído bem, mas há falhas., Boa alternativa para o cabo de maçã, boa alternativa, melhor compra, boa, valor ao dinheiro, funciona como anunciado.")</f>
        <v>Você também pode fugir usando outro USB, construído bem, mas há falhas., Boa alternativa para o cabo de maçã, boa alternativa, melhor compra, boa, valor ao dinheiro, funciona como anunciado.</v>
      </c>
      <c r="E264" s="29" t="str">
        <f>IFERROR(__xludf.DUMMYFUNCTION("GOOGLETRANSLATE(C264, ""en"", ""pt-br"")"),"Recentemente ordenou outro. USB Para apenas 150 rs. Isso não está funcionando com os adaptadores de carregamento, mas funciona bem com os bancos de poder., O tempo de carregamento é bom, pois depende totalmente do adaptador que estamos usando, se alguém e"&amp;"stiver procurando por alternativa para os cabos de carregamento da marca Apple caros, então este produto será A escolha certa., produto incrível, eu uso isso frequentemente dentro do meu carro. Escrevendo isso após 2 meses de uso regular., Cabo de carrega"&amp;"mento alternativo., Bom para iPhone - Lightning Ferk., O cabo é útil para conectar seu iPhone ao seu carro para o CarPlay.")</f>
        <v>Recentemente ordenou outro. USB Para apenas 150 rs. Isso não está funcionando com os adaptadores de carregamento, mas funciona bem com os bancos de poder., O tempo de carregamento é bom, pois depende totalmente do adaptador que estamos usando, se alguém estiver procurando por alternativa para os cabos de carregamento da marca Apple caros, então este produto será A escolha certa., produto incrível, eu uso isso frequentemente dentro do meu carro. Escrevendo isso após 2 meses de uso regular., Cabo de carregamento alternativo., Bom para iPhone - Lightning Ferk., O cabo é útil para conectar seu iPhone ao seu carro para o CarPlay.</v>
      </c>
    </row>
    <row r="265">
      <c r="A265" s="9" t="s">
        <v>1097</v>
      </c>
      <c r="B265" s="29" t="str">
        <f>VLOOKUP(dados!A265, reviews!A:G, 5, FALSE)</f>
        <v>Not good,No voice recognition, No pointer ray as in original LG remote. These features are not included,Best product,Not working properly,Doesnt work, dont buy,It doesn’t have pointer,Not working properly,Just perfect</v>
      </c>
      <c r="C265" s="29" t="str">
        <f>VLOOKUP(dados!A265, reviews!A:G, 6, FALSE)</f>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doesn’t have pointer option,Not working properly,Best option to buy since it's hard to get replacement of OLED tv remote....</v>
      </c>
      <c r="D265" s="29" t="str">
        <f>IFERROR(__xludf.DUMMYFUNCTION("GOOGLETRANSLATE(B265, ""en"", ""pt-br"")"),"Não é bom, sem reconhecimento de voz, nenhum raio de ponteiro como no controle remoto original da LG. Esses recursos não estão incluídos, o melhor produto, não funcionando corretamente, não funciona, não compra, ele não tem ponteiro, não funcionando corre"&amp;"tamente, apenas perfeito")</f>
        <v>Não é bom, sem reconhecimento de voz, nenhum raio de ponteiro como no controle remoto original da LG. Esses recursos não estão incluídos, o melhor produto, não funcionando corretamente, não funciona, não compra, ele não tem ponteiro, não funcionando corretamente, apenas perfeito</v>
      </c>
      <c r="E265" s="29" t="str">
        <f>IFERROR(__xludf.DUMMYFUNCTION("GOOGLETRANSLATE(C265, ""en"", ""pt-br"")"),"A característica do mouse do controle remoto não está funcionando, o controle remoto com botão parece estar bem, mas sem reconhecimento de voz e nenhum ponteiro de raio como no produto LG original ... gostaria de um reembolso para deturpação no site ... v"&amp;"ocê alterou o Descrição Após a minha reclamação., Melhor produto, botões de número não estão funcionando, produto defeituoso, ele não está trabalhando com a TV, não gosta do produto, pois não tem opção de ponteiro, não funcionando corretamente, a melhor o"&amp;"pção de comprar, pois é difícil Obtenha a substituição do controle remoto da TV OLED ....")</f>
        <v>A característica do mouse do controle remoto não está funcionando, o controle remoto com botão parece estar bem, mas sem reconhecimento de voz e nenhum ponteiro de raio como no produto LG original ... gostaria de um reembolso para deturpação no site ... você alterou o Descrição Após a minha reclamação., Melhor produto, botões de número não estão funcionando, produto defeituoso, ele não está trabalhando com a TV, não gosta do produto, pois não tem opção de ponteiro, não funcionando corretamente, a melhor opção de comprar, pois é difícil Obtenha a substituição do controle remoto da TV OLED ....</v>
      </c>
    </row>
    <row r="266">
      <c r="A266" s="9" t="s">
        <v>1101</v>
      </c>
      <c r="B266" s="29" t="str">
        <f>VLOOKUP(dados!A266, reviews!A:G, 5, FALSE)</f>
        <v>Great Product,Very good and working very nice,Horrible user experience on account of poor hardware,Not worthy. Laggy sometimes</v>
      </c>
      <c r="C266" s="29" t="str">
        <f>VLOOKUP(dados!A266, reviews!A:G, 6, FALSE)</f>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v>
      </c>
      <c r="D266" s="29" t="str">
        <f>IFERROR(__xludf.DUMMYFUNCTION("GOOGLETRANSLATE(B266, ""en"", ""pt-br"")"),"Ótimo produto, muito bom e funcionando muito bem e horrível experiência do usuário por conta de hardware ruim, não digno. Às vezes, lento")</f>
        <v>Ótimo produto, muito bom e funcionando muito bem e horrível experiência do usuário por conta de hardware ruim, não digno. Às vezes, lento</v>
      </c>
      <c r="E266" s="29" t="str">
        <f>IFERROR(__xludf.DUMMYFUNCTION("GOOGLETRANSLATE(C266, ""en"", ""pt-br"")"),"Tudo é bom. Eu amo isso., Muito bom e funcionando muito bem, antes de tudo, graças à Amazon por listá -lo como um item retornado e a um custo efetivo inferior a 3k.com. Google TV. Nesse sentido, a interface é mais útil que a TV Android padrão em termos de"&amp;" descoberta, mas o conteúdo listado não é tão relevante. No entanto, é o Realme que diminui o usuário. O dispositivo foi montado desde o início e eles basicamente abandonaram o dispositivo em 6 meses, com a última atualização de software em fevereiro de 2"&amp;"022, ainda cheia de bugs e nunca para ver o Google TV 12.O bastão aquece o suficiente para escaldá -lo se você tocar Ele e gagueja como louco após o uso de mais de um dia, em parte devido aos núcleos de braço A35 sem brilho, que faltam desempenho em compa"&amp;"ração com os núcleos A53 presentes em paus de mais de 7 anos e também devido ao mau gerenciamento da RAM.Ponando a razão. Para obtê -lo, seria o preço, se for menor que 3k, mas esteja preparado para sofrer com uma interface lenta e os problemas conhecidos"&amp;" do controle remoto em alguns meses. Ainda é mais senso dos homens para obter um bastão de TV de fogo que é mais refinado e recebe mais atualizações, embora a interface seja um amor ou odeio. Uma bomba na Índia, pelo que oferece., Got (usada) produto.")</f>
        <v>Tudo é bom. Eu amo isso., Muito bom e funcionando muito bem, antes de tudo, graças à Amazon por listá -lo como um item retornado e a um custo efetivo inferior a 3k.com. Google TV. Nesse sentido, a interface é mais útil que a TV Android padrão em termos de descoberta, mas o conteúdo listado não é tão relevante. No entanto, é o Realme que diminui o usuário. O dispositivo foi montado desde o início e eles basicamente abandonaram o dispositivo em 6 meses, com a última atualização de software em fevereiro de 2022, ainda cheia de bugs e nunca para ver o Google TV 12.O bastão aquece o suficiente para escaldá -lo se você tocar Ele e gagueja como louco após o uso de mais de um dia, em parte devido aos núcleos de braço A35 sem brilho, que faltam desempenho em comparação com os núcleos A53 presentes em paus de mais de 7 anos e também devido ao mau gerenciamento da RAM.Ponando a razão. Para obtê -lo, seria o preço, se for menor que 3k, mas esteja preparado para sofrer com uma interface lenta e os problemas conhecidos do controle remoto em alguns meses. Ainda é mais senso dos homens para obter um bastão de TV de fogo que é mais refinado e recebe mais atualizações, embora a interface seja um amor ou odeio. Uma bomba na Índia, pelo que oferece., Got (usada) produto.</v>
      </c>
    </row>
    <row r="267">
      <c r="A267" s="9" t="s">
        <v>1108</v>
      </c>
      <c r="B267" s="29" t="str">
        <f>VLOOKUP(dados!A267, reviews!A:G, 5, FALSE)</f>
        <v>Wonderful TV and Awful installation service from amazon,Acer Television Review,It's a good product for that price.,Good for the price,Almost a complete package,Nice Product,Good product,Super designed</v>
      </c>
      <c r="C267" s="29" t="str">
        <f>VLOOKUP(dados!A267, reviews!A:G, 6, FALSE)</f>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v>
      </c>
      <c r="D267" s="29" t="str">
        <f>IFERROR(__xludf.DUMMYFUNCTION("GOOGLETRANSLATE(B267, ""en"", ""pt-br"")"),"TV maravilhoso e serviço de instalação horrível da Amazon, Acer Television Review, é um bom produto para esse preço., Bom para o preço, quase um pacote completo, bom produto, bom produto, super projetado")</f>
        <v>TV maravilhoso e serviço de instalação horrível da Amazon, Acer Television Review, é um bom produto para esse preço., Bom para o preço, quase um pacote completo, bom produto, bom produto, super projetado</v>
      </c>
      <c r="E267" s="29" t="str">
        <f>IFERROR(__xludf.DUMMYFUNCTION("GOOGLETRANSLATE(C267, ""en"", ""pt-br"")"),"Sobre a TV-Maravilhosa ------------------------------------------- -------------------- Provavelmente a melhor TV nessa faixa de preço (INR13000) .GOOD-Interface do Google, carregado com recursos, consumo leve de energia de 55 watts, design estável-Sound "&amp;"E a qualidade da imagem é muito boa, mas se você a comparar com marcas premium, obviamente não é tão bom. Console de jogos, cabo de prato antigo e antena de TV direta como bem construído em Chromecast para lançar qualquer aplicativo compatível diretamente"&amp;" do telefone para a TV na mesma rede WiFi para conectar o telefone -1. Via recurso de elenco em aplicativos móveis - nenhuma senha necessária só precisa estar na mesma rede wifi2. Via Chromecast App - Projeto apenas mídia selecionada (fotos, vídeos) ou se"&amp;"nões de telefone inteiras para conectar o PC/laptop -1. Opção Windows Cast-projete toda a tela do laptop na TV usando a opção Windows Cast (precisa ser conectado na mesma rede WiFi. --------------------------------------- 1. O técnico trouxe um gancho de "&amp;"suspensão barato que tinha MRP INR116 e pediu INR499 por isso sem nenhum recibo. Ele continuou dizendo que não estava à venda e a empresa havia enviado isso especialmente. No entanto, ele claramente havia mencionado MRP2. Fui ao mercado e comprei um gabin"&amp;"ete muito melhor Por apenas INR200 e para a instalação disso também, o técnico foi realmente inflexível para perfurar os dois orifícios necessários no topo. Ele apenas perfurou um na parte superior e outro na parte inferior e manteve todos os outros paraf"&amp;"usos sobressalentes (que eu havia comprado) com ele. Após cerca de meia hora de discussões, ele finalmente perfurou os outros orifícios necessários. E por tudo isso, ele continuou me xingando que eu perdi seu tempo. Não havia assistência da pessoa que rep"&amp;"resentava a agência de serviços também. Este processo inteiro levou Duas horas para concluir isso também com muitos argumentos. Essa foi a pior experiência de instalação da minha vida até agora. É apenas uma farsa. Em vez disso, chame o suporte do Acer. E"&amp;"les farão o trabalho muito melhor., Depois de usá -lo por 2 meses, aqui estão os prós e os contras: Prós: 1. Ótima qualidade de imagem. É incrível. Os negros são muito bons e são ajustáveis. O som com 30dB é muito bom4. Parece ótimo com besel5 fino. O con"&amp;"trole remoto vem com botões OTT favoritos. Upscaling de conteúdo é muito bom.CONS: 1. O controle remoto poderia ter sido melhor. Não posso usar o DTH Remote para ativar a televisão e definir a caixa superior. A operação remota é um pouco complexa. Tecnolo"&amp;"gia de movimento não é ótima. Há um borrão perceptível ao assistir a Moving Ballson Ott, mas diminui quando você muda para o DTH. No geral, é uma boa compra a esse preço. Acho que estou recebendo uma qualidade e som de imagem bastante melhor. Estou satisf"&amp;"eito com o produto., O produto tem uma boa qualidade de imagem. Bom produto a esse preço com som de 25W. Aplicativos funcionando sem problemas. 3 meses mais velho e sem problemas ainda. Está funcionando sem problemas., Você obtém recursos decentes pelo pr"&amp;"eço que paga. A resolução da tela pode ser. Volte como você pode encontrar pixalação. No geral, é bom, fico impressionado com a qualidade da imagem desta TV 720p (pronta para HD). É realmente um painel incrível. Achei adequado para uma distância de visual"&amp;"ização entre 6 e 10 pés. Qualquer um mais próximo pode não parecer muito nítido e mais longe, parecerá um tamanho muito pequeno. Os alto -falantes também são muito bons para o preço e podem ficar muito altos sem distorções. No entanto, como o alto -falant"&amp;"e está disparando para baixo, a experiência varia de acordo com se a TV está montada na parede ou mantida em um estande. O controle remoto é bom, a pesquisa de voz funciona bem para mim. A TV Start Up leva muito tempo na minha opinião, mas não a comparei "&amp;"com nenhuma outra TV de 32 polegadas e, portanto, não sei onde está entre os colegas. O único aspecto negativo que enfrentei é a experiência de usar meus fones de ouvido Bluetooth. Em primeiro lugar, a conexão às vezes não acontece automaticamente após um"&amp;"a reinicialização - o que significa que eu tenho que remover e redescobrir o dispositivo através do menu que não é simples. Em segundo lugar, o sinal em si parece ser muito fraco e, mesmo a uma distância de 8 pés na frente da TV, o sinal quebra, mesmo se "&amp;"você mover a cabeça em 2-3 polegadas. No entanto, ainda estou super feliz com esta TV. Eu o recebi por 8k durante a oferta de lançamento e vale totalmente a pena e é recomendado do meu lado., Nesta faixa de preço (₹ 11499/-), é um produto de boa qualidade"&amp;" neste mercado ... o acerto só deve funcionar com a qualidade do som melhoria, caso contrário, a qualidade da picture é realmente impressionante, conectividade Wi -Fi boa, fácil de instalar, o design da tela sem corpo é premium e também o suporte ao Googl"&amp;"e Voice é bom (às vezes atrasado). Não há grandes questões encontradas nesta TV. Apenas vá em frente., Vellu por dinheiro. Bom produto, dinheiro muito bom de produtos")</f>
        <v>Sobre a TV-Maravilhosa ------------------------------------------- -------------------- Provavelmente a melhor TV nessa faixa de preço (INR13000) .GOOD-Interface do Google, carregado com recursos, consumo leve de energia de 55 watts, design estável-Sound E a qualidade da imagem é muito boa, mas se você a comparar com marcas premium, obviamente não é tão bom. Console de jogos, cabo de prato antigo e antena de TV direta como bem construído em Chromecast para lançar qualquer aplicativo compatível diretamente do telefone para a TV na mesma rede WiFi para conectar o telefone -1. Via recurso de elenco em aplicativos móveis - nenhuma senha necessária só precisa estar na mesma rede wifi2. Via Chromecast App - Projeto apenas mídia selecionada (fotos, vídeos) ou senões de telefone inteiras para conectar o PC/laptop -1. Opção Windows Cast-projete toda a tela do laptop na TV usando a opção Windows Cast (precisa ser conectado na mesma rede WiFi. --------------------------------------- 1. O técnico trouxe um gancho de suspensão barato que tinha MRP INR116 e pediu INR499 por isso sem nenhum recibo. Ele continuou dizendo que não estava à venda e a empresa havia enviado isso especialmente. No entanto, ele claramente havia mencionado MRP2. Fui ao mercado e comprei um gabinete muito melhor Por apenas INR200 e para a instalação disso também, o técnico foi realmente inflexível para perfurar os dois orifícios necessários no topo. Ele apenas perfurou um na parte superior e outro na parte inferior e manteve todos os outros parafusos sobressalentes (que eu havia comprado) com ele. Após cerca de meia hora de discussões, ele finalmente perfurou os outros orifícios necessários. E por tudo isso, ele continuou me xingando que eu perdi seu tempo. Não havia assistência da pessoa que representava a agência de serviços também. Este processo inteiro levou Duas horas para concluir isso também com muitos argumentos. Essa foi a pior experiência de instalação da minha vida até agora. É apenas uma farsa. Em vez disso, chame o suporte do Acer. Eles farão o trabalho muito melhor., Depois de usá -lo por 2 meses, aqui estão os prós e os contras: Prós: 1. Ótima qualidade de imagem. É incrível. Os negros são muito bons e são ajustáveis. O som com 30dB é muito bom4. Parece ótimo com besel5 fino. O controle remoto vem com botões OTT favoritos. Upscaling de conteúdo é muito bom.CONS: 1. O controle remoto poderia ter sido melhor. Não posso usar o DTH Remote para ativar a televisão e definir a caixa superior. A operação remota é um pouco complexa. Tecnologia de movimento não é ótima. Há um borrão perceptível ao assistir a Moving Ballson Ott, mas diminui quando você muda para o DTH. No geral, é uma boa compra a esse preço. Acho que estou recebendo uma qualidade e som de imagem bastante melhor. Estou satisfeito com o produto., O produto tem uma boa qualidade de imagem. Bom produto a esse preço com som de 25W. Aplicativos funcionando sem problemas. 3 meses mais velho e sem problemas ainda. Está funcionando sem problemas., Você obtém recursos decentes pelo preço que paga. A resolução da tela pode ser. Volte como você pode encontrar pixalação. No geral, é bom, fico impressionado com a qualidade da imagem desta TV 720p (pronta para HD). É realmente um painel incrível. Achei adequado para uma distância de visualização entre 6 e 10 pés. Qualquer um mais próximo pode não parecer muito nítido e mais longe, parecerá um tamanho muito pequeno. Os alto -falantes também são muito bons para o preço e podem ficar muito altos sem distorções. No entanto, como o alto -falante está disparando para baixo, a experiência varia de acordo com se a TV está montada na parede ou mantida em um estande. O controle remoto é bom, a pesquisa de voz funciona bem para mim. A TV Start Up leva muito tempo na minha opinião, mas não a comparei com nenhuma outra TV de 32 polegadas e, portanto, não sei onde está entre os colegas. O único aspecto negativo que enfrentei é a experiência de usar meus fones de ouvido Bluetooth. Em primeiro lugar, a conexão às vezes não acontece automaticamente após uma reinicialização - o que significa que eu tenho que remover e redescobrir o dispositivo através do menu que não é simples. Em segundo lugar, o sinal em si parece ser muito fraco e, mesmo a uma distância de 8 pés na frente da TV, o sinal quebra, mesmo se você mover a cabeça em 2-3 polegadas. No entanto, ainda estou super feliz com esta TV. Eu o recebi por 8k durante a oferta de lançamento e vale totalmente a pena e é recomendado do meu lado., Nesta faixa de preço (₹ 11499/-), é um produto de boa qualidade neste mercado ... o acerto só deve funcionar com a qualidade do som melhoria, caso contrário, a qualidade da picture é realmente impressionante, conectividade Wi -Fi boa, fácil de instalar, o design da tela sem corpo é premium e também o suporte ao Google Voice é bom (às vezes atrasado). Não há grandes questões encontradas nesta TV. Apenas vá em frente., Vellu por dinheiro. Bom produto, dinheiro muito bom de produtos</v>
      </c>
    </row>
    <row r="268">
      <c r="A268" s="9" t="s">
        <v>1112</v>
      </c>
      <c r="B268" s="29" t="str">
        <f>VLOOKUP(dados!A268, reviews!A:G, 5, FALSE)</f>
        <v>Good 👍,Good,Cable length is ok , quality is not good . In this price it is ok,MFS 100 cable,Good Quality,Good product but cable thickness should be more,Quality is excellent,Super service</v>
      </c>
      <c r="C268" s="29" t="str">
        <f>VLOOKUP(dados!A268, reviews!A:G, 6, FALSE)</f>
        <v>Quality issue..,Good,Cable length is ok , quality is not good . In this price it is ok,Very good &amp; quality product. Reasonable price alsoYour cable easy to replace.,Best quality,Good product but thickness of cable is less,It is very good product.Thank you amazon,Super product</v>
      </c>
      <c r="D268" s="29" t="str">
        <f>IFERROR(__xludf.DUMMYFUNCTION("GOOGLETRANSLATE(B268, ""en"", ""pt-br"")"),"Bom 👍, bom, o comprimento do cabo é bom, a qualidade não é boa. Neste preço, tudo bem, MFS 100 cabos, boa qualidade, bom produto, mas a espessura do cabo deve ser mais, a qualidade é excelente, super serviço")</f>
        <v>Bom 👍, bom, o comprimento do cabo é bom, a qualidade não é boa. Neste preço, tudo bem, MFS 100 cabos, boa qualidade, bom produto, mas a espessura do cabo deve ser mais, a qualidade é excelente, super serviço</v>
      </c>
      <c r="E268" s="29" t="str">
        <f>IFERROR(__xludf.DUMMYFUNCTION("GOOGLETRANSLATE(C268, ""en"", ""pt-br"")"),"Problema de qualidade .., bom, o comprimento do cabo é bom, a qualidade não é boa. Neste preço, tudo bem, muito bom e de qualidade. Preço razoável Alsoyour Cable fácil de substituir., Melhor qualidade, bom produto, mas a espessura do cabo é menor, é um pr"&amp;"oduto muito bom.")</f>
        <v>Problema de qualidade .., bom, o comprimento do cabo é bom, a qualidade não é boa. Neste preço, tudo bem, muito bom e de qualidade. Preço razoável Alsoyour Cable fácil de substituir., Melhor qualidade, bom produto, mas a espessura do cabo é menor, é um produto muito bom.</v>
      </c>
    </row>
    <row r="269">
      <c r="A269" s="9" t="s">
        <v>1116</v>
      </c>
      <c r="B269" s="29" t="str">
        <f>VLOOKUP(dados!A269, reviews!A:G, 5, FALSE)</f>
        <v>Satisfactory,Superb88,Good hdmi cable for 1080p 60 fps,Hdmi cable received,Amazing Product!!! Liked it!!!,Good product,Best product for me.,I'll strongly recommend this product to others.</v>
      </c>
      <c r="C269" s="29" t="str">
        <f>VLOOKUP(dados!A269, reviews!A:G, 6, FALSE)</f>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v>
      </c>
      <c r="D269" s="29" t="str">
        <f>IFERROR(__xludf.DUMMYFUNCTION("GOOGLETRANSLATE(B269, ""en"", ""pt-br"")"),"Satisfatório, Superb88, bom cabo HDMI por 1080p 60 fps, cabo HDMI recebido, produto incrível !!! Gostei !!!, bom produto, melhor produto para mim., Vou recomendar fortemente este produto a outras pessoas.")</f>
        <v>Satisfatório, Superb88, bom cabo HDMI por 1080p 60 fps, cabo HDMI recebido, produto incrível !!! Gostei !!!, bom produto, melhor produto para mim., Vou recomendar fortemente este produto a outras pessoas.</v>
      </c>
      <c r="E269" s="29" t="str">
        <f>IFERROR(__xludf.DUMMYFUNCTION("GOOGLETRANSLATE(C269, ""en"", ""pt-br"")"),"Produto bom, de boa qualidade, cabo HDMI acessível, não funcionando, ótimo produto, o comprimento é perfeito, a qualidade é realmente boa. A qualidade construída também é boa. A saída através deste cabo também é muito boa, não afeta a saída tanto quanto o"&amp;"utros cabos locais.Great Product para comprar para seu PC, laptop, estações de jogos e também projetores. Produto, ainda está funcionando da mesma forma depois de usá -lo por 2 meses., conforme as expectativas. Portanto, é uma relação custo / benefício, m"&amp;"anter a qualidade da imagem etc.")</f>
        <v>Produto bom, de boa qualidade, cabo HDMI acessível, não funcionando, ótimo produto, o comprimento é perfeito, a qualidade é realmente boa. A qualidade construída também é boa. A saída através deste cabo também é muito boa, não afeta a saída tanto quanto outros cabos locais.Great Product para comprar para seu PC, laptop, estações de jogos e também projetores. Produto, ainda está funcionando da mesma forma depois de usá -lo por 2 meses., conforme as expectativas. Portanto, é uma relação custo / benefício, manter a qualidade da imagem etc.</v>
      </c>
    </row>
    <row r="270">
      <c r="A270" s="9" t="s">
        <v>1120</v>
      </c>
      <c r="B270" s="29" t="str">
        <f>VLOOKUP(dados!A270, reviews!A:G, 5, FALSE)</f>
        <v>Good,Does the job. Works with two devices,Positive review- Almost good and useful,Hissing sound  output from (viSe TV) Vijay sales.,Acceptable sound, no hassle of charging,Excellent product,Not good range,Very good</v>
      </c>
      <c r="C270" s="29" t="str">
        <f>VLOOKUP(dados!A270, reviews!A:G, 6, FALSE)</f>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v>
      </c>
      <c r="D270" s="29" t="str">
        <f>IFERROR(__xludf.DUMMYFUNCTION("GOOGLETRANSLATE(B270, ""en"", ""pt-br"")"),"Bom, faz o trabalho. Funciona com dois dispositivos, revisão positiva- quase boa e útil, sibilando a saída de som das vendas de Vijay (Vise TV)., Som aceitável, sem problemas de carregamento, excelente produto, não bom alcance, muito bom")</f>
        <v>Bom, faz o trabalho. Funciona com dois dispositivos, revisão positiva- quase boa e útil, sibilando a saída de som das vendas de Vijay (Vise TV)., Som aceitável, sem problemas de carregamento, excelente produto, não bom alcance, muito bom</v>
      </c>
      <c r="E270" s="29" t="str">
        <f>IFERROR(__xludf.DUMMYFUNCTION("GOOGLETRANSLATE(C270, ""en"", ""pt-br"")"),"Atlast eu me conectei com sucesso. Trabalhando bem. Mas volume de som e clareza não adequados. Durabilidade, a ser avaliada. Caro Amazon.in, diga ao vendedor para escrever claramente o procedimento de conexão. A impressão manual também é ruim. Eu tive que"&amp;" lutar., Faz o que diz. Funciona bem para conectar dois dispositivos Bluetooth a qualquer outro dispositivo, como um laptop, TV inteligente, etc. pode levar um pouco de tempo para emparelhar dois dispositivos. Mas o manual na caixa ajuda. A qualidade do t"&amp;"om no cabo AUX também é bom. Portanto, mesmo se você não tiver uma saída digital ou RCA, ainda poderá usá -lo. Um pouco frágeis e delicado. Mas então você não precisa movê -lo todos os dias., Desvantagem - o som e o vídeo ficam com distância enquanto cone"&amp;"cta o Bluetooth com fones de ouvido. -No a um sistema de ponta, que tradicionalmente não possui a instalação. No entanto, é frequentemente solicitado quando os hóspedes chegam. Eu estava usando um Transpreceiver de Phoenix, mas a necessidade constante de "&amp;"carregamento e o LED de indicador único dificultou a integração desse tipo de aplicação. A saída óptica é conectada a um DAC ess9028 duplo, e o dispositivo usado para transmissão é o iPad Air. Essa falta de bateria, que é um grande diferencial. Isso signi"&amp;"fica que não é exatamente portátil e o fator de forma reforça esse 'recurso'. Pretende ser uma unidade de desktop e vem com um conjunto razoável de cabos. A qualidade dos cabos incluídos é bastante ruim, por isso é melhor usar algo mais, comparado com a e"&amp;"ntrada direta do USB, o som geral é mais pobre, com um palco sonoro encolhido e vocais grossos e agudos. Ainda assim, isso está sendo usado em um sistema de ponta - suspeito que com muitos falantes/amp/dacs menores seja aceitável. Na saída máxima, o nível"&amp;" é de cerca de 1-2dB menor que uma conexão USB direta com o DAC. Controle de volume ou o recurso de desvio, ou a boa exibição que é útil se você estiver por perto. O desvio é um dos destaques deste dispositivo, ele basicamente conecta os dois portos óptic"&amp;"os juntos e permite que você use BT e Outra fonte/receptor óptica - embora apenas possa ser usada por vez. A qualidade de construção é média. É leve o suficiente que um conjunto de cabos decentes o incline para trás, daí os cabos finos fornecidos. O contr"&amp;"ole de volume a bordo é bom, se um pouco redundante, dado que todos usam seu computador de mão ou outro dispositivo para controlar o volume (eu uso o controle remoto do DAC). Ele também possui apenas 16 cliques, portanto o controle será muito grosseiro. A"&amp;" tela não tem erros de ortografia e, embora a resolução seja baixa, é suficiente para as tarefas. No geral, é bastante caro, mas é mais elaborado do que dispositivos semelhantes. As limitações da qualidade do som da transmissão BT (reamostragem obrigatóri"&amp;"a e compressão com perdas, entre outras) não podem ser superadas mesmo com os dispositivos e protocolos mais extravagantes, então eu o classificaria perto do topo do que você pode obter como um complemento para um sistema HiFi. Para um uso mais 'normal', "&amp;"existem opções mais baratas., Excelente produto, a linha Bluetooth é muito menor, comprou para conectar meu antigo Sony 5.1 Blueray Home Theater com a caixa Mi 4K, que não possui porta de som óptica. Possui uma porta óptica SPDIF que pode se conectar à óp"&amp;"tica de home theater em")</f>
        <v>Atlast eu me conectei com sucesso. Trabalhando bem. Mas volume de som e clareza não adequados. Durabilidade, a ser avaliada. Caro Amazon.in, diga ao vendedor para escrever claramente o procedimento de conexão. A impressão manual também é ruim. Eu tive que lutar., Faz o que diz. Funciona bem para conectar dois dispositivos Bluetooth a qualquer outro dispositivo, como um laptop, TV inteligente, etc. pode levar um pouco de tempo para emparelhar dois dispositivos. Mas o manual na caixa ajuda. A qualidade do tom no cabo AUX também é bom. Portanto, mesmo se você não tiver uma saída digital ou RCA, ainda poderá usá -lo. Um pouco frágeis e delicado. Mas então você não precisa movê -lo todos os dias., Desvantagem - o som e o vídeo ficam com distância enquanto conecta o Bluetooth com fones de ouvido. -No a um sistema de ponta, que tradicionalmente não possui a instalação. No entanto, é frequentemente solicitado quando os hóspedes chegam. Eu estava usando um Transpreceiver de Phoenix, mas a necessidade constante de carregamento e o LED de indicador único dificultou a integração desse tipo de aplicação. A saída óptica é conectada a um DAC ess9028 duplo, e o dispositivo usado para transmissão é o iPad Air. Essa falta de bateria, que é um grande diferencial. Isso significa que não é exatamente portátil e o fator de forma reforça esse 'recurso'. Pretende ser uma unidade de desktop e vem com um conjunto razoável de cabos. A qualidade dos cabos incluídos é bastante ruim, por isso é melhor usar algo mais, comparado com a entrada direta do USB, o som geral é mais pobre, com um palco sonoro encolhido e vocais grossos e agudos. Ainda assim, isso está sendo usado em um sistema de ponta - suspeito que com muitos falantes/amp/dacs menores seja aceitável. Na saída máxima, o nível é de cerca de 1-2dB menor que uma conexão USB direta com o DAC. Controle de volume ou o recurso de desvio, ou a boa exibição que é útil se você estiver por perto. O desvio é um dos destaques deste dispositivo, ele basicamente conecta os dois portos ópticos juntos e permite que você use BT e Outra fonte/receptor óptica - embora apenas possa ser usada por vez. A qualidade de construção é média. É leve o suficiente que um conjunto de cabos decentes o incline para trás, daí os cabos finos fornecidos. O controle de volume a bordo é bom, se um pouco redundante, dado que todos usam seu computador de mão ou outro dispositivo para controlar o volume (eu uso o controle remoto do DAC). Ele também possui apenas 16 cliques, portanto o controle será muito grosseiro. A tela não tem erros de ortografia e, embora a resolução seja baixa, é suficiente para as tarefas. No geral, é bastante caro, mas é mais elaborado do que dispositivos semelhantes. As limitações da qualidade do som da transmissão BT (reamostragem obrigatória e compressão com perdas, entre outras) não podem ser superadas mesmo com os dispositivos e protocolos mais extravagantes, então eu o classificaria perto do topo do que você pode obter como um complemento para um sistema HiFi. Para um uso mais 'normal', existem opções mais baratas., Excelente produto, a linha Bluetooth é muito menor, comprou para conectar meu antigo Sony 5.1 Blueray Home Theater com a caixa Mi 4K, que não possui porta de som óptica. Possui uma porta óptica SPDIF que pode se conectar à óptica de home theater em</v>
      </c>
    </row>
    <row r="271">
      <c r="A271" s="9" t="s">
        <v>1126</v>
      </c>
      <c r="B271" s="29" t="str">
        <f>VLOOKUP(dados!A271, reviews!A:G, 5, FALSE)</f>
        <v>Simply good,Sound quality,FM Radio antenna isn't strong enough, rest features are value for money,SIZE,Product quantity is good,Value for money,Best,Found remote broken, please replace the remote only.</v>
      </c>
      <c r="C271" s="29" t="str">
        <f>VLOOKUP(dados!A271, reviews!A:G, 6, FALSE)</f>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v>
      </c>
      <c r="D271" s="29" t="str">
        <f>IFERROR(__xludf.DUMMYFUNCTION("GOOGLETRANSLATE(B271, ""en"", ""pt-br"")"),"A antena de rádio FM simplesmente boa, a qualidade do som não é forte o suficiente, os recursos de repouso são valor para dinheiro, tamanho, quantidade do produto é boa, valor para dinheiro, melhor, encontrado remoto quebrado, substitua apenas o controle "&amp;"remoto.")</f>
        <v>A antena de rádio FM simplesmente boa, a qualidade do som não é forte o suficiente, os recursos de repouso são valor para dinheiro, tamanho, quantidade do produto é boa, valor para dinheiro, melhor, encontrado remoto quebrado, substitua apenas o controle remoto.</v>
      </c>
      <c r="E271" s="29" t="str">
        <f>IFERROR(__xludf.DUMMYFUNCTION("GOOGLETRANSLATE(C271, ""en"", ""pt-br"")"),"Tudo está bem, mas a qualidade do som deve ser um pouco mais aprimorada. Depois de visualizar o preço, também é bom, o produto incrível, a FM Radio Antenna não é forte o suficiente, os recursos de repouso são valor para o dinheiro, os alto -falantes da to"&amp;"rre são grandes, mas o tamanho disso não é grande. Parece bom. Eu recomendo se o tamanho era grande, então os sons serão melhores., O produto é bom ,, melhor, qualidade de alto -falante incrível, alto -falante alto com clareza limpa e clara, a FM precisa "&amp;"ajustar, mas neste preço ninguém fornecerá essa qualidade de alto -falantes . O alto -falante venceu todo o home theater ou o sistema surround.")</f>
        <v>Tudo está bem, mas a qualidade do som deve ser um pouco mais aprimorada. Depois de visualizar o preço, também é bom, o produto incrível, a FM Radio Antenna não é forte o suficiente, os recursos de repouso são valor para o dinheiro, os alto -falantes da torre são grandes, mas o tamanho disso não é grande. Parece bom. Eu recomendo se o tamanho era grande, então os sons serão melhores., O produto é bom ,, melhor, qualidade de alto -falante incrível, alto -falante alto com clareza limpa e clara, a FM precisa ajustar, mas neste preço ninguém fornecerá essa qualidade de alto -falantes . O alto -falante venceu todo o home theater ou o sistema surround.</v>
      </c>
    </row>
    <row r="272">
      <c r="A272" s="9" t="s">
        <v>1133</v>
      </c>
      <c r="B272" s="29" t="str">
        <f>VLOOKUP(dados!A272, reviews!A:G, 5, FALSE)</f>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v>
      </c>
      <c r="C272" s="29" t="str">
        <f>VLOOKUP(dados!A272, reviews!A:G, 6, FALSE)</f>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v>
      </c>
      <c r="D272" s="29" t="str">
        <f>IFERROR(__xludf.DUMMYFUNCTION("GOOGLETRANSLATE(B272, ""en"", ""pt-br"")"),"TV funcionando bem., Valor do dinheiro, Acer 32 Revisão da TV de som de som, Produto é bom, mas um mentira pelo vendedor (ou seja, espaço de 16 GB), Cromecast não funcionando nesta TV inteligente., Clareza e som incrível, sistema de som incrível como um A"&amp;" qualidade da imagem da barra de som é impressionante e conectada, boa e amiga do orçamento TV inteligente")</f>
        <v>TV funcionando bem., Valor do dinheiro, Acer 32 Revisão da TV de som de som, Produto é bom, mas um mentira pelo vendedor (ou seja, espaço de 16 GB), Cromecast não funcionando nesta TV inteligente., Clareza e som incrível, sistema de som incrível como um A qualidade da imagem da barra de som é impressionante e conectada, boa e amiga do orçamento TV inteligente</v>
      </c>
      <c r="E272" s="29" t="str">
        <f>IFERROR(__xludf.DUMMYFUNCTION("GOOGLETRANSLATE(C272, ""en"", ""pt-br"")"),"TV funcionando bem, a tela é do tipo VA, se quisermos ver uma boa imagem, precisamos manter uma distância mínima para a TV, porque esses pixels de TV são muito grandes. Mas se mantivermos a imagem de distância mínima, parece tão nítida e os níveis de pret"&amp;"o ficarão ótimos. E outra coisa a reprodução de cores da TV não é tão boa em comparação com as telas IPS. Mas neste preço é um bom negócio. O Thare está definitivamente atrasado no software de TV e controle remoto. No início, tenho um problema de conexão "&amp;"Bluetooth, mas após a formatação do problema de TV foi resolvido. Esta TV tem bar de som e parece ótimo em comparação com outras marcas de TV, especialmente nessa faixa de preço. Eu recomendo esta TV se você quiser comprar esta série de 32 polegadas. Gost"&amp;"ei e acho que você também adora se o seu orçamento estiver nesse intervalo., Primeiro outono, fui tomar como uma TV Acer, então tenho medo porque a Acer TV é uma nova marca e se algum problema com a TV por servir. Mas depois de comprar e usar meu medo, fo"&amp;"i. Porque as funções de TV são boas. E garantia também disponível., No geral, é um bom produto, algumas vezes ele fica e uma vez que foi reiniciado automaticamente. Mas a empresa mentiu para os clientes que há 16 GB de espaço na TV, o que não é o Theresti"&amp;"ll, eu gosto da imagem e do som Qualidade, estou muito feliz quando encomendo esta TV. Eu o comprei no Diwali. Quando começamos a usar essa TV, descobrimos que, para usar o recurso Cromecast, preciso instalar um aplicativo de terceiros que não é suporte a"&amp;"o meu telefone celular (Samsung M21). Estou muito decepcionado agora por esse recurso, mas o que posso fazer agora. Tem um sistema de som bom e alto. Minha experiência geral não é atender às minhas expectativas. Lamento não ter obtido um tamanho maior. Es"&amp;"ta é uma TV inteligente incrível, vista clara e som incrível. 4 estrelas apenas porque eu não consegui fazer o Jio Universal Remote trabalhar com ele., Sob 15k Melhor TV Android Smart Tudo é perfeito, como som, qualidade de imagem, conectividade Bluetooth"&amp;" e Wi -Fi. Conectividade, finalmente, uma TV inteligente amigável para pessoas de classe média que está com salário de 30 mil por mês. Qualidade da imagem- ok ok, som- super, aviso- melhor, remoto- simples sobre tudo o que é legal. Nenhum produto é perfei"&amp;"to em todos os segmentos, este também não é uma exceção.")</f>
        <v>TV funcionando bem, a tela é do tipo VA, se quisermos ver uma boa imagem, precisamos manter uma distância mínima para a TV, porque esses pixels de TV são muito grandes. Mas se mantivermos a imagem de distância mínima, parece tão nítida e os níveis de preto ficarão ótimos. E outra coisa a reprodução de cores da TV não é tão boa em comparação com as telas IPS. Mas neste preço é um bom negócio. O Thare está definitivamente atrasado no software de TV e controle remoto. No início, tenho um problema de conexão Bluetooth, mas após a formatação do problema de TV foi resolvido. Esta TV tem bar de som e parece ótimo em comparação com outras marcas de TV, especialmente nessa faixa de preço. Eu recomendo esta TV se você quiser comprar esta série de 32 polegadas. Gostei e acho que você também adora se o seu orçamento estiver nesse intervalo., Primeiro outono, fui tomar como uma TV Acer, então tenho medo porque a Acer TV é uma nova marca e se algum problema com a TV por servir. Mas depois de comprar e usar meu medo, foi. Porque as funções de TV são boas. E garantia também disponível., No geral, é um bom produto, algumas vezes ele fica e uma vez que foi reiniciado automaticamente. Mas a empresa mentiu para os clientes que há 16 GB de espaço na TV, o que não é o Therestill, eu gosto da imagem e do som Qualidade, estou muito feliz quando encomendo esta TV. Eu o comprei no Diwali. Quando começamos a usar essa TV, descobrimos que, para usar o recurso Cromecast, preciso instalar um aplicativo de terceiros que não é suporte ao meu telefone celular (Samsung M21). Estou muito decepcionado agora por esse recurso, mas o que posso fazer agora. Tem um sistema de som bom e alto. Minha experiência geral não é atender às minhas expectativas. Lamento não ter obtido um tamanho maior. Esta é uma TV inteligente incrível, vista clara e som incrível. 4 estrelas apenas porque eu não consegui fazer o Jio Universal Remote trabalhar com ele., Sob 15k Melhor TV Android Smart Tudo é perfeito, como som, qualidade de imagem, conectividade Bluetooth e Wi -Fi. Conectividade, finalmente, uma TV inteligente amigável para pessoas de classe média que está com salário de 30 mil por mês. Qualidade da imagem- ok ok, som- super, aviso- melhor, remoto- simples sobre tudo o que é legal. Nenhum produto é perfeito em todos os segmentos, este também não é uma exceção.</v>
      </c>
    </row>
    <row r="273">
      <c r="A273" s="9" t="s">
        <v>1137</v>
      </c>
      <c r="B273" s="29" t="str">
        <f>VLOOKUP(dados!A273, reviews!A:G, 5, FALSE)</f>
        <v>Good quality,Average product.,It fits perfectly on remote. Its Worth for the money I spent.,Good silicon cover for remote,It is perfect fit,Overall it a good product but little pricey,Great for fire stick 4k,Nice product</v>
      </c>
      <c r="C273" s="29" t="str">
        <f>VLOOKUP(dados!A273, reviews!A:G, 6, FALSE)</f>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v>
      </c>
      <c r="D273" s="29" t="str">
        <f>IFERROR(__xludf.DUMMYFUNCTION("GOOGLETRANSLATE(B273, ""en"", ""pt-br"")"),"Produto médio de boa qualidade., Ele se encaixa perfeitamente no controle remoto. Vale a pena pelo dinheiro que gastei., Boa cobertura de silício para remoto, é perfeito, em geral, é um bom produto, mas um pouco caro, ótimo para o fogo de fogo 4k, bom pro"&amp;"duto")</f>
        <v>Produto médio de boa qualidade., Ele se encaixa perfeitamente no controle remoto. Vale a pena pelo dinheiro que gastei., Boa cobertura de silício para remoto, é perfeito, em geral, é um bom produto, mas um pouco caro, ótimo para o fogo de fogo 4k, bom produto</v>
      </c>
      <c r="E273" s="29" t="str">
        <f>IFERROR(__xludf.DUMMYFUNCTION("GOOGLETRANSLATE(C273, ""en"", ""pt-br"")"),"Boa qualidade, como mencionado no produto detalha o loop, o loop não é fornecido. A qualidade do item parece média., Ele se encaixa perfeitamente no controle remoto. Vale a pena pelo dinheiro que gastei., Bom produto. Valor do dinheiro., Bom produto, eu n"&amp;"ão diria isso como um produto para valor para dinheiro. Mas se encaixa bem no Alexa Remote. O ajuste é um pouco desajeitado para o topo do controle remoto em comparação com o restante das áreas., Se você também odeia cobrir o controle remoto com tampas de"&amp;" plástico, isso é para você. Boa qualidade, preços razoáveis ​​e projetado ergonomicamente., Bom produto")</f>
        <v>Boa qualidade, como mencionado no produto detalha o loop, o loop não é fornecido. A qualidade do item parece média., Ele se encaixa perfeitamente no controle remoto. Vale a pena pelo dinheiro que gastei., Bom produto. Valor do dinheiro., Bom produto, eu não diria isso como um produto para valor para dinheiro. Mas se encaixa bem no Alexa Remote. O ajuste é um pouco desajeitado para o topo do controle remoto em comparação com o restante das áreas., Se você também odeia cobrir o controle remoto com tampas de plástico, isso é para você. Boa qualidade, preços razoáveis ​​e projetado ergonomicamente., Bom produto</v>
      </c>
    </row>
    <row r="274">
      <c r="A274" s="9" t="s">
        <v>1141</v>
      </c>
      <c r="B274" s="29" t="str">
        <f>VLOOKUP(dados!A274, reviews!A:G, 5, FALSE)</f>
        <v>Good,I don’t like this product,Awesome product,Best cable for iphone xs .. works well with fast charging brick,Low quality pin but wire is fine,Excellent quality,Awesome quality and fast charging,Works fine</v>
      </c>
      <c r="C274" s="29" t="str">
        <f>VLOOKUP(dados!A274, reviews!A:G, 6, FALSE)</f>
        <v>Good,,Quality of cable is good and fast charging and customer care support very helpful,Simply the best cable.. works really well with fast charging brick,Don’t buy if you have problem with loose pin…its pin is same as oroginal iPhone pin…but the wire quality is good…if you want to take for that…it just took 2 months for thier pin to break,Awesome charging wire,Awesome quality and fast charging,The product works fine. It is able to deliver fast charging when connected to a 20W charger. The cable is durable unlike the Apple OE cable.</v>
      </c>
      <c r="D274" s="29" t="str">
        <f>IFERROR(__xludf.DUMMYFUNCTION("GOOGLETRANSLATE(B274, ""en"", ""pt-br"")"),"Bom, eu não gosto deste produto, produto incrível, melhor cabo para iPhone XS.")</f>
        <v>Bom, eu não gosto deste produto, produto incrível, melhor cabo para iPhone XS.</v>
      </c>
      <c r="E274" s="29" t="str">
        <f>IFERROR(__xludf.DUMMYFUNCTION("GOOGLETRANSLATE(C274, ""en"", ""pt-br"")"),"Bom, a qualidade do cabo é boa e rápida e o suporte ao cliente é muito útil, simplesmente o melhor cabo. PIN do iPhone ... mas a qualidade do fio é boa ... se você deseja levar para isso ... levou 2 meses para que seu pino quebre, arame de carregamento in"&amp;"crível, qualidade incrível e carregamento rápido, o produto funciona bem. É capaz de fornecer carregamento rápido quando conectado a um carregador de 20W. O cabo é durável, diferentemente do cabo da Apple OE.")</f>
        <v>Bom, a qualidade do cabo é boa e rápida e o suporte ao cliente é muito útil, simplesmente o melhor cabo. PIN do iPhone ... mas a qualidade do fio é boa ... se você deseja levar para isso ... levou 2 meses para que seu pino quebre, arame de carregamento incrível, qualidade incrível e carregamento rápido, o produto funciona bem. É capaz de fornecer carregamento rápido quando conectado a um carregador de 20W. O cabo é durável, diferentemente do cabo da Apple OE.</v>
      </c>
    </row>
    <row r="275">
      <c r="A275" s="9" t="s">
        <v>1145</v>
      </c>
      <c r="B275" s="29" t="str">
        <f>VLOOKUP(dados!A275, reviews!A:G, 5, FALSE)</f>
        <v>Tv is good in price range,Inexpensive Smart TV,good,Cheap and best,In this budget it’s so good,Not bad ok,Very good👍👍,Very Nice</v>
      </c>
      <c r="C275" s="29" t="str">
        <f>VLOOKUP(dados!A275, reviews!A:G, 6, FALSE)</f>
        <v>Tv is good in this price range,It's an excellent product for this price range,Good,Picture quality is good,Amazing product sound quality is okay and smart features is little bit slow but it’s okay overall ✅ love this product,Ok super work,Good product,</v>
      </c>
      <c r="D275" s="29" t="str">
        <f>IFERROR(__xludf.DUMMYFUNCTION("GOOGLETRANSLATE(B275, ""en"", ""pt-br"")"),"A TV é boa em faixa de preço, TV inteligente barata, boa, barata e melhor, neste orçamento é tão bom, não é ruim ok, muito bom, muito bom")</f>
        <v>A TV é boa em faixa de preço, TV inteligente barata, boa, barata e melhor, neste orçamento é tão bom, não é ruim ok, muito bom, muito bom</v>
      </c>
      <c r="E275" s="29" t="str">
        <f>IFERROR(__xludf.DUMMYFUNCTION("GOOGLETRANSLATE(C275, ""en"", ""pt-br"")"),"A TV é boa nessa faixa de preço, é um excelente produto para essa faixa de preço, boa, a qualidade da imagem é boa, a qualidade incrível do som do produto está bem e os recursos inteligentes são um pouco lentos, mas tudo bem, no geral ✅ amo este produto, "&amp;"ok super trabalho, Bom produto,")</f>
        <v>A TV é boa nessa faixa de preço, é um excelente produto para essa faixa de preço, boa, a qualidade da imagem é boa, a qualidade incrível do som do produto está bem e os recursos inteligentes são um pouco lentos, mas tudo bem, no geral ✅ amo este produto, ok super trabalho, Bom produto,</v>
      </c>
    </row>
    <row r="276">
      <c r="A276" s="9" t="s">
        <v>1149</v>
      </c>
      <c r="B276" s="29" t="str">
        <f>VLOOKUP(dados!A276, reviews!A:G, 5, FALSE)</f>
        <v>Picture quality poor,Good,Very good product,Working fine till now,Good quality,Nice product,Nice picture quality,Nice sarvice</v>
      </c>
      <c r="C276" s="29" t="str">
        <f>VLOOKUP(dados!A276, reviews!A:G, 6, FALSE)</f>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v>
      </c>
      <c r="D276" s="29" t="str">
        <f>IFERROR(__xludf.DUMMYFUNCTION("GOOGLETRANSLATE(B276, ""en"", ""pt-br"")"),"Qualidade de imagem pobre, bom, muito bom produto, funcionando bem até agora, boa qualidade, bom produto, boa qualidade de imagem, bom sarvice")</f>
        <v>Qualidade de imagem pobre, bom, muito bom produto, funcionando bem até agora, boa qualidade, bom produto, boa qualidade de imagem, bom sarvice</v>
      </c>
      <c r="E276" s="29" t="str">
        <f>IFERROR(__xludf.DUMMYFUNCTION("GOOGLETRANSLATE(C276, ""en"", ""pt-br"")"),"Qualidade de imagem Pobre, bom, muito bom produto, desde que eu o uso, está funcionando bem. A qualidade da imagem é boa e o sinal também está à altura da marca. Eu uso esta caixa de TV Digital TV HD desde um mês sem problemas, também o tempo estava bom d"&amp;"esde então e vou verificar isso em condições climáticas ruins também, porque principalmente esses STBs dão problemas em condições climáticas ruins, até agora está funcionando bem ., Ok, bom produto, eu gosto deste produto, https: //m.media-amazon.com/imag"&amp;"es/i/71-doyzcjyl._sy88.jpg,nice sarvice")</f>
        <v>Qualidade de imagem Pobre, bom, muito bom produto, desde que eu o uso, está funcionando bem. A qualidade da imagem é boa e o sinal também está à altura da marca. Eu uso esta caixa de TV Digital TV HD desde um mês sem problemas, também o tempo estava bom desde então e vou verificar isso em condições climáticas ruins também, porque principalmente esses STBs dão problemas em condições climáticas ruins, até agora está funcionando bem ., Ok, bom produto, eu gosto deste produto, https: //m.media-amazon.com/images/i/71-doyzcjyl._sy88.jpg,nice sarvice</v>
      </c>
    </row>
    <row r="277">
      <c r="A277" s="9" t="s">
        <v>1153</v>
      </c>
      <c r="B277" s="29" t="str">
        <f>VLOOKUP(dados!A277, reviews!A:G, 5, FALSE)</f>
        <v>When I placed the order I was in doubt whether it would work or not but it works very well,Very bad 😞😞,Remote very 👎 bad,Doesn’t works at all, material quality isn’t nearby the original one,No bluetooth</v>
      </c>
      <c r="C277" s="29" t="str">
        <f>VLOOKUP(dados!A277, reviews!A:G, 6, FALSE)</f>
        <v>Ok,Very disappointedRange is not good it doesn't catch from a little far and it doesn't support Bluetooth and untill and unless it is not connected to set top box via bluetooth voice search will not work.Also yo can't return you can only replace it.😡,Very bad product never connect only,https://m.media-amazon.com/images/W/WEBP_402378-T1/images/I/819V40EpT2L._SY88.jpg,No bluetooth</v>
      </c>
      <c r="D277" s="29" t="str">
        <f>IFERROR(__xludf.DUMMYFUNCTION("GOOGLETRANSLATE(B277, ""en"", ""pt-br"")"),"Quando fiz o pedido, eu estava em dúvida se funcionaria ou não, mas funciona muito bem, muito ruim 😞😞, muito remoto, muito ruim, não funciona, a qualidade do material não está próxima da original, sem Bluetooth")</f>
        <v>Quando fiz o pedido, eu estava em dúvida se funcionaria ou não, mas funciona muito bem, muito ruim 😞😞, muito remoto, muito ruim, não funciona, a qualidade do material não está próxima da original, sem Bluetooth</v>
      </c>
      <c r="E277" s="29" t="str">
        <f>IFERROR(__xludf.DUMMYFUNCTION("GOOGLETRANSLATE(C277, ""en"", ""pt-br"")"),"Ok, uma faixa decepcionada não é boa, ele não pega um pouco longe e não suporta Bluetooth e até até que não esteja conectado para definir a caixa superior via Bluetooth Voice Search não funcionará. Além disso, você não pode devolvê -lo só pode substituí-l"&amp;"o.😡, o produto muito ruim nunca se conecta apenas, https: //m.media-amazon.com/images/w/webp_402378-t1/images/i/819v40ept2l._sy88.jpg, bluetooth")</f>
        <v>Ok, uma faixa decepcionada não é boa, ele não pega um pouco longe e não suporta Bluetooth e até até que não esteja conectado para definir a caixa superior via Bluetooth Voice Search não funcionará. Além disso, você não pode devolvê -lo só pode substituí-lo.😡, o produto muito ruim nunca se conecta apenas, https: //m.media-amazon.com/images/w/webp_402378-t1/images/i/819v40ept2l._sy88.jpg, bluetooth</v>
      </c>
    </row>
    <row r="278">
      <c r="A278" s="9" t="s">
        <v>1157</v>
      </c>
      <c r="B278" s="29" t="str">
        <f>VLOOKUP(dados!A278, reviews!A:G, 5, FALSE)</f>
        <v>Best(Branded) Budget TV,A high-quality 4k Smart TV from Samsung,Received Defective,Got Replacement,Nice product but,Tv is good,Best budget tv,Value for money. Samsung is always good,Value for money product</v>
      </c>
      <c r="C278" s="29" t="str">
        <f>VLOOKUP(dados!A278, reviews!A:G, 6, FALSE)</f>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v>
      </c>
      <c r="D278" s="29" t="str">
        <f>IFERROR(__xludf.DUMMYFUNCTION("GOOGLETRANSLATE(B278, ""en"", ""pt-br"")"),"O Best (com a marca) TV, uma TV inteligente em 4K de alta qualidade da Samsung, recebeu defeituosos, obteve substituição, produto agradável, mas a TV é boa, a melhor TV orçamentária, uma relação custo-benefício. Samsung é sempre bom, produto de valor para"&amp;" dinheiro")</f>
        <v>O Best (com a marca) TV, uma TV inteligente em 4K de alta qualidade da Samsung, recebeu defeituosos, obteve substituição, produto agradável, mas a TV é boa, a melhor TV orçamentária, uma relação custo-benefício. Samsung é sempre bom, produto de valor para dinheiro</v>
      </c>
      <c r="E278" s="29" t="str">
        <f>IFERROR(__xludf.DUMMYFUNCTION("GOOGLETRANSLATE(C278, ""en"", ""pt-br"")"),"Antes de finalizar as vendas da AUE60 55 "", visitei Croma e Vijay para verificar a mesma TV ou modelos similares para obter seus recursos e qualidade de imagem. Disseram-me AUE60 &amp; AUE70 (os modelos listados aqui como Crystal 4K e 4K Pro) são e- Modelos "&amp;"exclusivos do Commerce, não disponíveis offline. Fui mostrado AU7700, que possui o mesmo processador, painel e recursos, mas estava listado a 65k para a versão de 55 "". Gostei da qualidade da imagem e decidi obter o AUE60, pois ele compartilha muito com "&amp;"o AU7700 e economizará ~ 20k.Por que fui para a AUE60 vs. Aue70 - eu sabia que não precisaria de um assistente de voz e queria Para salvar 3k. Eu sabia que, mesmo que quisesse um assistente de voz, poderia conectar a caixa de TV Fire/Mi e obter esses recu"&amp;"rsos mais tarde. A entrega era bastante livre, o executivo de entrega descarregou a TV na sala que pedi e abriu a caixa para inspecionar a TV por qualquer dano físico. Os técnicos da Samsung chegaram algumas horas depois, instalaram e deram uma demonstraç"&amp;"ão: por outras críticas - o som dos alto -falantes é aparentemente ruim, mas no meu caso, achei satisfatório. Eu tenho a parede montada em uma sala de 10x12 pés, e os alto -falantes da TV parecem melhor em comparação com os alto -falantes do Bose Soundlin"&amp;"k para o qual eu o conectei via bluetooth.treture: o painel é ótimo, mas nada que valha a pena irritar. A uniformidade cinza não é ótima (ou seja, tons cinzentos não serão perfeitamente uniformes em todo o painel, haverá zonas mais escuras em direção às b"&amp;"ordas/cantos com base na colocação da luz de fundo). Os negros não são perfeitamente negros - e eles são mais brilhantes do que você esperaria de um painel VA, mas isso não é perceptível quando a sala estiver acesa. Sem sangramento da luz de fundo. As cor"&amp;"es são tão boas quanto eu gostaria que fossem, e o painel fica visivelmente brilhante para o meu gosto, mesmo quando o brilho é reduzido para 40%. O conteúdo 720p é assistível de&gt; 8 pés, 1080p é bom (eu diria melhor do que eu esperava) e 4K está bem, 4K.C"&amp;"onnectivity: eu tenho uma conexão de banda larga de 35 MB/s e todos os fluxos de conteúdo em 4K, quando disponível, sem Grea. A TV possui Bluetooth 5.0 e trabalha com fones de ouvido TWS e Band de pescoço (eu uso o Oppo EncO W51 e o Rockerz 330) - não há "&amp;"latência perceptível e o volume pode ser controlado pelo próprio controle remoto. de aplicativos de streaming que eu precisava - Netflix, Hotstar, Prime, Apple TV+ e YouTube. Todos eles transmitem conteúdo 4K, exceto o Hotstar - que apenas transmitiu 4K a"&amp;"lgumas vezes. 1080p ainda é muito assistível e não é realmente um quebra de negócio. Nenhum suporte à Visão Dolby - com o qual fiz as pazes, considerando o fato de que 99% das TVs orçamentárias no mercado não podem produzir o contraste que você esperaria "&amp;"do conteúdo de DV de qualquer maneira, então por que se importar. Você obtém HDR e o conteúdo HDR é definitivamente mais bonito do que os não-HDR em termos de cores e vibração. Eu planejava usar a TV sem cabo, mas a TV vem com alguns canais como Republic "&amp;"TV, Bloomberg, 9xm, etc., estes transmissões em 1080p, então um ótimo bônus para ter.Remote: RF muito básico remoto, diferentemente dos Bluetooth Na maioria das novas TVs. O controle remoto parece bastante elegante e elegante, mas é isso. Maior reclamação"&amp;"-digitar para procurar coisas nos aplicativos é uma dor no atrás, você precisará usar o D-Pad para navegar em um teclado na tela. Você pode controlar a TV usando o aplicativo SmartThings da Samsung, mas adivinhe - você não pode nem usar o teclado do seu t"&amp;"elefone para digitar ao controlar o aplicativo - isso é algo que pode ser adicionado através de uma atualização, mas ainda não está lá. As imagens são todo o conteúdo 4K. A resolução pode ser reduzida depois de enviar a revisão, mas você ainda pode ter um"&amp;"a idéia do design/aparência da TV, cores e contraste, etc. Eu diria que estou muito feliz - e com a chance, não seria mude minha decisão. É uma TV Samsung, então o final do dia, se produzir uma imagem decente e dura alguns anos a mais do que eu espero, po"&amp;"sso ignorar todos os outros contras. Eu recomendo a TV se você tiver as mesmas expectativas da sua próxima TV., Em 18 de dezembro de 22, recebeu um produto com defeito, atualizado para o serviço da Amazon que eles substituíram por um novo produto hoje (27"&amp;"/12/22) .WILL POST REVISÃO DE LONGO PRONTRATIVO.PROS: Qualidade da imagem, design (fino n moldura menos) contras: som (pouco bem), upse-sacling de canais SD todos satisfeitos., estão usando-o desde o mês agora. 4.5/5-Como o serviço de instalação sempre da"&amp;" Samsung foi sem aparência. Recursos 5/5-Smart são bons Este modelo não tem reconhecimento de voz. Eu não preciso, então está bem. 4/5 de qualidade de Audio não é boa. É claro, mas o volume não é suficiente se instalar no Big Hall. Também não possui base."&amp;"Pear uma barra de som separadamente se comprar esse modelo., Mas a qualidade da imagem é ok-ok., Melhor produto de TV na determinada faixa de preço, valor para dinheiro. Samsung é sempre bom, produto de valor para dinheiro")</f>
        <v>Antes de finalizar as vendas da AUE60 55 ", visitei Croma e Vijay para verificar a mesma TV ou modelos similares para obter seus recursos e qualidade de imagem. Disseram-me AUE60 &amp; AUE70 (os modelos listados aqui como Crystal 4K e 4K Pro) são e- Modelos exclusivos do Commerce, não disponíveis offline. Fui mostrado AU7700, que possui o mesmo processador, painel e recursos, mas estava listado a 65k para a versão de 55 ". Gostei da qualidade da imagem e decidi obter o AUE60, pois ele compartilha muito com o AU7700 e economizará ~ 20k.Por que fui para a AUE60 vs. Aue70 - eu sabia que não precisaria de um assistente de voz e queria Para salvar 3k. Eu sabia que, mesmo que quisesse um assistente de voz, poderia conectar a caixa de TV Fire/Mi e obter esses recursos mais tarde. A entrega era bastante livre, o executivo de entrega descarregou a TV na sala que pedi e abriu a caixa para inspecionar a TV por qualquer dano físico. Os técnicos da Samsung chegaram algumas horas depois, instalaram e deram uma demonstração: por outras críticas - o som dos alto -falantes é aparentemente ruim, mas no meu caso, achei satisfatório. Eu tenho a parede montada em uma sala de 10x12 pés, e os alto -falantes da TV parecem melhor em comparação com os alto -falantes do Bose Soundlink para o qual eu o conectei via bluetooth.treture: o painel é ótimo, mas nada que valha a pena irritar. A uniformidade cinza não é ótima (ou seja, tons cinzentos não serão perfeitamente uniformes em todo o painel, haverá zonas mais escuras em direção às bordas/cantos com base na colocação da luz de fundo). Os negros não são perfeitamente negros - e eles são mais brilhantes do que você esperaria de um painel VA, mas isso não é perceptível quando a sala estiver acesa. Sem sangramento da luz de fundo. As cores são tão boas quanto eu gostaria que fossem, e o painel fica visivelmente brilhante para o meu gosto, mesmo quando o brilho é reduzido para 40%. O conteúdo 720p é assistível de&gt; 8 pés, 1080p é bom (eu diria melhor do que eu esperava) e 4K está bem, 4K.Connectivity: eu tenho uma conexão de banda larga de 35 MB/s e todos os fluxos de conteúdo em 4K, quando disponível, sem Grea. A TV possui Bluetooth 5.0 e trabalha com fones de ouvido TWS e Band de pescoço (eu uso o Oppo EncO W51 e o Rockerz 330) - não há latência perceptível e o volume pode ser controlado pelo próprio controle remoto. de aplicativos de streaming que eu precisava - Netflix, Hotstar, Prime, Apple TV+ e YouTube. Todos eles transmitem conteúdo 4K, exceto o Hotstar - que apenas transmitiu 4K algumas vezes. 1080p ainda é muito assistível e não é realmente um quebra de negócio. Nenhum suporte à Visão Dolby - com o qual fiz as pazes, considerando o fato de que 99% das TVs orçamentárias no mercado não podem produzir o contraste que você esperaria do conteúdo de DV de qualquer maneira, então por que se importar. Você obtém HDR e o conteúdo HDR é definitivamente mais bonito do que os não-HDR em termos de cores e vibração. Eu planejava usar a TV sem cabo, mas a TV vem com alguns canais como Republic TV, Bloomberg, 9xm, etc., estes transmissões em 1080p, então um ótimo bônus para ter.Remote: RF muito básico remoto, diferentemente dos Bluetooth Na maioria das novas TVs. O controle remoto parece bastante elegante e elegante, mas é isso. Maior reclamação-digitar para procurar coisas nos aplicativos é uma dor no atrás, você precisará usar o D-Pad para navegar em um teclado na tela. Você pode controlar a TV usando o aplicativo SmartThings da Samsung, mas adivinhe - você não pode nem usar o teclado do seu telefone para digitar ao controlar o aplicativo - isso é algo que pode ser adicionado através de uma atualização, mas ainda não está lá. As imagens são todo o conteúdo 4K. A resolução pode ser reduzida depois de enviar a revisão, mas você ainda pode ter uma idéia do design/aparência da TV, cores e contraste, etc. Eu diria que estou muito feliz - e com a chance, não seria mude minha decisão. É uma TV Samsung, então o final do dia, se produzir uma imagem decente e dura alguns anos a mais do que eu espero, posso ignorar todos os outros contras. Eu recomendo a TV se você tiver as mesmas expectativas da sua próxima TV., Em 18 de dezembro de 22, recebeu um produto com defeito, atualizado para o serviço da Amazon que eles substituíram por um novo produto hoje (27/12/22) .WILL POST REVISÃO DE LONGO PRONTRATIVO.PROS: Qualidade da imagem, design (fino n moldura menos) contras: som (pouco bem), upse-sacling de canais SD todos satisfeitos., estão usando-o desde o mês agora. 4.5/5-Como o serviço de instalação sempre da Samsung foi sem aparência. Recursos 5/5-Smart são bons Este modelo não tem reconhecimento de voz. Eu não preciso, então está bem. 4/5 de qualidade de Audio não é boa. É claro, mas o volume não é suficiente se instalar no Big Hall. Também não possui base.Pear uma barra de som separadamente se comprar esse modelo., Mas a qualidade da imagem é ok-ok., Melhor produto de TV na determinada faixa de preço, valor para dinheiro. Samsung é sempre bom, produto de valor para dinheiro</v>
      </c>
    </row>
    <row r="279">
      <c r="A279" s="9" t="s">
        <v>1161</v>
      </c>
      <c r="B279" s="29" t="str">
        <f>VLOOKUP(dados!A279, reviews!A:G, 5, FALSE)</f>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v>
      </c>
      <c r="C279" s="29" t="str">
        <f>VLOOKUP(dados!A279, reviews!A:G, 6, FALSE)</f>
        <v>,Please don't buy this product.Cable stopped working after 10 days automatically,value for money,Very nice product and cheap compare to other,using for a month now,,https://m.media-amazon.com/images/I/711x3nzWzLL._SY88.jpg,Bad quality product as it charging in 36 hours within 10bdays of usage.,</v>
      </c>
      <c r="D279" s="29" t="str">
        <f>IFERROR(__xludf.DUMMYFUNCTION("GOOGLETRANSLATE(B279, ""en"", ""pt-br"")"),"Bom produto, vale a pena, não é digno de comprar, bom ok de usar, produto muito bom, produto inútil, muito baixa qualidade, dentro de 10 dias após a compra, o cabo de carregamento começou a mostrar 36 horas por uma carga completa, parou de trabalhar em qu"&amp;"ase 10 Dias de desperdício de dinheiro conector do tipo C saiu da parte de plástico")</f>
        <v>Bom produto, vale a pena, não é digno de comprar, bom ok de usar, produto muito bom, produto inútil, muito baixa qualidade, dentro de 10 dias após a compra, o cabo de carregamento começou a mostrar 36 horas por uma carga completa, parou de trabalhar em quase 10 Dias de desperdício de dinheiro conector do tipo C saiu da parte de plástico</v>
      </c>
      <c r="E279" s="29" t="str">
        <f>IFERROR(__xludf.DUMMYFUNCTION("GOOGLETRANSLATE(C279, ""en"", ""pt-br"")"),", Por favor, não compre este produto. A CABLE parou de funcionar após 10 dias automaticamente, valor ao dinheiro, produto muito bom e comparação barata a outros, usando por um mês agora, https: //m.media-amazon.com/images /I/711x3nzwzll._sy88.jpg,bad Prod"&amp;"uto de qualidade enquanto cobra em 36 horas dentro de 10 bilhões de usos.,")</f>
        <v>, Por favor, não compre este produto. A CABLE parou de funcionar após 10 dias automaticamente, valor ao dinheiro, produto muito bom e comparação barata a outros, usando por um mês agora, https: //m.media-amazon.com/images /I/711x3nzwzll._sy88.jpg,bad Produto de qualidade enquanto cobra em 36 horas dentro de 10 bilhões de usos.,</v>
      </c>
    </row>
    <row r="280">
      <c r="A280" s="9" t="s">
        <v>1165</v>
      </c>
      <c r="B280" s="29" t="str">
        <f>VLOOKUP(dados!A280, reviews!A:G, 5, FALSE)</f>
        <v>It is the best tv if you are getting it in 10-12k,Good price but the OS lags,GARBAGE QUALITY,Good product.,Good quality,Great experience everything is fantastic 🤠,Super picture quality and sound quality,Awesome</v>
      </c>
      <c r="C280" s="29" t="str">
        <f>VLOOKUP(dados!A280, reviews!A:G, 6, FALSE)</f>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v>
      </c>
      <c r="D280" s="29" t="str">
        <f>IFERROR(__xludf.DUMMYFUNCTION("GOOGLETRANSLATE(B280, ""en"", ""pt-br"")"),"É a melhor TV se você estiver obtendo em 10-12k, bom preço, mas o sistema operacional fica, qualidade de lixo, bom produto., Boa qualidade, ótima experiência, tudo é fantástico 🤠, qualidade de super imagem e qualidade de som, incrível")</f>
        <v>É a melhor TV se você estiver obtendo em 10-12k, bom preço, mas o sistema operacional fica, qualidade de lixo, bom produto., Boa qualidade, ótima experiência, tudo é fantástico 🤠, qualidade de super imagem e qualidade de som, incrível</v>
      </c>
      <c r="E280" s="29" t="str">
        <f>IFERROR(__xludf.DUMMYFUNCTION("GOOGLETRANSLATE(C280, ""en"", ""pt-br"")"),"Pros- xiomi 5a é o melhor em um orçamento de qualidade de qualidade- muito boa saída de áudio- cheia de featureCons- às vezes os atrasos da TV- às vezes prendendo esse alcance de prêmio, todas as TVs com contras. é bom, mas como está sendo executado no An"&amp;"droid 12, ele fica. Espero que, após algumas atualizações, o problema dos lags seja resolvido, produtos inúteis e qualidade inútil. Exibir problemas dentro de 7 meses e o centro de serviço não está atualizado. Vá para melhores marcas onde a qualidade é ga"&amp;"rantida. Eu gostaria que se houvesse opção de estrelas negativas., Usar como conecta a TV, a imagem é muito boa. Eu estava pulando um melhor nível de música. Globaly é um bom produto., Https: //m.media-amazon.com/images/w/webp_402378-t2/images/i/61spxdboj"&amp;"zl._sy88.jpg,Greater Então, sempre, boa qualidade, boa 👍 👍 👍")</f>
        <v>Pros- xiomi 5a é o melhor em um orçamento de qualidade de qualidade- muito boa saída de áudio- cheia de featureCons- às vezes os atrasos da TV- às vezes prendendo esse alcance de prêmio, todas as TVs com contras. é bom, mas como está sendo executado no Android 12, ele fica. Espero que, após algumas atualizações, o problema dos lags seja resolvido, produtos inúteis e qualidade inútil. Exibir problemas dentro de 7 meses e o centro de serviço não está atualizado. Vá para melhores marcas onde a qualidade é garantida. Eu gostaria que se houvesse opção de estrelas negativas., Usar como conecta a TV, a imagem é muito boa. Eu estava pulando um melhor nível de música. Globaly é um bom produto., Https: //m.media-amazon.com/images/w/webp_402378-t2/images/i/61spxdbojzl._sy88.jpg,Greater Então, sempre, boa qualidade, boa 👍 👍 👍</v>
      </c>
    </row>
    <row r="281">
      <c r="A281" s="9" t="s">
        <v>1169</v>
      </c>
      <c r="B281" s="29" t="str">
        <f>VLOOKUP(dados!A281, reviews!A:G, 5, FALSE)</f>
        <v>Value for Money,Costlier than the original product, works somewhat same.,Bad quality.,Ok,Product is good,Poor quality remote control,Nice product,Good product</v>
      </c>
      <c r="C281" s="29" t="str">
        <f>VLOOKUP(dados!A281, reviews!A:G, 6, FALSE)</f>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v>
      </c>
      <c r="D281" s="29" t="str">
        <f>IFERROR(__xludf.DUMMYFUNCTION("GOOGLETRANSLATE(B281, ""en"", ""pt-br"")"),"Valor do dinheiro, mais caro que o produto original, funciona o mesmo.")</f>
        <v>Valor do dinheiro, mais caro que o produto original, funciona o mesmo.</v>
      </c>
      <c r="E281" s="29" t="str">
        <f>IFERROR(__xludf.DUMMYFUNCTION("GOOGLETRANSLATE(C281, ""en"", ""pt-br"")"),"Valor pelo dinheiro e funciona perfeitamente na televisão Xiaomi, isso é um pouco mais caro que o produto original, há algumas melhorias no design do original e funciona quase bom. Pode ser muito melhor., A tampa da bateria não se encaixava bem no novo pr"&amp;"oduto. Parou de funcionar após um mês de uso., Valor para o dinheiro, mas não sente o controle remoto original com a TV o que recebemos. Mas está funcionando bem com minha TV inteligente Mi 55 "", a primeira entrega controle remoto não estava funcionando."&amp;" Após a solicitação de substituição recebeu um novo RC, mas dentro de 8 dias os botões de volume pararam de funcionar. Bom")</f>
        <v>Valor pelo dinheiro e funciona perfeitamente na televisão Xiaomi, isso é um pouco mais caro que o produto original, há algumas melhorias no design do original e funciona quase bom. Pode ser muito melhor., A tampa da bateria não se encaixava bem no novo produto. Parou de funcionar após um mês de uso., Valor para o dinheiro, mas não sente o controle remoto original com a TV o que recebemos. Mas está funcionando bem com minha TV inteligente Mi 55 ", a primeira entrega controle remoto não estava funcionando. Após a solicitação de substituição recebeu um novo RC, mas dentro de 8 dias os botões de volume pararam de funcionar. Bom</v>
      </c>
    </row>
    <row r="282">
      <c r="A282" s="9" t="s">
        <v>1173</v>
      </c>
      <c r="B282" s="29" t="str">
        <f>VLOOKUP(dados!A282, reviews!A:G, 5, FALSE)</f>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v>
      </c>
      <c r="C282" s="29" t="str">
        <f>VLOOKUP(dados!A282, reviews!A:G, 6, FALSE)</f>
        <v>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👍,Best Smart TV. Worth able price for the product.But Installation is poor.</v>
      </c>
      <c r="D282" s="29" t="str">
        <f>IFERROR(__xludf.DUMMYFUNCTION("GOOGLETRANSLATE(B282, ""en"", ""pt-br"")"),"Um bom produto em geral e uma relação custo 2 anos, mas um ano só mostra o cartão, valor pelo dinheiro!, Melhor TV inteligente")</f>
        <v>Um bom produto em geral e uma relação custo 2 anos, mas um ano só mostra o cartão, valor pelo dinheiro!, Melhor TV inteligente</v>
      </c>
      <c r="E282" s="29" t="str">
        <f>IFERROR(__xludf.DUMMYFUNCTION("GOOGLETRANSLATE(C282, ""en"", ""pt-br"")"),"Faz uma semana desde que compramos a TV de 43 ""LED. É definitivamente um valor para a compra de dinheiro. Boa imagem e qualidade do som, carregadas com aplicativos e recursos abundantes. O lado do flip é o tempo de instalação, como foi mencionado por out"&amp;"ros em outros em Postagens anteriores. Foram várias ligações para o atendimento ao cliente da Toshiba (muito descontraído e definitivamente não é pró-ativo). A escalada final para a cabeça do serviço funcionou e já se passava 3 dias desde que o produto ch"&amp;"egou e estava mentindo! . Entrega em termos de queixa., Este produto recebeu 5 dias ... mas não os serviços de insatlação são muito pobres, boa qualidade de imagem e som, som achi hai, mecanismo de toshiba regza é bom Este produto agora é de propriedade d"&amp;"a empresa de TV Hi Sense da China Qual empresa de TV número 2 de classificação durante todo o mundo, em seu orçamento apertado é bom।, ok, nessa faixa de preço, acho que você nunca achará tão bom quanto isso. A qualidade 👍, melhor TV inteligente. Product"&amp;".Cão a instalação é ruim.")</f>
        <v>Faz uma semana desde que compramos a TV de 43 "LED. É definitivamente um valor para a compra de dinheiro. Boa imagem e qualidade do som, carregadas com aplicativos e recursos abundantes. O lado do flip é o tempo de instalação, como foi mencionado por outros em outros em Postagens anteriores. Foram várias ligações para o atendimento ao cliente da Toshiba (muito descontraído e definitivamente não é pró-ativo). A escalada final para a cabeça do serviço funcionou e já se passava 3 dias desde que o produto chegou e estava mentindo! . Entrega em termos de queixa., Este produto recebeu 5 dias ... mas não os serviços de insatlação são muito pobres, boa qualidade de imagem e som, som achi hai, mecanismo de toshiba regza é bom Este produto agora é de propriedade da empresa de TV Hi Sense da China Qual empresa de TV número 2 de classificação durante todo o mundo, em seu orçamento apertado é bom।, ok, nessa faixa de preço, acho que você nunca achará tão bom quanto isso. A qualidade 👍, melhor TV inteligente. Product.Cão a instalação é ruim.</v>
      </c>
    </row>
    <row r="283">
      <c r="A283" s="9" t="s">
        <v>1177</v>
      </c>
      <c r="B283" s="29" t="str">
        <f>VLOOKUP(dados!A283, reviews!A:G, 5, FALSE)</f>
        <v>Nice one,Not up to the mark.,Nice product working in Asus zen pro mobile,Good product 👍👍👍,Working everything as expected,VERY GOOD QUALITY,Lenovo USB A to Type-C Tangle-free  Aramid fiber braided 1.2m cable with 4A Fast charging,Nice Products</v>
      </c>
      <c r="C283" s="29" t="str">
        <f>VLOOKUP(dados!A283, reviews!A:G, 6, FALSE)</f>
        <v>Go for it without any hesitation,Even after selecting a branded product(Lenovo), I got this cable which only works with Samsung devices but doesn’t work with LG devices. Poor compatibility.,Nice experiance,,Files transfer okSuper fast charging cable goodMeets my expectation.,Very great Quality,Just purchased and using. Charging ok. Future, I can't say.,Good</v>
      </c>
      <c r="D283" s="29" t="str">
        <f>IFERROR(__xludf.DUMMYFUNCTION("GOOGLETRANSLATE(B283, ""en"", ""pt-br"")"),"Bom, não está à altura da marca., Bom produto trabalhando no ASUS Zen Pro Mobile, bom produto 👍👍👍, trabalhando tudo como esperado, muito boa qualidade, Lenovo USB A Tipo Cabo de fibra aramid sem tignos Type-C 1,2m Cabo de 1,2m Com 4A carregamento rápid"&amp;"o, produtos agradáveis")</f>
        <v>Bom, não está à altura da marca., Bom produto trabalhando no ASUS Zen Pro Mobile, bom produto 👍👍👍, trabalhando tudo como esperado, muito boa qualidade, Lenovo USB A Tipo Cabo de fibra aramid sem tignos Type-C 1,2m Cabo de 1,2m Com 4A carregamento rápido, produtos agradáveis</v>
      </c>
      <c r="E283" s="29" t="str">
        <f>IFERROR(__xludf.DUMMYFUNCTION("GOOGLETRANSLATE(C283, ""en"", ""pt-br"")"),"Vá em frente sem qualquer hesitação, mesmo depois de selecionar um produto de marca (Lenovo), recebi esse cabo que funciona apenas com dispositivos Samsung, mas não funciona com dispositivos LG. Má compatibilidade., Boa experiência, os arquivos transferem"&amp;" o Oksuper de carregamento rápido GoodMeets My Expectation., Muito boa qualidade, apenas comprado e usando. Cobrando ok. Futuro, não posso dizer., Bom")</f>
        <v>Vá em frente sem qualquer hesitação, mesmo depois de selecionar um produto de marca (Lenovo), recebi esse cabo que funciona apenas com dispositivos Samsung, mas não funciona com dispositivos LG. Má compatibilidade., Boa experiência, os arquivos transferem o Oksuper de carregamento rápido GoodMeets My Expectation., Muito boa qualidade, apenas comprado e usando. Cobrando ok. Futuro, não posso dizer., Bom</v>
      </c>
    </row>
    <row r="284">
      <c r="A284" s="9" t="s">
        <v>1181</v>
      </c>
      <c r="B284" s="29" t="str">
        <f>VLOOKUP(dados!A284, reviews!A:G, 5, FALSE)</f>
        <v>The cable works but is not 65W as advertised</v>
      </c>
      <c r="C284" s="29" t="str">
        <f>VLOOKUP(dados!A284, reviews!A:G, 6, FALSE)</f>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v>
      </c>
      <c r="D284" s="29" t="str">
        <f>IFERROR(__xludf.DUMMYFUNCTION("GOOGLETRANSLATE(B284, ""en"", ""pt-br"")"),"O cabo funciona, mas não é 65W como anunciado")</f>
        <v>O cabo funciona, mas não é 65W como anunciado</v>
      </c>
      <c r="E284" s="29" t="str">
        <f>IFERROR(__xludf.DUMMYFUNCTION("GOOGLETRANSLATE(C284, ""en"", ""pt-br"")"),"Eu tenho um carregador de carro com suporte de PD e comprei cabos Solimo anteriormente, que funcionam perfeitamente bem, mas este não aciona o carregamento rápido 3A completo, diferentemente do Solimo USB A para USB C, o que é estranho, porque isso deve s"&amp;"er um carregador de 65W com 4A suporte rápido de carregamento. ruins é um bom produto construído e funciona, mas não como o esperado. Pode ser compatível com seus carregadores, mas eu testei dois carregadores de carros diferentes e ambos não fizeram veloc"&amp;"idade a toda velocidade.")</f>
        <v>Eu tenho um carregador de carro com suporte de PD e comprei cabos Solimo anteriormente, que funcionam perfeitamente bem, mas este não aciona o carregamento rápido 3A completo, diferentemente do Solimo USB A para USB C, o que é estranho, porque isso deve ser um carregador de 65W com 4A suporte rápido de carregamento. ruins é um bom produto construído e funciona, mas não como o esperado. Pode ser compatível com seus carregadores, mas eu testei dois carregadores de carros diferentes e ambos não fizeram velocidade a toda velocidade.</v>
      </c>
    </row>
    <row r="285">
      <c r="A285" s="9" t="s">
        <v>1185</v>
      </c>
      <c r="B285" s="29" t="str">
        <f>VLOOKUP(dados!A285, reviews!A:G, 5, FALSE)</f>
        <v>Love Amazon but lg is misleading,Amazing product,Worst service from LG,Good,Simply beautiful,Satisfied with the TV,Great deal,It is quite ok</v>
      </c>
      <c r="C285" s="29" t="str">
        <f>VLOOKUP(dados!A285, reviews!A:G, 6, FALSE)</f>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v>
      </c>
      <c r="D285" s="29" t="str">
        <f>IFERROR(__xludf.DUMMYFUNCTION("GOOGLETRANSLATE(B285, ""en"", ""pt-br"")"),"Love Amazon, mas a LG é enganosa, produto incrível, o pior serviço da LG, bom, simplesmente bonito, satisfeito com a TV, muito, está tudo bem")</f>
        <v>Love Amazon, mas a LG é enganosa, produto incrível, o pior serviço da LG, bom, simplesmente bonito, satisfeito com a TV, muito, está tudo bem</v>
      </c>
      <c r="E285" s="29" t="str">
        <f>IFERROR(__xludf.DUMMYFUNCTION("GOOGLETRANSLATE(C285, ""en"", ""pt-br"")"),"Não há remoto mágico e a LG deve incluí -lo por padrão, pois facilita a vida. O Magic Remote custa cerca de 3k aproximadamente. Ligue e pergunte qual é o problema e quando informado sobre o problema que ele disse que precisa ser substituído, mas nenhum co"&amp;"rpo veio com ele. Então eu esperei 2 dias novamente e nada estava aparecendo no aplicativo da Amazon sobre substituição, então duvidando que eu chamei o cliente da Amazon Cuide -se novamente e expliquei tudo de novo e finalmente falei com alguém e ela dis"&amp;"se que o substituirá e recebi outra data em 4 dias. Essa vez a substituição veio e foi boa., Amazing Picture Quality e Som Clarity, mas apenas desvantagens é que ele não veio com um controle remoto mágico., A televisão é boa, mas o serviço de instalação é"&amp;" patético antes de tudo o que não entraram em contato conosco até 2 dias após a entrega da TV e ficamos frustrados e ligamos para o atendimento ao cliente da LG e eles aceitaram o nosso Problema e envie um técnico após 2 horas e, ao instalar a montagem, e"&amp;"le instalou 3 parafusos com sucesso, mas ele quebrou o último parafuso e perguntamos a ele que não causará um problema no futuro, ele disse que não seria, mas não acreditamos nele ., Bom, muito boa qualidade de boa qualidade neste preço, boa escolha, melh"&amp;"or negócio, eu gosto de LGWORTH por preço. Muito bom")</f>
        <v>Não há remoto mágico e a LG deve incluí -lo por padrão, pois facilita a vida. O Magic Remote custa cerca de 3k aproximadamente. Ligue e pergunte qual é o problema e quando informado sobre o problema que ele disse que precisa ser substituído, mas nenhum corpo veio com ele. Então eu esperei 2 dias novamente e nada estava aparecendo no aplicativo da Amazon sobre substituição, então duvidando que eu chamei o cliente da Amazon Cuide -se novamente e expliquei tudo de novo e finalmente falei com alguém e ela disse que o substituirá e recebi outra data em 4 dias. Essa vez a substituição veio e foi boa., Amazing Picture Quality e Som Clarity, mas apenas desvantagens é que ele não veio com um controle remoto mágico., A televisão é boa, mas o serviço de instalação é patético antes de tudo o que não entraram em contato conosco até 2 dias após a entrega da TV e ficamos frustrados e ligamos para o atendimento ao cliente da LG e eles aceitaram o nosso Problema e envie um técnico após 2 horas e, ao instalar a montagem, ele instalou 3 parafusos com sucesso, mas ele quebrou o último parafuso e perguntamos a ele que não causará um problema no futuro, ele disse que não seria, mas não acreditamos nele ., Bom, muito boa qualidade de boa qualidade neste preço, boa escolha, melhor negócio, eu gosto de LGWORTH por preço. Muito bom</v>
      </c>
    </row>
    <row r="286">
      <c r="A286" s="9" t="s">
        <v>1188</v>
      </c>
      <c r="B286" s="29" t="str">
        <f>VLOOKUP(dados!A286, reviews!A:G, 5, FALSE)</f>
        <v>NOT GOOD IN DURIBILITY.,The remote lasted a grand total of one week.,Good product too early to say final word on durability,prompt delivery plus supet product,It's good.,satisfactory,Body  problems,Damaged product</v>
      </c>
      <c r="C286" s="29" t="str">
        <f>VLOOKUP(dados!A286, reviews!A:G, 6, FALSE)</f>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v>
      </c>
      <c r="D286" s="29" t="str">
        <f>IFERROR(__xludf.DUMMYFUNCTION("GOOGLETRANSLATE(B286, ""en"", ""pt-br"")"),"Não é bom em durabilidade., O controle remoto durou um total grande de uma semana., Bom produto muito cedo para dizer a palavra final sobre durabilidade, entrega imediata e produto supeto, é bom., Satisfatório, problemas corporais, produto danificado")</f>
        <v>Não é bom em durabilidade., O controle remoto durou um total grande de uma semana., Bom produto muito cedo para dizer a palavra final sobre durabilidade, entrega imediata e produto supeto, é bom., Satisfatório, problemas corporais, produto danificado</v>
      </c>
      <c r="E286" s="29" t="str">
        <f>IFERROR(__xludf.DUMMYFUNCTION("GOOGLETRANSLATE(C286, ""en"", ""pt-br"")"),"Tudo bem, a hora do punho que o comprei durou cerca de 6 meses. Pela segunda vez, apenas uma semana. Gastou um pouco mais de dinheiro, mas voltou ao original do Tata Sky. Não vai realmente comprar isso de novo, bom produto, eu gosto de entrega imediata e "&amp;"super touch operando TV, está funcionando como esperado. remoto ..... por favor, verifique n verifique se isso não deve ser repetido novamente ...")</f>
        <v>Tudo bem, a hora do punho que o comprei durou cerca de 6 meses. Pela segunda vez, apenas uma semana. Gastou um pouco mais de dinheiro, mas voltou ao original do Tata Sky. Não vai realmente comprar isso de novo, bom produto, eu gosto de entrega imediata e super touch operando TV, está funcionando como esperado. remoto ..... por favor, verifique n verifique se isso não deve ser repetido novamente ...</v>
      </c>
    </row>
    <row r="287">
      <c r="A287" s="9" t="s">
        <v>1192</v>
      </c>
      <c r="B287" s="29" t="str">
        <f>VLOOKUP(dados!A287, reviews!A:G, 5, FALSE)</f>
        <v>The metal pin is losing it's strength,Sahi h bs 44 rupe ki and dilivery charge 40,Good Charging cable,Good sturdy micro usb cable with good charging speeds,Cheapest micro USB cable in the market,boat is better than this,I bought this for 199rs best charging cable for all mobiles,Good</v>
      </c>
      <c r="C287" s="29" t="str">
        <f>VLOOKUP(dados!A287, reviews!A:G, 6, FALSE)</f>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cable,😂,Best for this price,Good one</v>
      </c>
      <c r="D287" s="29" t="str">
        <f>IFERROR(__xludf.DUMMYFUNCTION("GOOGLETRANSLATE(B287, ""en"", ""pt-br"")"),"O pino de metal está perdendo a força, Sahi H BS 44 Rupe Ki e Dilivery Charge 40, bom cabo de carregamento, bom cabo robusto micro USB com boas velocidades de carregamento, cabo micro USB mais barato do mercado, o barco é melhor do que isso, comprei isso "&amp;"Para o melhor cabo de carregamento de 199Rs para todos os celulares, bom")</f>
        <v>O pino de metal está perdendo a força, Sahi H BS 44 Rupe Ki e Dilivery Charge 40, bom cabo de carregamento, bom cabo robusto micro USB com boas velocidades de carregamento, cabo micro USB mais barato do mercado, o barco é melhor do que isso, comprei isso Para o melhor cabo de carregamento de 199Rs para todos os celulares, bom</v>
      </c>
      <c r="E287" s="29" t="str">
        <f>IFERROR(__xludf.DUMMYFUNCTION("GOOGLETRANSLATE(C287, ""en"", ""pt-br"")"),"É um bom cabo de dados e eu recomendo a compra, o único problema foi que o pino de metal não é fixo firmemente, por isso ficou solto, caso contrário, nenhum problema deve comprar, https: //m.media-amazon.com/images/ W/webp_402378-t2/imagens/i/615sgnwv1ml."&amp;"_sy88.jpg, cabo de carregamento, que é resistente, não é um cabo de carregamento rápido, mas os três pontos de venda fazem o trabalho., Bom cabo de micro USB com boas velocidades de carregamento. Por favor, não aumente os preços, bom produto, um cabo simp"&amp;"lico microUSB, 😂, melhor para este preço, bom")</f>
        <v>É um bom cabo de dados e eu recomendo a compra, o único problema foi que o pino de metal não é fixo firmemente, por isso ficou solto, caso contrário, nenhum problema deve comprar, https: //m.media-amazon.com/images/ W/webp_402378-t2/imagens/i/615sgnwv1ml._sy88.jpg, cabo de carregamento, que é resistente, não é um cabo de carregamento rápido, mas os três pontos de venda fazem o trabalho., Bom cabo de micro USB com boas velocidades de carregamento. Por favor, não aumente os preços, bom produto, um cabo simplico microUSB, 😂, melhor para este preço, bom</v>
      </c>
    </row>
    <row r="288">
      <c r="A288" s="9" t="s">
        <v>1195</v>
      </c>
      <c r="B288" s="29" t="str">
        <f>VLOOKUP(dados!A288, reviews!A:G, 5, FALSE)</f>
        <v>Vu brand superb quality,Value for price,Thik hai but android nahi hai,Good model for entry level 32" TV need.,Good product value of Money,Great TV,The sound quality, speakers, picture quality are just OK. MID GRADE PRODUCT AT MOST,Picture Quality</v>
      </c>
      <c r="C288" s="29" t="str">
        <f>VLOOKUP(dados!A288, reviews!A:G, 6, FALSE)</f>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v>
      </c>
      <c r="D288" s="29" t="str">
        <f>IFERROR(__xludf.DUMMYFUNCTION("GOOGLETRANSLATE(B288, ""en"", ""pt-br"")"),"Vu Brand Excelente qualidade, valor para preço, thik hai, mas Android Nahi hai, bom modelo para entrada de nível 32 ""necessidade de TV., Bom valor do produto em dinheiro, ótima TV, qualidade do som, alto -falantes, qualidade de imagem está bem. Produto n"&amp;"o máximo, qualidade da imagem")</f>
        <v>Vu Brand Excelente qualidade, valor para preço, thik hai, mas Android Nahi hai, bom modelo para entrada de nível 32 "necessidade de TV., Bom valor do produto em dinheiro, ótima TV, qualidade do som, alto -falantes, qualidade de imagem está bem. Produto no máximo, qualidade da imagem</v>
      </c>
      <c r="E288" s="29" t="str">
        <f>IFERROR(__xludf.DUMMYFUNCTION("GOOGLETRANSLATE(C288, ""en"", ""pt-br"")"),"Super, boa qualidade, valor pelo dinheiro .. Com o tempo instalado, TV Thik Hai, mas o suporte ao cliente vu ka bhot bekar hai, bacho se tv trava Amazon Wale Batenge, Amazon me baat ki para kahte hai vu me baat karo, baad me maine hi kisi tarah uska bloqu"&amp;"eio khola, mas o suporte ao cliente vu bhot bekar hai, vu ka smart tv thik hai, na entrega do tempo e a instalação adequada na época de entrega em si. Valor para o dinheiro para requisitos de TV de 32 ""com produto de marca., Bom produto, TV é incrível, u"&amp;"m problema é lançar, soro de leite que você lançou em vídeo do hotstar, ele vem tela preta. Além dessa imagem e qualidade do som é incrível. Ok. A nitidez Missound e os alto -falantes precisam de muitas melhorias e o menu pode ser otimizado mais sobre")</f>
        <v>Super, boa qualidade, valor pelo dinheiro .. Com o tempo instalado, TV Thik Hai, mas o suporte ao cliente vu ka bhot bekar hai, bacho se tv trava Amazon Wale Batenge, Amazon me baat ki para kahte hai vu me baat karo, baad me maine hi kisi tarah uska bloqueio khola, mas o suporte ao cliente vu bhot bekar hai, vu ka smart tv thik hai, na entrega do tempo e a instalação adequada na época de entrega em si. Valor para o dinheiro para requisitos de TV de 32 "com produto de marca., Bom produto, TV é incrível, um problema é lançar, soro de leite que você lançou em vídeo do hotstar, ele vem tela preta. Além dessa imagem e qualidade do som é incrível. Ok. A nitidez Missound e os alto -falantes precisam de muitas melhorias e o menu pode ser otimizado mais sobre</v>
      </c>
    </row>
    <row r="289">
      <c r="A289" s="9" t="s">
        <v>1199</v>
      </c>
      <c r="B289" s="29" t="str">
        <f>VLOOKUP(dados!A289, reviews!A:G, 5, FALSE)</f>
        <v>Product life ia short,Good,Waste,Value for money,Very nice product at a reasonable price. Value for money.,Good replacement cable at this price,Worst cable. Not working even after replacement. Dont buy guys Manufactured in China.,Not working</v>
      </c>
      <c r="C289" s="29" t="str">
        <f>VLOOKUP(dados!A289, reviews!A:G, 6, FALSE)</f>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v>
      </c>
      <c r="D289" s="29" t="str">
        <f>IFERROR(__xludf.DUMMYFUNCTION("GOOGLETRANSLATE(B289, ""en"", ""pt-br"")"),"A vida útil do produto é curta, boa, desperdiçada, valor ao dinheiro, produto muito bom a um preço razoável. Valor pelo dinheiro., Bom cabo de substituição a esse preço, pior cabo. Não está funcionando mesmo após a substituição. Não compre caras fabricado"&amp;"s na China., Não está funcionando")</f>
        <v>A vida útil do produto é curta, boa, desperdiçada, valor ao dinheiro, produto muito bom a um preço razoável. Valor pelo dinheiro., Bom cabo de substituição a esse preço, pior cabo. Não está funcionando mesmo após a substituição. Não compre caras fabricados na China., Não está funcionando</v>
      </c>
      <c r="E289" s="29" t="str">
        <f>IFERROR(__xludf.DUMMYFUNCTION("GOOGLETRANSLATE(C289, ""en"", ""pt-br"")"),"Bom e fácil de usar, mas a vida do produto é um inferno. Isso significa que você deve comprá -lo nos próximos seis meses., Bom, melhor, a qualidade é boa e funcionando como esperado. Trabalha em velocidades USB 3.0, pior cabo. Não está funcionando mesmo a"&amp;"pós a substituição. Não compre caras fabricados na China., O cabo USB era inútil. Depois de fazer login nesse cabo, não consegui transferir dados de um laptop também.")</f>
        <v>Bom e fácil de usar, mas a vida do produto é um inferno. Isso significa que você deve comprá -lo nos próximos seis meses., Bom, melhor, a qualidade é boa e funcionando como esperado. Trabalha em velocidades USB 3.0, pior cabo. Não está funcionando mesmo após a substituição. Não compre caras fabricados na China., O cabo USB era inútil. Depois de fazer login nesse cabo, não consegui transferir dados de um laptop também.</v>
      </c>
    </row>
    <row r="290">
      <c r="A290" s="9" t="s">
        <v>1203</v>
      </c>
      <c r="B290" s="29" t="str">
        <f>VLOOKUP(dados!A290, reviews!A:G, 5, FALSE)</f>
        <v>This is a Best kodak LED,Product is Good as per the price but customer service experience is too bad,It's ok,Company doesn't provide Installation.Demand  change for it.,Good but not best,Good product 👍,Very nice,Display quality and incomplete product</v>
      </c>
      <c r="C290" s="29" t="str">
        <f>VLOOKUP(dados!A290, reviews!A:G, 6, FALSE)</f>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v>
      </c>
      <c r="D290" s="29" t="str">
        <f>IFERROR(__xludf.DUMMYFUNCTION("GOOGLETRANSLATE(B290, ""en"", ""pt-br"")"),"Este é o melhor LED da Kodak, o produto é bom de acordo com o preço, mas a experiência de atendimento ao cliente é muito ruim, tudo bem, a empresa não fornece instalação. Exibir qualidade e produto incompleto")</f>
        <v>Este é o melhor LED da Kodak, o produto é bom de acordo com o preço, mas a experiência de atendimento ao cliente é muito ruim, tudo bem, a empresa não fornece instalação. Exibir qualidade e produto incompleto</v>
      </c>
      <c r="E290" s="29" t="str">
        <f>IFERROR(__xludf.DUMMYFUNCTION("GOOGLETRANSLATE(C290, ""en"", ""pt-br"")"),", O produto é bom de acordo com o preço, mas a equipe de suporte ao cliente é muito ruim, pedindo dinheiro para instalação e a coisa mais importante que a equipe de atendimento ao cliente não tem uma boa maneira/comportamento para lidar com o cliente ... "&amp;"1 estrela para eles, se possível Em seguida, o início deve estar em minuse para eles., Tudo bem, está tudo bem, eu usei a TV LED Kodak 32 ""desde o último ano e correi bem, então eu quero comprar a TV novamente (mesmo número de modelo), mas quando a nova "&amp;"TV recebeu I Observe que o corpo externo não é tão durável e não tem volume ou interruptor de menu no novo !! (Old One Hbe 6 Keys no painel lateral direito) tem apenas um no interruptor OFF. Outros apenas no controle remoto !! agora vamos ver quantos anos"&amp;" em que ele é executado ... +ponto é que possui porta óptica (Thomsan e Kodak, ambos MFG por Simtronic India Ltd), a qualidade da imagem e do som é muito boa. AllOver Nice Product. Vallu por dinheiro. , a qualidade da exibição não é boa.")</f>
        <v>, O produto é bom de acordo com o preço, mas a equipe de suporte ao cliente é muito ruim, pedindo dinheiro para instalação e a coisa mais importante que a equipe de atendimento ao cliente não tem uma boa maneira/comportamento para lidar com o cliente ... 1 estrela para eles, se possível Em seguida, o início deve estar em minuse para eles., Tudo bem, está tudo bem, eu usei a TV LED Kodak 32 "desde o último ano e correi bem, então eu quero comprar a TV novamente (mesmo número de modelo), mas quando a nova TV recebeu I Observe que o corpo externo não é tão durável e não tem volume ou interruptor de menu no novo !! (Old One Hbe 6 Keys no painel lateral direito) tem apenas um no interruptor OFF. Outros apenas no controle remoto !! agora vamos ver quantos anos em que ele é executado ... +ponto é que possui porta óptica (Thomsan e Kodak, ambos MFG por Simtronic India Ltd), a qualidade da imagem e do som é muito boa. AllOver Nice Product. Vallu por dinheiro. , a qualidade da exibição não é boa.</v>
      </c>
    </row>
    <row r="291">
      <c r="A291" s="9" t="s">
        <v>1207</v>
      </c>
      <c r="B291" s="29" t="str">
        <f>VLOOKUP(dados!A291, reviews!A:G, 5, FALSE)</f>
        <v>Overall it's a good product for mobile charging.,Awesome 😎,Gud data cabel....,Very good USB C TO USB C Cable .The one does not entangle to develop fold leading to cracks and cuts,Best,Rigid and high quality,Super durable,Great i have been using for 6 month</v>
      </c>
      <c r="C291" s="29" t="str">
        <f>VLOOKUP(dados!A291, reviews!A:G, 6, FALSE)</f>
        <v>Good product 👍🏻,Nice products and easy to use.very good quality and the product is very good 😊,,Simply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v>
      </c>
      <c r="D291" s="29" t="str">
        <f>IFERROR(__xludf.DUMMYFUNCTION("GOOGLETRANSLATE(B291, ""en"", ""pt-br"")"),"No geral, é um bom produto para carregamento móvel., Awesome 😎, Gud Data Cabel ...., um cabo USB C para USB C para USB. , Super durável, ótimo, eu tenho usado há 6 meses")</f>
        <v>No geral, é um bom produto para carregamento móvel., Awesome 😎, Gud Data Cabel ...., um cabo USB C para USB C para USB. , Super durável, ótimo, eu tenho usado há 6 meses</v>
      </c>
      <c r="E291" s="29" t="str">
        <f>IFERROR(__xludf.DUMMYFUNCTION("GOOGLETRANSLATE(C291, ""en"", ""pt-br"")"),"Bom produto 👍🏻, produtos agradáveis ​​e fácil de usar. Muito de boa qualidade e o produto é muito bom 😊 ,, Basta ir em frente. Eu tenho usado isso quase nos últimos 1,5 anos. Eu uso isso todos os dias, o dia inteiro durante o horário comercial e, às ve"&amp;"zes, trabalho em casa tanto para o meu telefone quanto o laptop usando com o carregador de 65 watts. É livre de problemas e faz seu trabalho como esperamos. Não há problema. Este é o problema que tive com outros cabos. Este é perfeito. Como eu disse, você"&amp;" pode simplesmente seguir em frente. Fortemente recomendado., Melhor, o comprimento poderia ter sido mais longo, valor ao dinheiro, Deus de qualidade material e carregamento rápido")</f>
        <v>Bom produto 👍🏻, produtos agradáveis ​​e fácil de usar. Muito de boa qualidade e o produto é muito bom 😊 ,, Basta ir em frente. Eu tenho usado isso quase nos últimos 1,5 anos. Eu uso isso todos os dias, o dia inteiro durante o horário comercial e, às vezes, trabalho em casa tanto para o meu telefone quanto o laptop usando com o carregador de 65 watts. É livre de problemas e faz seu trabalho como esperamos. Não há problema. Este é o problema que tive com outros cabos. Este é perfeito. Como eu disse, você pode simplesmente seguir em frente. Fortemente recomendado., Melhor, o comprimento poderia ter sido mais longo, valor ao dinheiro, Deus de qualidade material e carregamento rápido</v>
      </c>
    </row>
    <row r="292">
      <c r="A292" s="9" t="s">
        <v>1211</v>
      </c>
      <c r="B292" s="29" t="str">
        <f>VLOOKUP(dados!A292, reviews!A:G, 5, FALSE)</f>
        <v>Not how original remote works,Chinese quality,It's okay.,good one,Works great with Firestick,Substandard Copy of original at the cost of original,Pathetic,total waste product don't buy battery drain problem</v>
      </c>
      <c r="C292" s="29" t="str">
        <f>VLOOKUP(dados!A292, reviews!A:G, 6, FALSE)</f>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v>
      </c>
      <c r="D292" s="29" t="str">
        <f>IFERROR(__xludf.DUMMYFUNCTION("GOOGLETRANSLATE(B292, ""en"", ""pt-br"")"),"Não é como o controle remoto original funciona, a qualidade chinesa, está tudo bem., Bom, funciona muito bem com o Firestick, cópia abaixo do padrão do original ao custo do produto original, patético e total de resíduos, não compre problema de drenagem da"&amp;" bateria")</f>
        <v>Não é como o controle remoto original funciona, a qualidade chinesa, está tudo bem., Bom, funciona muito bem com o Firestick, cópia abaixo do padrão do original ao custo do produto original, patético e total de resíduos, não compre problema de drenagem da bateria</v>
      </c>
      <c r="E292" s="29" t="str">
        <f>IFERROR(__xludf.DUMMYFUNCTION("GOOGLETRANSLATE(C292, ""en"", ""pt-br"")"),"Comprei esse controle remoto quando meu controle remoto original da TV 4K parou de funcionar. Este controle remoto ok ok. Então, quando funciona, é interessante, eu recebo a nota pop -up de fundo certa da Fire TV de que a bateria está muito baixa no contr"&amp;"ole remoto, mesmo que as baterias sejam novas. Stopps respondendo ao controle remoto. E de repente, suas miniaturas continuam rolando sem você fazer nada. Portanto, a resposta é precisa algumas vezes. Quando estiver funcionando bem algumas vezes, combina "&amp;"bem sem problemas. Então não sei o que dizer. Se você deseja colocar 2k extra e comprar o original, sugiro que você faça isso. Se você está com pouco dinheiro e não está sentindo esse valor para o original e pode se ajustar com os problemas mencionados ac"&amp;"ima. Então você está pronto para ir com este. Tudo de bom em seus caras de compra. Saúde!, Você para pressionar muito, não tão receptivo quanto o anterior. Precisa pressionar mais. Nenhum problema real. Cópia barata. Trabalhando no momento, mas pode quebr"&amp;"ar a qualquer momento. Nunca compre remoto separado, é inútil, não compre este problema de drenagem da bateria do produto")</f>
        <v>Comprei esse controle remoto quando meu controle remoto original da TV 4K parou de funcionar. Este controle remoto ok ok. Então, quando funciona, é interessante, eu recebo a nota pop -up de fundo certa da Fire TV de que a bateria está muito baixa no controle remoto, mesmo que as baterias sejam novas. Stopps respondendo ao controle remoto. E de repente, suas miniaturas continuam rolando sem você fazer nada. Portanto, a resposta é precisa algumas vezes. Quando estiver funcionando bem algumas vezes, combina bem sem problemas. Então não sei o que dizer. Se você deseja colocar 2k extra e comprar o original, sugiro que você faça isso. Se você está com pouco dinheiro e não está sentindo esse valor para o original e pode se ajustar com os problemas mencionados acima. Então você está pronto para ir com este. Tudo de bom em seus caras de compra. Saúde!, Você para pressionar muito, não tão receptivo quanto o anterior. Precisa pressionar mais. Nenhum problema real. Cópia barata. Trabalhando no momento, mas pode quebrar a qualquer momento. Nunca compre remoto separado, é inútil, não compre este problema de drenagem da bateria do produto</v>
      </c>
    </row>
    <row r="293">
      <c r="A293" s="9" t="s">
        <v>1214</v>
      </c>
      <c r="B293" s="29" t="str">
        <f>VLOOKUP(dados!A293, reviews!A:G, 5, FALSE)</f>
        <v>AmazonBasics Product,Good,Very good,Value for money product,Nice product quantity is nice connective is fast,Product,Good Quality Product,Never thought it be would this good!!</v>
      </c>
      <c r="C293" s="29" t="str">
        <f>VLOOKUP(dados!A293, reviews!A:G, 6, FALSE)</f>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v>
      </c>
      <c r="D293" s="29" t="str">
        <f>IFERROR(__xludf.DUMMYFUNCTION("GOOGLETRANSLATE(B293, ""en"", ""pt-br"")"),"Produto AmazonBasics, bom, muito bom, produto para dinheiro, boa quantidade de produto é bom conectivo é rápido, produto, produto de boa qualidade, nunca pensei que seria bom!")</f>
        <v>Produto AmazonBasics, bom, muito bom, produto para dinheiro, boa quantidade de produto é bom conectivo é rápido, produto, produto de boa qualidade, nunca pensei que seria bom!</v>
      </c>
      <c r="E293" s="29" t="str">
        <f>IFERROR(__xludf.DUMMYFUNCTION("GOOGLETRANSLATE(C293, ""en"", ""pt-br"")"),"A qualidade do produto é realmente incrível. O comprimento do fio é suficiente e é um fio resistente. Ele vem com uma garantia de um ano, o que torna uma boa escolha., Qualidade é boa, eu gosto muito. É um produto muito bom. ,,, Nice, produto de alta qual"&amp;"idade, a imagem em HD foi convertida em qualidade em 4khd com melhor visibilidade., O cabo parece e parece muito robusto. A experiência de streaming foi muito boa. Tentei espelhar meu laptop com a tela da TV, ele funciona perfeitamente. Eu realmente recom"&amp;"endaria obter esse comprimento (10 pés ~ 3m), ele oferece um bom espaço para trabalhar.")</f>
        <v>A qualidade do produto é realmente incrível. O comprimento do fio é suficiente e é um fio resistente. Ele vem com uma garantia de um ano, o que torna uma boa escolha., Qualidade é boa, eu gosto muito. É um produto muito bom. ,,, Nice, produto de alta qualidade, a imagem em HD foi convertida em qualidade em 4khd com melhor visibilidade., O cabo parece e parece muito robusto. A experiência de streaming foi muito boa. Tentei espelhar meu laptop com a tela da TV, ele funciona perfeitamente. Eu realmente recomendaria obter esse comprimento (10 pés ~ 3m), ele oferece um bom espaço para trabalhar.</v>
      </c>
    </row>
    <row r="294">
      <c r="A294" s="9" t="s">
        <v>1218</v>
      </c>
      <c r="B294" s="29" t="str">
        <f>VLOOKUP(dados!A294, reviews!A:G, 5, FALSE)</f>
        <v>Value for Money product.,Overall Tv is good,Good,Good performance so far… considering the price range,Received a defective piece,Nice,TV bundled with Google ecosystem gives a extra  boost,Good product</v>
      </c>
      <c r="C294" s="29" t="str">
        <f>VLOOKUP(dados!A294, reviews!A:G, 6, FALSE)</f>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brand….,,Nice,TV picture clarity is good added with Google interface it gives good user experience,https://m.media-amazon.com/images/I/71aTqzdBRdL._SY88.jpg</v>
      </c>
      <c r="D294" s="29" t="str">
        <f>IFERROR(__xludf.DUMMYFUNCTION("GOOGLETRANSLATE(B294, ""en"", ""pt-br"")"),"Produto de valor para dinheiro., TV geral é bom, bom, bom desempenho até agora ... considerando a faixa de preço, recebeu uma peça defeituosa, agradável, TV com o Google EcoSystem oferece um impulso extra, bom produto")</f>
        <v>Produto de valor para dinheiro., TV geral é bom, bom, bom desempenho até agora ... considerando a faixa de preço, recebeu uma peça defeituosa, agradável, TV com o Google EcoSystem oferece um impulso extra, bom produto</v>
      </c>
      <c r="E294" s="29" t="str">
        <f>IFERROR(__xludf.DUMMYFUNCTION("GOOGLETRANSLATE(C294, ""en"", ""pt-br"")"),"A conectividade WiFi está se perdendo com frequência. (a cada 30 a 45 minutos). Temos que se reconectar novamente para WiFi.Todos outras especificações: Bom para Price.Jio Cinema: Não funcionando (mesmo o aplicativo de terceiros também não está funcionand"&amp;"o) Horário de inicialização: comparativamente alto. Se você vai comprar o SoundBar com woofer!, a TV é boa, mas eu tenho alguma pergunta para o fabricante. Não consigo encontrar uma opção para escolher a entrada padrão. Como eu quero ver o HDMI1 quando a "&amp;"TV iniciar ou o que eu escolher por último., É bom dentro do segmento de preços. Mas há algum atraso quando aumentamos ou diminuímos o volume, leva alguns segundos para refletir na TV. Caso contrário, está tudo bem, feliz com o desempenho e a qualidade da"&amp;" imagem nessa faixa de preço comparada a outra marca valiosa…. ,, Nice, a clareza da imagem da TV é boa adicionada ao Google Interface. Amazon.com/images/i/71atqzdbrdl._sy88.jpg")</f>
        <v>A conectividade WiFi está se perdendo com frequência. (a cada 30 a 45 minutos). Temos que se reconectar novamente para WiFi.Todos outras especificações: Bom para Price.Jio Cinema: Não funcionando (mesmo o aplicativo de terceiros também não está funcionando) Horário de inicialização: comparativamente alto. Se você vai comprar o SoundBar com woofer!, a TV é boa, mas eu tenho alguma pergunta para o fabricante. Não consigo encontrar uma opção para escolher a entrada padrão. Como eu quero ver o HDMI1 quando a TV iniciar ou o que eu escolher por último., É bom dentro do segmento de preços. Mas há algum atraso quando aumentamos ou diminuímos o volume, leva alguns segundos para refletir na TV. Caso contrário, está tudo bem, feliz com o desempenho e a qualidade da imagem nessa faixa de preço comparada a outra marca valiosa…. ,, Nice, a clareza da imagem da TV é boa adicionada ao Google Interface. Amazon.com/images/i/71atqzdbrdl._sy88.jpg</v>
      </c>
    </row>
    <row r="295">
      <c r="A295" s="9" t="s">
        <v>1222</v>
      </c>
      <c r="B295" s="29" t="str">
        <f>VLOOKUP(dados!A295, reviews!A:G, 5, FALSE)</f>
        <v>Good Product,Nice,Customer service support information not found on box.,Value for money,Good product,Nice 👍,Best the hdmi cable,Exactly as discribed, enchanced Quality</v>
      </c>
      <c r="C295" s="29" t="str">
        <f>VLOOKUP(dados!A295, reviews!A:G, 6, FALSE)</f>
        <v>As mention in description, its awesome.,Nice,Good lengthy with good Metalic body on jack side., Difference can't find with older cable.,Great Stuff and superb quality,Good product,Nice 👍,I am like the hdmi cable,</v>
      </c>
      <c r="D295" s="29" t="str">
        <f>IFERROR(__xludf.DUMMYFUNCTION("GOOGLETRANSLATE(B295, ""en"", ""pt-br"")"),"Bom produto, bom, informações de suporte ao cliente não encontradas na caixa., Valor por dinheiro, bom produto, bom 👍, melhor o cabo HDMI, exatamente como")</f>
        <v>Bom produto, bom, informações de suporte ao cliente não encontradas na caixa., Valor por dinheiro, bom produto, bom 👍, melhor o cabo HDMI, exatamente como</v>
      </c>
      <c r="E295" s="29" t="str">
        <f>IFERROR(__xludf.DUMMYFUNCTION("GOOGLETRANSLATE(C295, ""en"", ""pt-br"")"),"Como mencionar na descrição, é incrível., Nice, bom longo com bom corpo metálico no lado de Jack., Diferença não consegue encontrar com cabo mais antigo., Ótima coisa e excelente qualidade, bom produto, bom 👍, eu sou como o cabo HDMI , Assim,")</f>
        <v>Como mencionar na descrição, é incrível., Nice, bom longo com bom corpo metálico no lado de Jack., Diferença não consegue encontrar com cabo mais antigo., Ótima coisa e excelente qualidade, bom produto, bom 👍, eu sou como o cabo HDMI , Assim,</v>
      </c>
    </row>
    <row r="296">
      <c r="A296" s="9" t="s">
        <v>1226</v>
      </c>
      <c r="B296" s="29" t="str">
        <f>VLOOKUP(dados!A296, reviews!A:G, 5, FALSE)</f>
        <v>Very good.,Good one. Worth Buy.,Wonderful,Amazon USB C to Micro USB : It works,Good,Laptop with only USB C ports? Buy this cable.,A must buy accessory for all MacBook M1 owners,Good quality usb c to usb b adapter cable 8 inch</v>
      </c>
      <c r="C296" s="29" t="str">
        <f>VLOOKUP(dados!A296, reviews!A:G, 6, FALSE)</f>
        <v>Go for it with out second thought.,It works well in my New Kia Carens Car. Excellent product my daughter enjoys charging her Mobile sitting in Second row 👍👌🌹🙏,Value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v>
      </c>
      <c r="D296" s="29" t="str">
        <f>IFERROR(__xludf.DUMMYFUNCTION("GOOGLETRANSLATE(B296, ""en"", ""pt-br"")"),"Muito bom., Bom. Vale a pena comprar., Maravilhoso, Amazon USB C para Micro USB: Funciona, bom, laptop com apenas portas USB C? Compre este cabo., Um acessório obrigatório para todos os proprietários do MacBook M1, cabo USB C para USB B Cabo de 8 polegada"&amp;"s de 8 polegadas")</f>
        <v>Muito bom., Bom. Vale a pena comprar., Maravilhoso, Amazon USB C para Micro USB: Funciona, bom, laptop com apenas portas USB C? Compre este cabo., Um acessório obrigatório para todos os proprietários do MacBook M1, cabo USB C para USB B Cabo de 8 polegadas de 8 polegadas</v>
      </c>
      <c r="E296" s="29" t="str">
        <f>IFERROR(__xludf.DUMMYFUNCTION("GOOGLETRANSLATE(C296, ""en"", ""pt-br"")"),"Vá em frente com o segundo pensamento., Funciona bem no meu novo carro Kia Carens. Excelente produto, minha filha gosta de cobrar seu celular sentado na segunda fila 👍👌🌹🙏, valor do dinheiro, você pode transferir facilmente arquivos entre dois telefone"&amp;"s Android, um com porta Micro USB e a outra com USB c. Você também pode carregar seu telefone, Ele suporta 5V, 3A de carregamento rápido (até 15W), o produto não parecia novo para mim, pois tinha manchas amarelas ... e pouco sujo nas duas extremidades do "&amp;"conector. Bem, está funcionando como deveria. Usem alguns deles, principalmente cabos e eles são duráveis. Hope, isso ajuda., Bom produto, se você é um usuário do MacBook 2016, você só possui portas USB C e precisa transportar dongles para gerenciar cabos"&amp;". Este pequeno cabo facilita a vida. É razoavelmente alta qualidade, não muito longo (cerca de 15 cm) e pode ser usado para conectar todos os seus dispositivos micro USB sem um dongle adicional - pense em telefones, bancos de poder, dongles wifi etc. Ele "&amp;"provou ser um salva -vidas muitas vezes !, Conecta um dispositivo Android a versões mais rápidas dos laptops de nova geração/PC/MacBooks USB C/Thunderbolt portas. A qualidade do cabo é semelhante ao cabo original da Apple, as portas são perfeitas em qualq"&amp;"uer porta. A velocidade de transferência de dados é incrível, uma compra obrigatória para todos os proprietários do MacBook M1., Muito boa qualidade e acabamento. O cabo poderia ter sido mais espesso. No entanto, resolve o objetivo de conectar seu disposi"&amp;"tivo à fonte externa. Estou usando este pequeno cabo adaptador para conectar minha nota 8 (que possui porta USB C) ao meu acorde DAC externo (tem porta micro USB) para ouvir meus arquivos de música em Resolução HD. Agora não preciso conectar um adaptador "&amp;"OTG junto com um cabo USB A ao USB B.")</f>
        <v>Vá em frente com o segundo pensamento., Funciona bem no meu novo carro Kia Carens. Excelente produto, minha filha gosta de cobrar seu celular sentado na segunda fila 👍👌🌹🙏, valor do dinheiro, você pode transferir facilmente arquivos entre dois telefones Android, um com porta Micro USB e a outra com USB c. Você também pode carregar seu telefone, Ele suporta 5V, 3A de carregamento rápido (até 15W), o produto não parecia novo para mim, pois tinha manchas amarelas ... e pouco sujo nas duas extremidades do conector. Bem, está funcionando como deveria. Usem alguns deles, principalmente cabos e eles são duráveis. Hope, isso ajuda., Bom produto, se você é um usuário do MacBook 2016, você só possui portas USB C e precisa transportar dongles para gerenciar cabos. Este pequeno cabo facilita a vida. É razoavelmente alta qualidade, não muito longo (cerca de 15 cm) e pode ser usado para conectar todos os seus dispositivos micro USB sem um dongle adicional - pense em telefones, bancos de poder, dongles wifi etc. Ele provou ser um salva -vidas muitas vezes !, Conecta um dispositivo Android a versões mais rápidas dos laptops de nova geração/PC/MacBooks USB C/Thunderbolt portas. A qualidade do cabo é semelhante ao cabo original da Apple, as portas são perfeitas em qualquer porta. A velocidade de transferência de dados é incrível, uma compra obrigatória para todos os proprietários do MacBook M1., Muito boa qualidade e acabamento. O cabo poderia ter sido mais espesso. No entanto, resolve o objetivo de conectar seu dispositivo à fonte externa. Estou usando este pequeno cabo adaptador para conectar minha nota 8 (que possui porta USB C) ao meu acorde DAC externo (tem porta micro USB) para ouvir meus arquivos de música em Resolução HD. Agora não preciso conectar um adaptador OTG junto com um cabo USB A ao USB B.</v>
      </c>
    </row>
    <row r="297">
      <c r="A297" s="9" t="s">
        <v>1230</v>
      </c>
      <c r="B297" s="29" t="str">
        <f>VLOOKUP(dados!A297, reviews!A:G, 5, FALSE)</f>
        <v>Good value for money,Good,Kodak Tv,One side of screen has blacked out,Kodak tv,Remote not working properly,Kodak TV,Kodak Tv</v>
      </c>
      <c r="C297" s="29" t="str">
        <f>VLOOKUP(dados!A297, reviews!A:G, 6, FALSE)</f>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v>
      </c>
      <c r="D297" s="29" t="str">
        <f>IFERROR(__xludf.DUMMYFUNCTION("GOOGLETRANSLATE(B297, ""en"", ""pt-br"")"),"Boa relação custo")</f>
        <v>Boa relação custo</v>
      </c>
      <c r="E297" s="29" t="str">
        <f>IFERROR(__xludf.DUMMYFUNCTION("GOOGLETRANSLATE(C297, ""en"", ""pt-br"")"),"É uma boa TV com uma foto e um som excedendo sua classe de preços. A instalação, no entanto, deixa muito desejado. Foi adiado até várias ligações. O técnico não foi o mais bem comportado no mundo. No geral, feliz por ter comprado esta TV. A qualidade da i"&amp;"magem de preço é boa, mas a conectividade é lenta e a função remota também, bom feliz com a compra ,, kodak tv, ok, boa TV, inteligente e bom trabalho")</f>
        <v>É uma boa TV com uma foto e um som excedendo sua classe de preços. A instalação, no entanto, deixa muito desejado. Foi adiado até várias ligações. O técnico não foi o mais bem comportado no mundo. No geral, feliz por ter comprado esta TV. A qualidade da imagem de preço é boa, mas a conectividade é lenta e a função remota também, bom feliz com a compra ,, kodak tv, ok, boa TV, inteligente e bom trabalho</v>
      </c>
    </row>
    <row r="298">
      <c r="A298" s="9" t="s">
        <v>1234</v>
      </c>
      <c r="B298" s="29" t="str">
        <f>VLOOKUP(dados!A298, reviews!A:G, 5, FALSE)</f>
        <v>Cover is Little loose for Fire remote cover,I ordered this for colour,Pricing,Nice Product,Overpriced but good quality.,Remote stops working after 3 months,Perfect fot,Perfect size for amazon firestick</v>
      </c>
      <c r="C298" s="29" t="str">
        <f>VLOOKUP(dados!A298, reviews!A:G, 6, FALSE)</f>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v>
      </c>
      <c r="D298" s="29" t="str">
        <f>IFERROR(__xludf.DUMMYFUNCTION("GOOGLETRANSLATE(B298, ""en"", ""pt-br"")"),"A capa é pouco solta para capa remota de fogo, pedi isso para cores, preços, produto agradável, muito caro, mas de boa qualidade., Remote Pare")</f>
        <v>A capa é pouco solta para capa remota de fogo, pedi isso para cores, preços, produto agradável, muito caro, mas de boa qualidade., Remote Pare</v>
      </c>
      <c r="E298" s="29" t="str">
        <f>IFERROR(__xludf.DUMMYFUNCTION("GOOGLETRANSLATE(C298, ""en"", ""pt-br"")"),"Tudo é bom, exceto pouca cobertura solta, pedi isso especificamente para a cor. Se encaixa bem. O produto captura muita poeira. O preço é item, um bom produto, era um pouco caro, mas um produto de boa qualidade. Não recebi a mesma cor azul que mostrou na "&amp;"descrição, mas recebi uma cor azul claro brilhante que brilha no escuro., Paradas remotas de funcionamento após 3 meses, bom ajuste. Os botões de volume também devem ser cobertos com camada transperante, à medida que os símbolos são usados ​​ao longo do t"&amp;"empo, é suave, feita com borracha.")</f>
        <v>Tudo é bom, exceto pouca cobertura solta, pedi isso especificamente para a cor. Se encaixa bem. O produto captura muita poeira. O preço é item, um bom produto, era um pouco caro, mas um produto de boa qualidade. Não recebi a mesma cor azul que mostrou na descrição, mas recebi uma cor azul claro brilhante que brilha no escuro., Paradas remotas de funcionamento após 3 meses, bom ajuste. Os botões de volume também devem ser cobertos com camada transperante, à medida que os símbolos são usados ​​ao longo do tempo, é suave, feita com borracha.</v>
      </c>
    </row>
    <row r="299">
      <c r="A299" s="9" t="s">
        <v>1236</v>
      </c>
      <c r="B299" s="29" t="str">
        <f>VLOOKUP(dados!A299, reviews!A:G, 5, FALSE)</f>
        <v>Very nice and strong product,Good,Value for money,The remote is of OK quality,Good Product,Replaced item is not working ..we want to return this item as soon as possible,Good remote,Iska work</v>
      </c>
      <c r="C299" s="29" t="str">
        <f>VLOOKUP(dados!A299, reviews!A:G, 6, FALSE)</f>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v>
      </c>
      <c r="D299" s="29" t="str">
        <f>IFERROR(__xludf.DUMMYFUNCTION("GOOGLETRANSLATE(B299, ""en"", ""pt-br"")"),"Produto muito agradável e forte, bom, valor pelo dinheiro, o controle remoto é de qualidade OK, bom produto, item substituído não está funcionando ... queremos devolver este item o mais rápido possível, bom controle remoto, trabalho iska")</f>
        <v>Produto muito agradável e forte, bom, valor pelo dinheiro, o controle remoto é de qualidade OK, bom produto, item substituído não está funcionando ... queremos devolver este item o mais rápido possível, bom controle remoto, trabalho iska</v>
      </c>
      <c r="E299" s="29" t="str">
        <f>IFERROR(__xludf.DUMMYFUNCTION("GOOGLETRANSLATE(C299, ""en"", ""pt-br"")"),"É um controle remoto muito forte! Eu pedi 2 outros controles remotos mais cedo, que eram muito delicados. Este está funcionando perfeito e tendo boa durabilidade!, Bom, é uma relação custo / benefício, média de qualidade, mas serve ao propósito, o control"&amp;"e remoto não é de ótima qualidade, embora faça seu trabalho. Às vezes, fica preso e precisamos esperar alguns segundos antes que os botões funcionem. Os botões são difíceis, portanto, não é confortável., Remoto simples para substituir o controle remoto or"&amp;"iginal da Sony Bravia TV. Faz o trabalho brilhantemente. Atualmente, vive à promessa do produto, não funcionou com meu modelo de TV LED KDL 46EX520Want para retornar, é adequado para a Sony Bravia 4K, levou Ke Liyen Full Use este livro de informações remo"&amp;"tas Nahi Mili Iske Sath Sath")</f>
        <v>É um controle remoto muito forte! Eu pedi 2 outros controles remotos mais cedo, que eram muito delicados. Este está funcionando perfeito e tendo boa durabilidade!, Bom, é uma relação custo / benefício, média de qualidade, mas serve ao propósito, o controle remoto não é de ótima qualidade, embora faça seu trabalho. Às vezes, fica preso e precisamos esperar alguns segundos antes que os botões funcionem. Os botões são difíceis, portanto, não é confortável., Remoto simples para substituir o controle remoto original da Sony Bravia TV. Faz o trabalho brilhantemente. Atualmente, vive à promessa do produto, não funcionou com meu modelo de TV LED KDL 46EX520Want para retornar, é adequado para a Sony Bravia 4K, levou Ke Liyen Full Use este livro de informações remotas Nahi Mili Iske Sath Sath</v>
      </c>
    </row>
    <row r="300">
      <c r="A300" s="9" t="s">
        <v>1240</v>
      </c>
      <c r="B300" s="29" t="str">
        <f>VLOOKUP(dados!A300, reviews!A:G, 5, FALSE)</f>
        <v>A Good Product.,Does the job,Overpriced Item,A bit over priced,Recommended,There is not fit to my tv so that why I return it,Nice product,Not worth !</v>
      </c>
      <c r="C300" s="29" t="str">
        <f>VLOOKUP(dados!A300, reviews!A:G, 6, FALSE)</f>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v>
      </c>
      <c r="D300" s="29" t="str">
        <f>IFERROR(__xludf.DUMMYFUNCTION("GOOGLETRANSLATE(B300, ""en"", ""pt-br"")"),"Um bom produto., Faz o trabalho, um item muito caro, um pouco de preço, recomendado, não há adequação à minha TV, de modo que eu o devolvo, bom produto, não vale a pena!")</f>
        <v>Um bom produto., Faz o trabalho, um item muito caro, um pouco de preço, recomendado, não há adequação à minha TV, de modo que eu o devolvo, bom produto, não vale a pena!</v>
      </c>
      <c r="E300" s="29" t="str">
        <f>IFERROR(__xludf.DUMMYFUNCTION("GOOGLETRANSLATE(C300, ""en"", ""pt-br"")"),"Um bom produto., Recebi isso para a antiga TV LG de 40 polegadas, que é mais pesada e mais espessa que os modelos atuais. Retirou até agora., Stand é fácil de instalar ... mas o preço também é para este item., O produto é muito bom perfeitamente um pouco "&amp;"com preços, funcionou como um encanto. Lida bem com a minha TV da Panasonic de 65 polegadas. Fácil de montar., Retornei por não se encaixar na minha TV. Por isso, bom produto, serve ao propósito, mas deve -se ter cuidado no estande. A base não é larga o s"&amp;"uficiente para um bom equilíbrio. Pequeno empurrão ou toque resultará em uma queda. Temos que ter muito cuidado ao limpar")</f>
        <v>Um bom produto., Recebi isso para a antiga TV LG de 40 polegadas, que é mais pesada e mais espessa que os modelos atuais. Retirou até agora., Stand é fácil de instalar ... mas o preço também é para este item., O produto é muito bom perfeitamente um pouco com preços, funcionou como um encanto. Lida bem com a minha TV da Panasonic de 65 polegadas. Fácil de montar., Retornei por não se encaixar na minha TV. Por isso, bom produto, serve ao propósito, mas deve -se ter cuidado no estande. A base não é larga o suficiente para um bom equilíbrio. Pequeno empurrão ou toque resultará em uma queda. Temos que ter muito cuidado ao limpar</v>
      </c>
    </row>
    <row r="301">
      <c r="A301" s="9" t="s">
        <v>1244</v>
      </c>
      <c r="B301" s="29" t="str">
        <f>VLOOKUP(dados!A301, reviews!A:G, 5, FALSE)</f>
        <v>Very nice and good product at this price,Nothing,Good product for the budget,It's Perfect! Must Buy!! 😊</v>
      </c>
      <c r="C301" s="29" t="str">
        <f>VLOOKUP(dados!A301, reviews!A:G, 6, FALSE)</f>
        <v>Overall working is very smooth and it's easy to operate also. Highly satisfied with the product at this price. Hoping that higher versions of android os can be updated in future.,Quality and light weight,Good product for the price spent. Would last long if maintained well!,</v>
      </c>
      <c r="D301" s="29" t="str">
        <f>IFERROR(__xludf.DUMMYFUNCTION("GOOGLETRANSLATE(B301, ""en"", ""pt-br"")"),"Muito bom e bom produto a esse preço, nada, bom produto para o orçamento, é perfeito! Deve comprar!! 😊")</f>
        <v>Muito bom e bom produto a esse preço, nada, bom produto para o orçamento, é perfeito! Deve comprar!! 😊</v>
      </c>
      <c r="E301" s="29" t="str">
        <f>IFERROR(__xludf.DUMMYFUNCTION("GOOGLETRANSLATE(C301, ""en"", ""pt-br"")"),"O trabalho geral é muito suave e é fácil de operar também. Altamente satisfeito com o produto a esse preço. Esperando que versões mais altas do sistema operacional Android possam ser atualizadas no futuro., Qualidade e peso leve, bom produto para o preço "&amp;"gasto. Duraria muito se mantido bem!,")</f>
        <v>O trabalho geral é muito suave e é fácil de operar também. Altamente satisfeito com o produto a esse preço. Esperando que versões mais altas do sistema operacional Android possam ser atualizadas no futuro., Qualidade e peso leve, bom produto para o preço gasto. Duraria muito se mantido bem!,</v>
      </c>
    </row>
    <row r="302">
      <c r="A302" s="9" t="s">
        <v>1248</v>
      </c>
      <c r="B302" s="29" t="str">
        <f>VLOOKUP(dados!A302, reviews!A:G, 5, FALSE)</f>
        <v>Nice,सानदार है,Received damaged product,Good quality product,It's very good.,101% fake lava usb,Average product,Costless</v>
      </c>
      <c r="C302" s="29" t="str">
        <f>VLOOKUP(dados!A302, reviews!A:G, 6, FALSE)</f>
        <v>Amazing,बहुत ही सुन्दर है,Received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v>
      </c>
      <c r="D302" s="29" t="str">
        <f>IFERROR(__xludf.DUMMYFUNCTION("GOOGLETRANSLATE(B302, ""en"", ""pt-br"")"),"Nice, सानदार है, recebeu produto danificado, produto de boa qualidade, é muito bom., 101% de lava falsa USB, produto médio, sem custo")</f>
        <v>Nice, सानदार है, recebeu produto danificado, produto de boa qualidade, é muito bom., 101% de lava falsa USB, produto médio, sem custo</v>
      </c>
      <c r="E302" s="29" t="str">
        <f>IFERROR(__xludf.DUMMYFUNCTION("GOOGLETRANSLATE(C302, ""en"", ""pt-br"")"),"INCRÍVEL, बहुत ही सुन्दर है, recebeu produto danificado, produto de boa qualidade, gostei do produto por sua cobrança e valor pelo dinheiro. Ele cobra rapidamente. Eu sugiro ir em frente, não é orignal USB seu USB 100%falso USB (no logotipo da lava 'de im"&amp;"agens do produto marcado no USB, mas recebi lava e caixa impressas também são marcas diferentes!, Não é um carregador rápido que eu uso o Charger Vivo em 1,5 horas ele cobra cheio, mas eu uso este carregador de lava, levou 3,5-4 horas para carregar totalm"&amp;"ente, a melhor marca trançada")</f>
        <v>INCRÍVEL, बहुत ही सुन्दर है, recebeu produto danificado, produto de boa qualidade, gostei do produto por sua cobrança e valor pelo dinheiro. Ele cobra rapidamente. Eu sugiro ir em frente, não é orignal USB seu USB 100%falso USB (no logotipo da lava 'de imagens do produto marcado no USB, mas recebi lava e caixa impressas também são marcas diferentes!, Não é um carregador rápido que eu uso o Charger Vivo em 1,5 horas ele cobra cheio, mas eu uso este carregador de lava, levou 3,5-4 horas para carregar totalmente, a melhor marca trançada</v>
      </c>
    </row>
    <row r="303">
      <c r="A303" s="9" t="s">
        <v>1252</v>
      </c>
      <c r="B303" s="29" t="str">
        <f>VLOOKUP(dados!A303, reviews!A:G, 5, FALSE)</f>
        <v>Cheap product and same is the performance but does the job,Good,No Box!!!,Good,Value for money,A very good quality cable with rubust built, and it does the work.,Value money,Good product.</v>
      </c>
      <c r="C303" s="29" t="str">
        <f>VLOOKUP(dados!A303, reviews!A:G, 6, FALSE)</f>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v>
      </c>
      <c r="D303" s="29" t="str">
        <f>IFERROR(__xludf.DUMMYFUNCTION("GOOGLETRANSLATE(B303, ""en"", ""pt-br"")"),"Produto barato e o mesmo é o desempenho, mas faz o trabalho, bom, sem caixa !!!, bom, valor ao dinheiro, um cabo de muito boa qualidade com a RyChust Built e faz o trabalho., Valorize dinheiro, bom produto.")</f>
        <v>Produto barato e o mesmo é o desempenho, mas faz o trabalho, bom, sem caixa !!!, bom, valor ao dinheiro, um cabo de muito boa qualidade com a RyChust Built e faz o trabalho., Valorize dinheiro, bom produto.</v>
      </c>
      <c r="E303" s="29" t="str">
        <f>IFERROR(__xludf.DUMMYFUNCTION("GOOGLETRANSLATE(C303, ""en"", ""pt-br"")"),"O sinal é muito instável, uma vez que você precisa de um pouco de ajuste desconectando ou movendo o fio para obter um sinal adequado. Mas faz o trabalho. Vá para isso se quiser experimentar o HDMI, pois eu não tinha certeza de que funcionaria para mim ou "&amp;"não. Caso contrário, opte por um cabo à milanesa de boa qualidade., Bom produto, o cabo não veio em uma caixa. Não há caixa. Se isso deveria ser enviado sem nenhuma embalagem ou marca, o mesmo deveria ter sido mencionado. Quando pagamos por produtos de qu"&amp;"alidade, esperamos uma certa qualidade! Eu ainda não tenho idéia se este é um cabo 4k de alta velocidade ou não., Bom, comprado para conectar meu monitor CP (CCTV) à TV Android Mi .. .. Ok Qualidade a esse preço, eu dou um 5 em 5, Razões como abaixo .. 1."&amp;" Entrega da Amazon - super rápida, entrega no mesmo dia dentro de 4-5 horas.2. O entregador era bom. Qualidade robusta construída, looks &amp; parece premium. Está funcionando excelente, estou usando o Lapptop para conectividade de TV de tela grande e pude ve"&amp;"r a imagem e o som não distorcidos, fazendo seu trabalho bem. Parece um pouco difícil de ajustar e dobrar conforme a exigência, menos flexível. Mas isso pode não ser uma preocupação séria. No geral, uma boa experiência até agora., Bom trabalho, como.")</f>
        <v>O sinal é muito instável, uma vez que você precisa de um pouco de ajuste desconectando ou movendo o fio para obter um sinal adequado. Mas faz o trabalho. Vá para isso se quiser experimentar o HDMI, pois eu não tinha certeza de que funcionaria para mim ou não. Caso contrário, opte por um cabo à milanesa de boa qualidade., Bom produto, o cabo não veio em uma caixa. Não há caixa. Se isso deveria ser enviado sem nenhuma embalagem ou marca, o mesmo deveria ter sido mencionado. Quando pagamos por produtos de qualidade, esperamos uma certa qualidade! Eu ainda não tenho idéia se este é um cabo 4k de alta velocidade ou não., Bom, comprado para conectar meu monitor CP (CCTV) à TV Android Mi .. .. Ok Qualidade a esse preço, eu dou um 5 em 5, Razões como abaixo .. 1. Entrega da Amazon - super rápida, entrega no mesmo dia dentro de 4-5 horas.2. O entregador era bom. Qualidade robusta construída, looks &amp; parece premium. Está funcionando excelente, estou usando o Lapptop para conectividade de TV de tela grande e pude ver a imagem e o som não distorcidos, fazendo seu trabalho bem. Parece um pouco difícil de ajustar e dobrar conforme a exigência, menos flexível. Mas isso pode não ser uma preocupação séria. No geral, uma boa experiência até agora., Bom trabalho, como.</v>
      </c>
    </row>
    <row r="304">
      <c r="A304" s="9" t="s">
        <v>1256</v>
      </c>
      <c r="B304" s="29" t="str">
        <f>VLOOKUP(dados!A304, reviews!A:G, 5, FALSE)</f>
        <v>Ok,Excellent product, must buy,Nice,Good product..i got this product rs 170,Good,Good Product. 5Meter cable. Purchase at 175.,Good product &amp; service</v>
      </c>
      <c r="C304" s="29" t="str">
        <f>VLOOKUP(dados!A304, reviews!A:G, 6, FALSE)</f>
        <v>Ok,Quality perfect , perfect 5m, must buy,Ok,Excellent,Value for money,https://m.media-amazon.com/images/I/71P8NCpa-AL._SY88.jpg,Good, received as per specification..</v>
      </c>
      <c r="D304" s="29" t="str">
        <f>IFERROR(__xludf.DUMMYFUNCTION("GOOGLETRANSLATE(B304, ""en"", ""pt-br"")"),"Ok, excelente produto, deve comprar, bom, bom produto ... eu tenho este produto Rs 170, bom, bom produto. Cabo de 5 metros. Compra em 175., bom produto e serviço")</f>
        <v>Ok, excelente produto, deve comprar, bom, bom produto ... eu tenho este produto Rs 170, bom, bom produto. Cabo de 5 metros. Compra em 175., bom produto e serviço</v>
      </c>
      <c r="E304" s="29" t="str">
        <f>IFERROR(__xludf.DUMMYFUNCTION("GOOGLETRANSLATE(C304, ""en"", ""pt-br"")"),"Ok, qualidade perfeita, perfeita 5m, deve comprar, ok, excelente, valor ao dinheiro, https: //m.media-amazon.com/images/i/71p8ncpa-al._sy88.jpg,Good, recebido de acordo com a especificação. .")</f>
        <v>Ok, qualidade perfeita, perfeita 5m, deve comprar, ok, excelente, valor ao dinheiro, https: //m.media-amazon.com/images/i/71p8ncpa-al._sy88.jpg,Good, recebido de acordo com a especificação. .</v>
      </c>
    </row>
    <row r="305">
      <c r="A305" s="9" t="s">
        <v>1260</v>
      </c>
      <c r="B305" s="29" t="str">
        <f>VLOOKUP(dados!A305, reviews!A:G, 5, FALSE)</f>
        <v>Thank you,Satisfying product,Keeps disconnecting,Very nice product essy to use,Very nice,Nice and compatible product,Good,Solid product hai</v>
      </c>
      <c r="C305" s="29" t="str">
        <f>VLOOKUP(dados!A305, reviews!A:G, 6, FALSE)</f>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v>
      </c>
      <c r="D305" s="29" t="str">
        <f>IFERROR(__xludf.DUMMYFUNCTION("GOOGLETRANSLATE(B305, ""en"", ""pt-br"")"),"Obrigado, produtos satisfatórios, continua desconectando, muito bom produto Essy para usar, muito bom, bom e compatível, produto, bom e sólido produto hai")</f>
        <v>Obrigado, produtos satisfatórios, continua desconectando, muito bom produto Essy para usar, muito bom, bom e compatível, produto, bom e sólido produto hai</v>
      </c>
      <c r="E305" s="29" t="str">
        <f>IFERROR(__xludf.DUMMYFUNCTION("GOOGLETRANSLATE(C305, ""en"", ""pt-br"")"),"Produtos de boa qualidade da ValU Money, checou, ​​funcionando tão bem e também a velocidade é muito rápida ... Produto satisfatório!, Este adaptador deve ajudar a conectar seu laptop ou desktop à Internet usando WiFi. Infelizmente, ele continua sendo des"&amp;"conectado e também reduz a velocidade da Internet. Não recomendado., Produto muito bom Essy para usar, produto Bahut Hi Shandar Hai, fácil de usar, como https: //m.media-amazon.com/images/i/61xoq8eofkl._sy88.jpg")</f>
        <v>Produtos de boa qualidade da ValU Money, checou, ​​funcionando tão bem e também a velocidade é muito rápida ... Produto satisfatório!, Este adaptador deve ajudar a conectar seu laptop ou desktop à Internet usando WiFi. Infelizmente, ele continua sendo desconectado e também reduz a velocidade da Internet. Não recomendado., Produto muito bom Essy para usar, produto Bahut Hi Shandar Hai, fácil de usar, como https: //m.media-amazon.com/images/i/61xoq8eofkl._sy88.jpg</v>
      </c>
    </row>
    <row r="306">
      <c r="A306" s="9" t="s">
        <v>1264</v>
      </c>
      <c r="B306" s="29" t="str">
        <f>VLOOKUP(dados!A306, reviews!A:G, 5, FALSE)</f>
        <v>Good product,Good,  work fine,Thickness of cable to be reduced.,Morho,This product is very good.,original product,USB ke pass or mjbuti Dena chahiye,Good product</v>
      </c>
      <c r="C306" s="29" t="str">
        <f>VLOOKUP(dados!A306, reviews!A:G, 6, FALSE)</f>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v>
      </c>
      <c r="D306" s="29" t="str">
        <f>IFERROR(__xludf.DUMMYFUNCTION("GOOGLETRANSLATE(B306, ""en"", ""pt-br"")"),"Bom produto, bom, funciona bem, espessura do cabo a ser reduzida., Morho, este produto é muito bom.")</f>
        <v>Bom produto, bom, funciona bem, espessura do cabo a ser reduzida., Morho, este produto é muito bom.</v>
      </c>
      <c r="E306" s="29" t="str">
        <f>IFERROR(__xludf.DUMMYFUNCTION("GOOGLETRANSLATE(C306, ""en"", ""pt-br"")"),"Bom produto, o cabo é muito bom, ele é perfeito com o dispositivo morfo, o cabo é difícil, pode quebrar depois de algum tempo. Mas até agora está funcionando corretamente., O cabo funciona bem. Mas é pouco volumoso e não é capaz de se encaixar corretament"&amp;"e na capa original do dispositivo., Bom produto. Fácil em uso., Este produto é muito bom .., muito bom Número de trabalho Diye hai para responder kijiye ..., https: //m.media-amazon.com/images/i/81ripzltbnl._sy88.jpg")</f>
        <v>Bom produto, o cabo é muito bom, ele é perfeito com o dispositivo morfo, o cabo é difícil, pode quebrar depois de algum tempo. Mas até agora está funcionando corretamente., O cabo funciona bem. Mas é pouco volumoso e não é capaz de se encaixar corretamente na capa original do dispositivo., Bom produto. Fácil em uso., Este produto é muito bom .., muito bom Número de trabalho Diye hai para responder kijiye ..., https: //m.media-amazon.com/images/i/81ripzltbnl._sy88.jpg</v>
      </c>
    </row>
    <row r="307">
      <c r="A307" s="9" t="s">
        <v>1268</v>
      </c>
      <c r="B307" s="29" t="str">
        <f>VLOOKUP(dados!A307, reviews!A:G, 5, FALSE)</f>
        <v>Sturdy,Super,Working good,Always go for quality,Not suitable for 4k,I do not want this product,Working well👍,Excellent one. Worth buying</v>
      </c>
      <c r="C307" s="29" t="str">
        <f>VLOOKUP(dados!A307, reviews!A:G, 6, FALSE)</f>
        <v>Works well. Sturdy built and good quality. Only worry is not Made in India :(,Nice working,Using this for my car honda civic working good.I am still looking for a cast screen cables.,Good quality giving perfect result,It is limited to HD quality not 4k,I do not want this product,Good 😊,I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v>
      </c>
      <c r="D307" s="29" t="str">
        <f>IFERROR(__xludf.DUMMYFUNCTION("GOOGLETRANSLATE(B307, ""en"", ""pt-br"")"),"Resistente, super, funcionando bem, sempre opte por qualidade, não adequado para 4K, não quero este produto, funcionando bem, excelente. Vale a pena comprar")</f>
        <v>Resistente, super, funcionando bem, sempre opte por qualidade, não adequado para 4K, não quero este produto, funcionando bem, excelente. Vale a pena comprar</v>
      </c>
      <c r="E307" s="29" t="str">
        <f>IFERROR(__xludf.DUMMYFUNCTION("GOOGLETRANSLATE(C307, ""en"", ""pt-br"")"),"Funciona bem. Resistente construído e boa qualidade. Só a preocupação não é feita na Índia :(, bom trabalho, usando isso para o meu carro Honda Civic trabalhando bem. Ainda estou procurando por uma tela fundida. Não quero este produto, bom 😊, estou usand"&amp;"o monitor separado e um laptop para o meu trabalho no escritório. Ao usar o cabo HDMI local, meu monitor dispara se eu tentar ligar/desligar outro aparelho como ventilador. que se deve ao cabo HDMI local. Esse problema está completamente corrigido agora a"&amp;"pós o uso deste produto. Vale a pena comprar.")</f>
        <v>Funciona bem. Resistente construído e boa qualidade. Só a preocupação não é feita na Índia :(, bom trabalho, usando isso para o meu carro Honda Civic trabalhando bem. Ainda estou procurando por uma tela fundida. Não quero este produto, bom 😊, estou usando monitor separado e um laptop para o meu trabalho no escritório. Ao usar o cabo HDMI local, meu monitor dispara se eu tentar ligar/desligar outro aparelho como ventilador. que se deve ao cabo HDMI local. Esse problema está completamente corrigido agora após o uso deste produto. Vale a pena comprar.</v>
      </c>
    </row>
    <row r="308">
      <c r="A308" s="9" t="s">
        <v>1272</v>
      </c>
      <c r="B308" s="29" t="str">
        <f>VLOOKUP(dados!A308, reviews!A:G, 5, FALSE)</f>
        <v>Kodak tv,Kodak tv,Kodak tv,Very less features to control or configure picture, sound or other key features through remote.,Excellent,Kodak 32inh,Kodak tv,Good</v>
      </c>
      <c r="C308" s="29" t="str">
        <f>VLOOKUP(dados!A308, reviews!A:G, 6, FALSE)</f>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v>
      </c>
      <c r="D308" s="29" t="str">
        <f>IFERROR(__xludf.DUMMYFUNCTION("GOOGLETRANSLATE(B308, ""en"", ""pt-br"")"),"Kodak TV, Kodak TV, Kodak TV, muito menos recursos para controlar ou configurar a imagem, o som ou outros recursos importantes através do controle remoto., Excelente, Kodak 32Inh, Kodak TV, bom")</f>
        <v>Kodak TV, Kodak TV, Kodak TV, muito menos recursos para controlar ou configurar a imagem, o som ou outros recursos importantes através do controle remoto., Excelente, Kodak 32Inh, Kodak TV, bom</v>
      </c>
      <c r="E308" s="29" t="str">
        <f>IFERROR(__xludf.DUMMYFUNCTION("GOOGLETRANSLATE(C308, ""en"", ""pt-br"")"),"V Companhia agradável e boa, boa, boa, muito não responsiva, após vários lembretes para a empresa e a Amazon, eles não se preocupam em instalar a TV como comprometido desde os últimos 8 dias, veja como eles responderão em caso de garantia ou requisito de "&amp;"serviço no futuro ., Excelente, qualidade de qualidade moderada moderna moderna.")</f>
        <v>V Companhia agradável e boa, boa, boa, muito não responsiva, após vários lembretes para a empresa e a Amazon, eles não se preocupam em instalar a TV como comprometido desde os últimos 8 dias, veja como eles responderão em caso de garantia ou requisito de serviço no futuro ., Excelente, qualidade de qualidade moderada moderna moderna.</v>
      </c>
    </row>
    <row r="309">
      <c r="A309" s="9" t="s">
        <v>1276</v>
      </c>
      <c r="B309" s="29" t="str">
        <f>VLOOKUP(dados!A309, reviews!A:G, 5, FALSE)</f>
        <v>Concept is great but not at all value for money,Good product,You go for it,Perfect,Value for money but little bit expensive,Product is very useful, but very costly.,Nice but a little bit weak,100% satisfied 💐</v>
      </c>
      <c r="C309" s="29" t="str">
        <f>VLOOKUP(dados!A309, reviews!A:G, 6, FALSE)</f>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v>
      </c>
      <c r="D309" s="29" t="str">
        <f>IFERROR(__xludf.DUMMYFUNCTION("GOOGLETRANSLATE(B309, ""en"", ""pt-br"")"),"O conceito é ótimo, mas de todo valor pelo dinheiro, bom produto, você escolhe, perfeito, valor ao dinheiro, mas um pouco caro, o produto é muito útil, mas muito caro., Nice, mas um pouco fraco, 100% satisfeito 💐")</f>
        <v>O conceito é ótimo, mas de todo valor pelo dinheiro, bom produto, você escolhe, perfeito, valor ao dinheiro, mas um pouco caro, o produto é muito útil, mas muito caro., Nice, mas um pouco fraco, 100% satisfeito 💐</v>
      </c>
      <c r="E309" s="29" t="str">
        <f>IFERROR(__xludf.DUMMYFUNCTION("GOOGLETRANSLATE(C309, ""en"", ""pt-br"")"),", Se você tem cérebro, é muito fácil de instalar e sim, o plástico é bom o suficiente para segurar seu Alexa. Eu gostei, descanse o custo sem dúvida em um lado mais alto, o ajuste e o robusto que você compra sem o segundo pensamento, mas o preço é A preoc"&amp;"upação, é um ajuste incrível para o meu Alexa e muito fácil de colocar em qualquer lugar em qualquer soquete., Tipo, https: //m.media-amazon.com/images/w/webp_402378-t1/images/i/51iAF2GL.sy88 .jpg, hgcfb,")</f>
        <v>, Se você tem cérebro, é muito fácil de instalar e sim, o plástico é bom o suficiente para segurar seu Alexa. Eu gostei, descanse o custo sem dúvida em um lado mais alto, o ajuste e o robusto que você compra sem o segundo pensamento, mas o preço é A preocupação, é um ajuste incrível para o meu Alexa e muito fácil de colocar em qualquer lugar em qualquer soquete., Tipo, https: //m.media-amazon.com/images/w/webp_402378-t1/images/i/51iAF2GL.sy88 .jpg, hgcfb,</v>
      </c>
    </row>
    <row r="310">
      <c r="A310" s="9" t="s">
        <v>1280</v>
      </c>
      <c r="B310" s="29" t="str">
        <f>VLOOKUP(dados!A310, reviews!A:G, 5, FALSE)</f>
        <v>Service, Quality, Software,Quality super, delivery persons were not good towards amazon,Good Quality as always by Sansui,OK,Good picture and product,Very bad quality of stand,This is average product.,Worth purchase</v>
      </c>
      <c r="C310" s="29" t="str">
        <f>VLOOKUP(dados!A310, reviews!A:G, 6, FALSE)</f>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v>
      </c>
      <c r="D310" s="29" t="str">
        <f>IFERROR(__xludf.DUMMYFUNCTION("GOOGLETRANSLATE(B310, ""en"", ""pt-br"")"),"Serviço, qualidade, software, qualidade super, entregadores não eram bons em relação à Amazon, boa qualidade como sempre por Sansui, OK, boa imagem e produto, qualidade muito ruim do suporte, este é um produto médio.")</f>
        <v>Serviço, qualidade, software, qualidade super, entregadores não eram bons em relação à Amazon, boa qualidade como sempre por Sansui, OK, boa imagem e produto, qualidade muito ruim do suporte, este é um produto médio.</v>
      </c>
      <c r="E310" s="29" t="str">
        <f>IFERROR(__xludf.DUMMYFUNCTION("GOOGLETRANSLATE(C310, ""en"", ""pt-br"")"),"O pior serviço dado pela Amazon, você diz que é o produto da Amazon, mas depois de reservar muitas vezes ninguém veio para a instalação, a qualidade é boa, o software não é atualizado, você deve fornecer versões atualizadas. E o pickup super, mas a pessoa"&amp;" que pega o produto lidou rudemente com o produto, eu realmente gosto da qualidade da imagem e do som da TV liderada por Sansui. Eu recomendaria como TV inteligente e aplicativos facilmente instaláveis, tornando -o completamente na Internet TV., Qualidade"&amp;" da imagem NÃO Deus ,, MUITO qualidade de suporte, parafuso quebrado com fixação de suporte e meu suporte de montagem na parede está faltando lá, totalmente decepcionado com a Amazon .. As pessoas de instalação vieram e exigem 500 Rs a mais para o suporte"&amp;" de montagem na parede .., todos os recursos inteligentes como o YouTube não estão nisso enquanto o YouTube é mencionado nos recursos. Mesmo depois de muitas ligações, mensagens e lembretes tão melhor para instalar por conta própria")</f>
        <v>O pior serviço dado pela Amazon, você diz que é o produto da Amazon, mas depois de reservar muitas vezes ninguém veio para a instalação, a qualidade é boa, o software não é atualizado, você deve fornecer versões atualizadas. E o pickup super, mas a pessoa que pega o produto lidou rudemente com o produto, eu realmente gosto da qualidade da imagem e do som da TV liderada por Sansui. Eu recomendaria como TV inteligente e aplicativos facilmente instaláveis, tornando -o completamente na Internet TV., Qualidade da imagem NÃO Deus ,, MUITO qualidade de suporte, parafuso quebrado com fixação de suporte e meu suporte de montagem na parede está faltando lá, totalmente decepcionado com a Amazon .. As pessoas de instalação vieram e exigem 500 Rs a mais para o suporte de montagem na parede .., todos os recursos inteligentes como o YouTube não estão nisso enquanto o YouTube é mencionado nos recursos. Mesmo depois de muitas ligações, mensagens e lembretes tão melhor para instalar por conta própria</v>
      </c>
    </row>
    <row r="311">
      <c r="A311" s="9" t="s">
        <v>1284</v>
      </c>
      <c r="B311" s="29" t="str">
        <f>VLOOKUP(dados!A311, reviews!A:G, 5, FALSE)</f>
        <v>Good And Durable,Value for money product.,Right choice,Good product.,Charger is good,Cable is working as expected.,The best cable till now,Good 👍</v>
      </c>
      <c r="C311" s="29" t="str">
        <f>VLOOKUP(dados!A311, reviews!A:G, 6, FALSE)</f>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 customer. You can try.,The cable is very strong and the pins look durable.,good buy. slightly pricy though.,Value for money,It is compatible for redmi note 9 and supporting fast charging too.This is a must buy thing. One should not think twice. Worth of buying.,Good product</v>
      </c>
      <c r="D311" s="29" t="str">
        <f>IFERROR(__xludf.DUMMYFUNCTION("GOOGLETRANSLATE(B311, ""en"", ""pt-br"")"),"Bom e durável, produto para dinheiro.")</f>
        <v>Bom e durável, produto para dinheiro.</v>
      </c>
      <c r="E311" s="29" t="str">
        <f>IFERROR(__xludf.DUMMYFUNCTION("GOOGLETRANSLATE(C311, ""en"", ""pt-br"")"),"Purcahsed 2 peças. Suporta um charing rápido, bom compatível com muitos dispositivos. O cabo trançado protege da curva irregular, então deve durar muito tempo., Gostei do comprimento do fio. A qualidade é boa. É o trabalho. Agora, hoje em dia, o smartphon"&amp;"e é tão caro e somos muito cuidadosos com isso, mas uma vez que nosso cabo de carregamento perdido ou quebrado, pensaremos no certo. Antes de comprar, visitei muitas lojas locais e também procuro muitas marcas aqui, mas finalmente escolho essa, está realm"&amp;"ente funcionando bem, agora quase dois meses completamente eu não enfrentei nenhum problema, por isso sou um cliente feliz. Você pode tentar., O cabo é muito forte e os pinos parecem duráveis., Boa compra. Um pouco caro, porém., Valor para o dinheiro, é c"&amp;"ompatível para a nota 9 do Redmi e também suporta o carregamento rápido. Isso é uma coisa obrigatória. Não se deve pensar duas vezes. Vale a pena comprar., Bom produto")</f>
        <v>Purcahsed 2 peças. Suporta um charing rápido, bom compatível com muitos dispositivos. O cabo trançado protege da curva irregular, então deve durar muito tempo., Gostei do comprimento do fio. A qualidade é boa. É o trabalho. Agora, hoje em dia, o smartphone é tão caro e somos muito cuidadosos com isso, mas uma vez que nosso cabo de carregamento perdido ou quebrado, pensaremos no certo. Antes de comprar, visitei muitas lojas locais e também procuro muitas marcas aqui, mas finalmente escolho essa, está realmente funcionando bem, agora quase dois meses completamente eu não enfrentei nenhum problema, por isso sou um cliente feliz. Você pode tentar., O cabo é muito forte e os pinos parecem duráveis., Boa compra. Um pouco caro, porém., Valor para o dinheiro, é compatível para a nota 9 do Redmi e também suporta o carregamento rápido. Isso é uma coisa obrigatória. Não se deve pensar duas vezes. Vale a pena comprar., Bom produto</v>
      </c>
    </row>
    <row r="312">
      <c r="A312" s="9" t="s">
        <v>1288</v>
      </c>
      <c r="B312" s="29" t="str">
        <f>VLOOKUP(dados!A312, reviews!A:G, 5, FALSE)</f>
        <v>It is the best tv if you are getting it in 10-12k,Good price but the OS lags,GARBAGE QUALITY,Good product.,Good quality,Great experience everything is fantastic 🤠,Super picture quality and sound quality,Awesome</v>
      </c>
      <c r="C312" s="29" t="str">
        <f>VLOOKUP(dados!A312, reviews!A:G, 6, FALSE)</f>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v>
      </c>
      <c r="D312" s="29" t="str">
        <f>IFERROR(__xludf.DUMMYFUNCTION("GOOGLETRANSLATE(B312, ""en"", ""pt-br"")"),"É a melhor TV se você estiver obtendo em 10-12k, bom preço, mas o sistema operacional fica, qualidade de lixo, bom produto., Boa qualidade, ótima experiência, tudo é fantástico 🤠, qualidade de super imagem e qualidade de som, incrível")</f>
        <v>É a melhor TV se você estiver obtendo em 10-12k, bom preço, mas o sistema operacional fica, qualidade de lixo, bom produto., Boa qualidade, ótima experiência, tudo é fantástico 🤠, qualidade de super imagem e qualidade de som, incrível</v>
      </c>
      <c r="E312" s="29" t="str">
        <f>IFERROR(__xludf.DUMMYFUNCTION("GOOGLETRANSLATE(C312, ""en"", ""pt-br"")"),"Pros- xiomi 5a é o melhor em um orçamento de qualidade de qualidade- muito boa saída de áudio- cheia de featureCons- às vezes os atrasos da TV- às vezes prendendo esse alcance de prêmio, todas as TVs com contras. é bom, mas como está sendo executado no An"&amp;"droid 12, ele fica. Espero que, após algumas atualizações, o problema dos lags seja resolvido, produtos inúteis e qualidade inútil. Exibir problemas dentro de 7 meses e o centro de serviço não está atualizado. Vá para melhores marcas onde a qualidade é ga"&amp;"rantida. Eu gostaria que se houvesse opção de estrelas negativas., Usar como conecta a TV, a imagem é muito boa. Eu estava pulando um melhor nível de música. Globaly It é um bom produto., Https: //m.media-amazon.com/images/i/61spxdbojzl._sy88.jpg,Gereater"&amp;" Então sempre, boa qualidade, boa 👍 👍")</f>
        <v>Pros- xiomi 5a é o melhor em um orçamento de qualidade de qualidade- muito boa saída de áudio- cheia de featureCons- às vezes os atrasos da TV- às vezes prendendo esse alcance de prêmio, todas as TVs com contras. é bom, mas como está sendo executado no Android 12, ele fica. Espero que, após algumas atualizações, o problema dos lags seja resolvido, produtos inúteis e qualidade inútil. Exibir problemas dentro de 7 meses e o centro de serviço não está atualizado. Vá para melhores marcas onde a qualidade é garantida. Eu gostaria que se houvesse opção de estrelas negativas., Usar como conecta a TV, a imagem é muito boa. Eu estava pulando um melhor nível de música. Globaly It é um bom produto., Https: //m.media-amazon.com/images/i/61spxdbojzl._sy88.jpg,Gereater Então sempre, boa qualidade, boa 👍 👍</v>
      </c>
    </row>
    <row r="313">
      <c r="A313" s="9" t="s">
        <v>1292</v>
      </c>
      <c r="B313" s="29" t="str">
        <f>VLOOKUP(dados!A313, reviews!A:G, 5, FALSE)</f>
        <v>Great value for ultra hi speed HDMI!,thickness,material,Works well, just plug and play,Good,Good product,Perfect cable and I'm getting 120Hz 4k when connected to my freesync-certified TV 55Q80T,Good Cable,Little expensive</v>
      </c>
      <c r="C313" s="29" t="str">
        <f>VLOOKUP(dados!A313, reviews!A:G, 6, FALSE)</f>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v>
      </c>
      <c r="D313" s="29" t="str">
        <f>IFERROR(__xludf.DUMMYFUNCTION("GOOGLETRANSLATE(B313, ""en"", ""pt-br"")"),"Ótimo valor para Ultra Hi Speed ​​HDMI!, Espessura, material, funciona bem, basta plug e reproduzir, bom, bom produto, cabo perfeito e estou recebendo 120Hz 4K quando conectado à minha TV com certificação freeSync 55q80t, bom cabo, pouco caro")</f>
        <v>Ótimo valor para Ultra Hi Speed ​​HDMI!, Espessura, material, funciona bem, basta plug e reproduzir, bom, bom produto, cabo perfeito e estou recebendo 120Hz 4K quando conectado à minha TV com certificação freeSync 55q80t, bom cabo, pouco caro</v>
      </c>
      <c r="E313" s="29" t="str">
        <f>IFERROR(__xludf.DUMMYFUNCTION("GOOGLETRANSLATE(C313, ""en"", ""pt-br"")"),"Gostaria que o produto estivesse na caixa da empresa selada. Não sei por que isso não é possível hoje em dia. Parece ser uma tendência comum para enviar em um pacote separado. Por que não podemos ter a Company Box Pack?, Minha primeira compra na Amazon, p"&amp;"ara a qual posso dar mais de 5 estrelas se eu foi permitido. no PC para monitorar e não precisa de qualidade fala por si. Pode melhorar meu carro com ele. 900 Rs., Faz tudo o que diz., Bom 👍, bom produto, cabo perfeito e estou recebendo 120Hz 4K quando c"&amp;"onectado à minha TV com certificação FreeSync 55q80t.Ignore os outros cabos caros. A única captura foi que não havia embalagem adequada e veio em um material polybag de marca que poderia ter sido usado como uma caixa de caixa simples para protegê -la do t"&amp;"ransporte., Grande relação custo / benefício. HDR 60fps e 4K 120Hz., É de boa qualidade, mas na maioria das vezes você só precisa de HDMI 2.0, a menos que tenha 8k ou jogos @ 4K120Hz. Vá para 2,0 em todos os outros casos, que suportam 4K a 60Hz e Atmos, T"&amp;"rue HD, DTS")</f>
        <v>Gostaria que o produto estivesse na caixa da empresa selada. Não sei por que isso não é possível hoje em dia. Parece ser uma tendência comum para enviar em um pacote separado. Por que não podemos ter a Company Box Pack?, Minha primeira compra na Amazon, para a qual posso dar mais de 5 estrelas se eu foi permitido. no PC para monitorar e não precisa de qualidade fala por si. Pode melhorar meu carro com ele. 900 Rs., Faz tudo o que diz., Bom 👍, bom produto, cabo perfeito e estou recebendo 120Hz 4K quando conectado à minha TV com certificação FreeSync 55q80t.Ignore os outros cabos caros. A única captura foi que não havia embalagem adequada e veio em um material polybag de marca que poderia ter sido usado como uma caixa de caixa simples para protegê -la do transporte., Grande relação custo / benefício. HDR 60fps e 4K 120Hz., É de boa qualidade, mas na maioria das vezes você só precisa de HDMI 2.0, a menos que tenha 8k ou jogos @ 4K120Hz. Vá para 2,0 em todos os outros casos, que suportam 4K a 60Hz e Atmos, True HD, DTS</v>
      </c>
    </row>
    <row r="314">
      <c r="A314" s="9" t="s">
        <v>1296</v>
      </c>
      <c r="B314" s="29" t="str">
        <f>VLOOKUP(dados!A314, reviews!A:G, 5, FALSE)</f>
        <v>Really great device, love using it.,Superb,Good,Good product,Good product nice to have it...,Good VR set at this price range,Amazing product ☺️,Don't buy</v>
      </c>
      <c r="C314" s="29" t="str">
        <f>VLOOKUP(dados!A314, reviews!A:G, 6, FALSE)</f>
        <v>The product is over all good, jus the headphone adjustment gets stuck, hence not that great sound bt it's good thou.,Very nice product 👍,Overall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v>
      </c>
      <c r="D314" s="29" t="str">
        <f>IFERROR(__xludf.DUMMYFUNCTION("GOOGLETRANSLATE(B314, ""en"", ""pt-br"")"),"Ótimo dispositivo, adoro usá -lo., Soberbo, bom, bom produto, bom produto bom ter ..., bom VR definido nessa faixa de preço, produto incrível ☺️, não compre")</f>
        <v>Ótimo dispositivo, adoro usá -lo., Soberbo, bom, bom produto, bom produto bom ter ..., bom VR definido nessa faixa de preço, produto incrível ☺️, não compre</v>
      </c>
      <c r="E314" s="29" t="str">
        <f>IFERROR(__xludf.DUMMYFUNCTION("GOOGLETRANSLATE(C314, ""en"", ""pt-br"")"),"O produto acabou de bom, Jus o ajuste do fone de ouvido fica preso, portanto, não é tão bom som como é bom tu., Produto muito bom 👍, experiência geral ,, bom produto pode comprar para o TimePass quem está interessado em filmes muito amorosos ..., Bom fon"&amp;"e de ouvido VR. Boa qualidade de imagem. Melhor quando visto com aplicativos de VR exclusivos. A compatibilidade da imagem foi menor com os vídeos do YouTube. Tão melhor ir com bons aplicativos de VR disponíveis no Playstore. No geral, um bom produto., Pr"&amp;"oduto incrível para comprar., Encomendei este produto vendo o alto custo com percepção que deve valer a pena. Mas, o produto é uma porcaria de plástico chinesa barata e definitivamente não é um valor mais de Rs. 500 no máximo. No final, é um produto chinê"&amp;"s barato vendido na Índia a Rs. 2600+, o que nem vale mais de Rs. 500. Melhor se você optar por outro VR não muito caro e simples definido em RS no máximo. 1000 ou um conjunto de VR caro de fabricantes de renome se você for entusiasta terrível. Os serviço"&amp;"s e o suporte ao cliente é excepcional e aqui acredito que é isso que os torna no topo. Só pode ser substituído. Então, pessoal, pensem profundamente antes de você comprar.")</f>
        <v>O produto acabou de bom, Jus o ajuste do fone de ouvido fica preso, portanto, não é tão bom som como é bom tu., Produto muito bom 👍, experiência geral ,, bom produto pode comprar para o TimePass quem está interessado em filmes muito amorosos ..., Bom fone de ouvido VR. Boa qualidade de imagem. Melhor quando visto com aplicativos de VR exclusivos. A compatibilidade da imagem foi menor com os vídeos do YouTube. Tão melhor ir com bons aplicativos de VR disponíveis no Playstore. No geral, um bom produto., Produto incrível para comprar., Encomendei este produto vendo o alto custo com percepção que deve valer a pena. Mas, o produto é uma porcaria de plástico chinesa barata e definitivamente não é um valor mais de Rs. 500 no máximo. No final, é um produto chinês barato vendido na Índia a Rs. 2600+, o que nem vale mais de Rs. 500. Melhor se você optar por outro VR não muito caro e simples definido em RS no máximo. 1000 ou um conjunto de VR caro de fabricantes de renome se você for entusiasta terrível. Os serviços e o suporte ao cliente é excepcional e aqui acredito que é isso que os torna no topo. Só pode ser substituído. Então, pessoal, pensem profundamente antes de você comprar.</v>
      </c>
    </row>
    <row r="315">
      <c r="A315" s="9" t="s">
        <v>1302</v>
      </c>
      <c r="B315" s="29" t="str">
        <f>VLOOKUP(dados!A315, reviews!A:G, 5, FALSE)</f>
        <v>Best,Good,Fast Charging works better than original cable!!,Durable cable,Low performance compare to original data cable,Great!,Good product,Fast charging and length is 3 meters above</v>
      </c>
      <c r="C315" s="29" t="str">
        <f>VLOOKUP(dados!A315, reviews!A:G, 6, FALSE)</f>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v>
      </c>
      <c r="D315" s="29" t="str">
        <f>IFERROR(__xludf.DUMMYFUNCTION("GOOGLETRANSLATE(B315, ""en"", ""pt-br"")"),"O melhor, bom e rápido carregamento funciona melhor que o cabo original !!, cabo durável, baixo desempenho em comparação com o cabo de dados original, ótimo!, Bom produto, carregamento rápido e comprimento é 3 metros acima")</f>
        <v>O melhor, bom e rápido carregamento funciona melhor que o cabo original !!, cabo durável, baixo desempenho em comparação com o cabo de dados original, ótimo!, Bom produto, carregamento rápido e comprimento é 3 metros acima</v>
      </c>
      <c r="E315" s="29" t="str">
        <f>IFERROR(__xludf.DUMMYFUNCTION("GOOGLETRANSLATE(C315, ""en"", ""pt-br"")"),"Qualidade com preço baixo, está funcionando bem e satisfeito. Também fiquei surpreso ao ver isso. Quando verifiquei a classificação atual no aplicativo Ampere enquanto carregava, ele mostra mais corrente do que o que vi ao usar o cabo original da empresa."&amp;" Isso é incrível. O material do cabo parece realmente premium. A única coisa é que os conectores são um pouco rígidos nas duas extremidades. O ajuste das portas é aceitável, alguns problemas de qualidade, mas em geral ok., Cobra menos do que o cabo de dad"&amp;"os original do telefone. comparado a cabos semelhantes de marcas comparáveis. Consegui por um bom preço durante o período de venda., Satisfeito, carregamento rápido")</f>
        <v>Qualidade com preço baixo, está funcionando bem e satisfeito. Também fiquei surpreso ao ver isso. Quando verifiquei a classificação atual no aplicativo Ampere enquanto carregava, ele mostra mais corrente do que o que vi ao usar o cabo original da empresa. Isso é incrível. O material do cabo parece realmente premium. A única coisa é que os conectores são um pouco rígidos nas duas extremidades. O ajuste das portas é aceitável, alguns problemas de qualidade, mas em geral ok., Cobra menos do que o cabo de dados original do telefone. comparado a cabos semelhantes de marcas comparáveis. Consegui por um bom preço durante o período de venda., Satisfeito, carregamento rápido</v>
      </c>
    </row>
    <row r="316">
      <c r="A316" s="9" t="s">
        <v>1306</v>
      </c>
      <c r="B316" s="29" t="str">
        <f>VLOOKUP(dados!A316, reviews!A:G, 5, FALSE)</f>
        <v>Used for 10 months,Quality is good,Good Aftersale Service,Super fast charging suppurt,Superb Quality and value for money,Good small cable,Nice,Highly recommended</v>
      </c>
      <c r="C316" s="29" t="str">
        <f>VLOOKUP(dados!A316, reviews!A:G, 6, FALSE)</f>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v>
      </c>
      <c r="D316" s="29" t="str">
        <f>IFERROR(__xludf.DUMMYFUNCTION("GOOGLETRANSLATE(B316, ""en"", ""pt-br"")"),"Usado por 10 meses, a qualidade é boa, bom serviço pós -vela, supurt de carregamento super rápido, qualidade excelente e relação custo")</f>
        <v>Usado por 10 meses, a qualidade é boa, bom serviço pós -vela, supurt de carregamento super rápido, qualidade excelente e relação custo</v>
      </c>
      <c r="E316" s="29" t="str">
        <f>IFERROR(__xludf.DUMMYFUNCTION("GOOGLETRANSLATE(C316, ""en"", ""pt-br"")"),"Usou este cabo por 10 meses, muito resistente, realmente como o comprimento do cabo., Bom, repalamento em obras, eu pedi isso para o meu S21 Ultra como e está funcionando da mesma forma que meu cabo original ... ele está carregando muito rápido com Meu ca"&amp;"rregador de 25W., eu uso esse cabo há um ano e nunca enfrentei um único problema até a data. A qualidade do cabo é excelente e é muito durável. Também é um produto de valor para dinheiro. Altamente recomendado e bom cabo pequeno. No entanto, a ser testado"&amp;".")</f>
        <v>Usou este cabo por 10 meses, muito resistente, realmente como o comprimento do cabo., Bom, repalamento em obras, eu pedi isso para o meu S21 Ultra como e está funcionando da mesma forma que meu cabo original ... ele está carregando muito rápido com Meu carregador de 25W., eu uso esse cabo há um ano e nunca enfrentei um único problema até a data. A qualidade do cabo é excelente e é muito durável. Também é um produto de valor para dinheiro. Altamente recomendado e bom cabo pequeno. No entanto, a ser testado.</v>
      </c>
    </row>
    <row r="317">
      <c r="A317" s="9" t="s">
        <v>1310</v>
      </c>
      <c r="B317" s="29" t="str">
        <f>VLOOKUP(dados!A317, reviews!A:G, 5, FALSE)</f>
        <v>Cover is perfect size wise and it's exactly same as shown in picture.u can go for it.,Superb quality 👌,Price very high,Value for money,Perfect Snug Fit,Must buy,Nice,It's a good and solid fit</v>
      </c>
      <c r="C317" s="29" t="str">
        <f>VLOOKUP(dados!A317, reviews!A:G, 6, FALSE)</f>
        <v>Cover is perfect size wise and it's exactly same as shown in picture.u can go for it.,Best product and best fitting for remoteValue for moneySoft materials niceI recommend this product👌⭐️⭐️⭐️⭐️Thanks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v>
      </c>
      <c r="D317" s="29" t="str">
        <f>IFERROR(__xludf.DUMMYFUNCTION("GOOGLETRANSLATE(B317, ""en"", ""pt-br"")"),"A capa é de tamanho perfeito e é exatamente o mesmo que mostrado na imagem.")</f>
        <v>A capa é de tamanho perfeito e é exatamente o mesmo que mostrado na imagem.</v>
      </c>
      <c r="E317" s="29" t="str">
        <f>IFERROR(__xludf.DUMMYFUNCTION("GOOGLETRANSLATE(C317, ""en"", ""pt-br"")"),"A capa é de tamanho perfeito e é exatamente o mesmo que mostrado na imagem. descrito na descrição. A qualidade é boa. Não conheça a durabilidade como apenas 1 semana de uso. Uma coisa que a capa parecerá um pouco alta que o botão, para que as teclas não s"&amp;"ejam fáceis de acessível. Embora não seja culpa da capa, as chaves remotas do Mi não são muito lançadas. Mão, nosso controle remoto tinha um pouco de alojamento solto da bateria, mas isso ajudará a manter perfeitamente. Em apenas um problema, o que vem co"&amp;"m qualquer caso de silício o manterá limpo. Mas parece ótimo se você mantê -lo certo ☺️")</f>
        <v>A capa é de tamanho perfeito e é exatamente o mesmo que mostrado na imagem. descrito na descrição. A qualidade é boa. Não conheça a durabilidade como apenas 1 semana de uso. Uma coisa que a capa parecerá um pouco alta que o botão, para que as teclas não sejam fáceis de acessível. Embora não seja culpa da capa, as chaves remotas do Mi não são muito lançadas. Mão, nosso controle remoto tinha um pouco de alojamento solto da bateria, mas isso ajudará a manter perfeitamente. Em apenas um problema, o que vem com qualquer caso de silício o manterá limpo. Mas parece ótimo se você mantê -lo certo ☺️</v>
      </c>
    </row>
    <row r="318">
      <c r="A318" s="9" t="s">
        <v>1314</v>
      </c>
      <c r="B318" s="29" t="str">
        <f>VLOOKUP(dados!A318, reviews!A:G, 5, FALSE)</f>
        <v>Extended length for securiry camera,Dont judge a book by it's cover,Good sturdy product with neat finish.,cable quality is good and near 10 ft in length,Good enough to length,Good Product,PERFECT!,Super</v>
      </c>
      <c r="C318" s="29" t="str">
        <f>VLOOKUP(dados!A318, reviews!A:G, 6, FALSE)</f>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  2ml-short-in my90ml;for the rest of us, just order!,Very good</v>
      </c>
      <c r="D318" s="29" t="str">
        <f>IFERROR(__xludf.DUMMYFUNCTION("GOOGLETRANSLATE(B318, ""en"", ""pt-br"")"),"Comprimento prolongado para câmera securiry, não julgue um livro pela capa, bom produto resistente com acabamento limpo.")</f>
        <v>Comprimento prolongado para câmera securiry, não julgue um livro pela capa, bom produto resistente com acabamento limpo.</v>
      </c>
      <c r="E318" s="29" t="str">
        <f>IFERROR(__xludf.DUMMYFUNCTION("GOOGLETRANSLATE(C318, ""en"", ""pt-br"")"),"Comprei para conectar minha câmera de segurança. O objetivo é cumprido. OK Produto, primeiro é bom o suficiente, eu gosto disso, mas apenas o cabo de dados longo, caso contrário não é carregado rápido, é um cabo normal., Eu o usei para a minha câmera Wi-F"&amp;"i instalada fora da minha casa. A qualidade do cabo é boa e próxima 10 pés de comprimento, meu objetivo era carregar meu dispositivo de um ponto de plugue que estava um pouco longe. Serviu o propósito. O comprimento é de cerca de 10 pés, por isso está ok."&amp;" O carregamento é bom., Não o use muito, mas parece funcionar bem até agora., Quer um comprimento de 10 pés, bem, é 9,8 pés; então, não compre se você é g😱 2ml-short-in my90ml; para o Resto de nós, apenas peça!, muito bom")</f>
        <v>Comprei para conectar minha câmera de segurança. O objetivo é cumprido. OK Produto, primeiro é bom o suficiente, eu gosto disso, mas apenas o cabo de dados longo, caso contrário não é carregado rápido, é um cabo normal., Eu o usei para a minha câmera Wi-Fi instalada fora da minha casa. A qualidade do cabo é boa e próxima 10 pés de comprimento, meu objetivo era carregar meu dispositivo de um ponto de plugue que estava um pouco longe. Serviu o propósito. O comprimento é de cerca de 10 pés, por isso está ok. O carregamento é bom., Não o use muito, mas parece funcionar bem até agora., Quer um comprimento de 10 pés, bem, é 9,8 pés; então, não compre se você é g😱 2ml-short-in my90ml; para o Resto de nós, apenas peça!, muito bom</v>
      </c>
    </row>
    <row r="319">
      <c r="A319" s="9" t="s">
        <v>1318</v>
      </c>
      <c r="B319" s="29" t="str">
        <f>VLOOKUP(dados!A319, reviews!A:G, 5, FALSE)</f>
        <v>Fits the remote correctly,Fits well but bit costly,Protected remote properly,Good Quality but Slightly Pricey!!,The case is good and it is apt for the Jio TV remote. I recommend this product.,Perfect fit,Fits Jio Remote,Superb</v>
      </c>
      <c r="C319" s="29" t="str">
        <f>VLOOKUP(dados!A319, reviews!A:G, 6, FALSE)</f>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v>
      </c>
      <c r="D319" s="29" t="str">
        <f>IFERROR(__xludf.DUMMYFUNCTION("GOOGLETRANSLATE(B319, ""en"", ""pt-br"")"),"Cabe ao controle remoto corretamente, se encaixa bem, mas um pouco caro e protegido remoto corretamente, de boa qualidade, mas um pouco caro !!, o caso é bom e é adequado para o controle remoto da Jio TV. Eu recomendo este produto., Ajuste perfeito, se en"&amp;"caixa no controle remoto, excelente")</f>
        <v>Cabe ao controle remoto corretamente, se encaixa bem, mas um pouco caro e protegido remoto corretamente, de boa qualidade, mas um pouco caro !!, o caso é bom e é adequado para o controle remoto da Jio TV. Eu recomendo este produto., Ajuste perfeito, se encaixa no controle remoto, excelente</v>
      </c>
      <c r="E319" s="29" t="str">
        <f>IFERROR(__xludf.DUMMYFUNCTION("GOOGLETRANSLATE(C319, ""en"", ""pt-br"")"),"Custo-benefício. Capa robusta quase como um caso., Essa capa remota realmente se encaixa muito bem no controle remoto de Jio e parece durável, mas um pouco caro quando comparado à qualidade geral., Item útil, a qualidade da cobertura remota é muito boa e "&amp;"deve ser capaz de fornecer Proteção decente de queda (desde que seu controle remoto não chegue primeiro). No entanto, é um pouco caro (deveria estar em torno de apenas ₹ 200), mas faz o trabalho. Vá em frente, se desejar proteger o controle remoto da sua "&amp;"caixa de primeira linha do Jio., O caso é bom e se adequa bem ao controle remoto. É uma relação custo / benefício., Ajuste perfeito e seguro de gotas acidentais e poeira e derramamentos., Find perfeito para o Jio Remote. Parece bom no geral., Boa cobertur"&amp;"a remota, material difícil")</f>
        <v>Custo-benefício. Capa robusta quase como um caso., Essa capa remota realmente se encaixa muito bem no controle remoto de Jio e parece durável, mas um pouco caro quando comparado à qualidade geral., Item útil, a qualidade da cobertura remota é muito boa e deve ser capaz de fornecer Proteção decente de queda (desde que seu controle remoto não chegue primeiro). No entanto, é um pouco caro (deveria estar em torno de apenas ₹ 200), mas faz o trabalho. Vá em frente, se desejar proteger o controle remoto da sua caixa de primeira linha do Jio., O caso é bom e se adequa bem ao controle remoto. É uma relação custo / benefício., Ajuste perfeito e seguro de gotas acidentais e poeira e derramamentos., Find perfeito para o Jio Remote. Parece bom no geral., Boa cobertura remota, material difícil</v>
      </c>
    </row>
    <row r="320">
      <c r="A320" s="9" t="s">
        <v>1322</v>
      </c>
      <c r="B320" s="29" t="str">
        <f>VLOOKUP(dados!A320, reviews!A:G, 5, FALSE)</f>
        <v>Good, But Disappointed,Perfect replacement,Have to press buttons harder,Very expensive,Not working properly after one month,Product quality,Not satisfactory,Good</v>
      </c>
      <c r="C320" s="29" t="str">
        <f>VLOOKUP(dados!A320, reviews!A:G, 6, FALSE)</f>
        <v>Volume Buttons, Mute &amp; Power off options not working after 3-4 days, rest is 🆗,Item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v>
      </c>
      <c r="D320" s="29" t="str">
        <f>IFERROR(__xludf.DUMMYFUNCTION("GOOGLETRANSLATE(B320, ""en"", ""pt-br"")"),"Bom, mas decepcionado, substituto perfeito, precisa pressionar os botões mais difíceis, muito caros, não funcionando corretamente após um mês, qualidade do produto, não satisfatório, bom")</f>
        <v>Bom, mas decepcionado, substituto perfeito, precisa pressionar os botões mais difíceis, muito caros, não funcionando corretamente após um mês, qualidade do produto, não satisfatório, bom</v>
      </c>
      <c r="E320" s="29" t="str">
        <f>IFERROR(__xludf.DUMMYFUNCTION("GOOGLETRANSLATE(C320, ""en"", ""pt-br"")"),"Botões de volume, opções de mudo e desligamento não funcionam após 3-4 dias, o descanso é 🆗, o item é um substituto perfeito para o meu Firestick da Amazon Generation 2, o controle remoto está funcionando bem, mas precisamos pressionar os botões com mais"&amp;" força. Às vezes mais de uma vez., o controle remoto está funcionando bem para a Amazon 2ª geração Stick Stick ... mas é muito caro e eles nem fornecem baterias remotas, sem o botão Off e Sound não estão funcionando, bom produto, botões de volume R não es"&amp;"tá funcionando. Por favor, ajude., Bom!")</f>
        <v>Botões de volume, opções de mudo e desligamento não funcionam após 3-4 dias, o descanso é 🆗, o item é um substituto perfeito para o meu Firestick da Amazon Generation 2, o controle remoto está funcionando bem, mas precisamos pressionar os botões com mais força. Às vezes mais de uma vez., o controle remoto está funcionando bem para a Amazon 2ª geração Stick Stick ... mas é muito caro e eles nem fornecem baterias remotas, sem o botão Off e Sound não estão funcionando, bom produto, botões de volume R não está funcionando. Por favor, ajude., Bom!</v>
      </c>
    </row>
    <row r="321">
      <c r="A321" s="9" t="s">
        <v>1326</v>
      </c>
      <c r="B321" s="29" t="str">
        <f>VLOOKUP(dados!A321, reviews!A:G, 5, FALSE)</f>
        <v>Nice,Good,Good protective cover fo Airtel Xtreme settop box remote,Very nice cover.,Expensive,Very uncomfortable to use,Value for money....height of the cover can be made small.,Good product</v>
      </c>
      <c r="C321" s="29" t="str">
        <f>VLOOKUP(dados!A321, reviews!A:G, 6, FALSE)</f>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v>
      </c>
      <c r="D321" s="29" t="str">
        <f>IFERROR(__xludf.DUMMYFUNCTION("GOOGLETRANSLATE(B321, ""en"", ""pt-br"")"),"Bom, bom, boa capa protetora para airtel xtreme Setpop Box Remote, capa muito agradável., Caro, muito desconfortável de usar, valor para dinheiro .... A altura da capa pode ser pequena., Bom produto")</f>
        <v>Bom, bom, boa capa protetora para airtel xtreme Setpop Box Remote, capa muito agradável., Caro, muito desconfortável de usar, valor para dinheiro .... A altura da capa pode ser pequena., Bom produto</v>
      </c>
      <c r="E321" s="29" t="str">
        <f>IFERROR(__xludf.DUMMYFUNCTION("GOOGLETRANSLATE(C321, ""en"", ""pt-br"")"),"Tipo, um ajuste agradável de boa qualidade, é um bom airtel Xtreme Set Top Box Tampa. Ele teve alguma espessura e proteção, vá em frente!, Muito boa qualidade e ajuste. Uma boa compra que atenda às expectativas. Obrigado Amazon., Caro, muito desconfortáve"&amp;"l de usar., Recurso pelo dinheiro ... A altura da capa pode ser pequena. Eu coloquei uma bola de papel na parte de trás para que o controle remoto se encaixe corretamente e os botões sejam fáceis de acessar., Bom produto")</f>
        <v>Tipo, um ajuste agradável de boa qualidade, é um bom airtel Xtreme Set Top Box Tampa. Ele teve alguma espessura e proteção, vá em frente!, Muito boa qualidade e ajuste. Uma boa compra que atenda às expectativas. Obrigado Amazon., Caro, muito desconfortável de usar., Recurso pelo dinheiro ... A altura da capa pode ser pequena. Eu coloquei uma bola de papel na parte de trás para que o controle remoto se encaixe corretamente e os botões sejam fáceis de acessar., Bom produto</v>
      </c>
    </row>
    <row r="322">
      <c r="A322" s="9" t="s">
        <v>1330</v>
      </c>
      <c r="B322" s="29" t="str">
        <f>VLOOKUP(dados!A322, reviews!A:G, 5, FALSE)</f>
        <v>Nice product 👍👍,Cheap plus durable. Worth the money.,Good purchase,Aine HDMI Male to VGA Female Video Converter Adapter Cable (Black),It's easy to connect,Sturdy, affordable, no lag converyer cable,Works well but the output quality is not as good as direct VGA connection.,Works well. Does its work as required.</v>
      </c>
      <c r="C322" s="29" t="str">
        <f>VLOOKUP(dados!A322, reviews!A:G, 6, FALSE)</f>
        <v>It's good working product,There is nothing to dislike about this product, only the aux cable is a bit of low quality but as for the price it’s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v>
      </c>
      <c r="D322" s="29" t="str">
        <f>IFERROR(__xludf.DUMMYFUNCTION("GOOGLETRANSLATE(B322, ""en"", ""pt-br"")"),"Bom produto 👍👍, barato e durável. Vale o dinheiro., Boa compra, Aine HDMI Male to VGA Female Female Converter Adapty Cable (preto), é fácil de conectar, resistente, acessível, sem cabo de conjurária, funciona bem, mas a qualidade da saída não é tão boa "&amp;"quanto a conexão VGA direta .,Funciona bem. Faz seu trabalho conforme necessário.")</f>
        <v>Bom produto 👍👍, barato e durável. Vale o dinheiro., Boa compra, Aine HDMI Male to VGA Female Female Converter Adapty Cable (preto), é fácil de conectar, resistente, acessível, sem cabo de conjurária, funciona bem, mas a qualidade da saída não é tão boa quanto a conexão VGA direta .,Funciona bem. Faz seu trabalho conforme necessário.</v>
      </c>
      <c r="E322" s="29" t="str">
        <f>IFERROR(__xludf.DUMMYFUNCTION("GOOGLETRANSLATE(C322, ""en"", ""pt-br"")"),"É um bom produto de trabalho, não há nada a não gostar neste produto, apenas o cabo auxiliar é um pouco de baixa qualidade, mas quanto ao preço é um produto muito bom., O produto é fácil de instalar e usar. Eu o uso junto com a minha caixa de configuração"&amp;" e o Fire TV Stick. Funciona perfeitamente, é uma boa qualidade de construção e desempenho. Funciona bem com meu laptop HP. O Jack HDMI se encaixa com um clique satisfatório no laptop, para que o ajuste seja perfeito. Como este é apenas um adaptador, você"&amp;" precisará conectá -lo ao cabo VGA do seu monitor (duh!). Eu uso isso há pouco mais de um mês, e tudo está perfeitamente bem com este produto. Eu recomendaria outros também para usar este produto. Este produto é muito útil adaptador VGA conecta um computa"&amp;"dor, desktop, laptop ou outros dispositivos com porta HDMI a um monitor, projetor, HDTV ou outros dispositivos com porta VGA, usei isso Produto para laptop para antigo monitor interface e está funcionando bem, funciona bem, acessível e resistente. Além di"&amp;"sso, não notei nenhum atraso na conversão HDMI-VGA. Curiosidades adicionais: Ao contrário do que é mencionado na descrição do produto, o país de origem é a China, não a Índia 😊., O conversor funciona bem sem nenhum problema em conexão, mas a qualidade da"&amp;" saída não é tão boa quanto a conexão VGA direta que eu uso com o meu outro Laptop., O cabo parece ser de material de boa qualidade. O adaptador é resistente e se conecta bem, funcionando sem problemas até agora no meu laptop e projetor Lenovo. Boa embala"&amp;"gem também. Produto recomendado nesta faixa de preço.")</f>
        <v>É um bom produto de trabalho, não há nada a não gostar neste produto, apenas o cabo auxiliar é um pouco de baixa qualidade, mas quanto ao preço é um produto muito bom., O produto é fácil de instalar e usar. Eu o uso junto com a minha caixa de configuração e o Fire TV Stick. Funciona perfeitamente, é uma boa qualidade de construção e desempenho. Funciona bem com meu laptop HP. O Jack HDMI se encaixa com um clique satisfatório no laptop, para que o ajuste seja perfeito. Como este é apenas um adaptador, você precisará conectá -lo ao cabo VGA do seu monitor (duh!). Eu uso isso há pouco mais de um mês, e tudo está perfeitamente bem com este produto. Eu recomendaria outros também para usar este produto. Este produto é muito útil adaptador VGA conecta um computador, desktop, laptop ou outros dispositivos com porta HDMI a um monitor, projetor, HDTV ou outros dispositivos com porta VGA, usei isso Produto para laptop para antigo monitor interface e está funcionando bem, funciona bem, acessível e resistente. Além disso, não notei nenhum atraso na conversão HDMI-VGA. Curiosidades adicionais: Ao contrário do que é mencionado na descrição do produto, o país de origem é a China, não a Índia 😊., O conversor funciona bem sem nenhum problema em conexão, mas a qualidade da saída não é tão boa quanto a conexão VGA direta que eu uso com o meu outro Laptop., O cabo parece ser de material de boa qualidade. O adaptador é resistente e se conecta bem, funcionando sem problemas até agora no meu laptop e projetor Lenovo. Boa embalagem também. Produto recomendado nesta faixa de preço.</v>
      </c>
    </row>
    <row r="323">
      <c r="A323" s="9" t="s">
        <v>1334</v>
      </c>
      <c r="B323" s="29" t="str">
        <f>VLOOKUP(dados!A323, reviews!A:G, 5, FALSE)</f>
        <v>Nice tv,Good product,Average,No operation button in television which is big irritate when the remote not working,Facing Sound/Audio Problem after 12 days of installation only - Please don't buy it,The after service is very good!,Good,........</v>
      </c>
      <c r="C323" s="29" t="str">
        <f>VLOOKUP(dados!A323, reviews!A:G, 6, FALSE)</f>
        <v>Good quality,Good product,Average,No operation button in television which is big irritate when the remote not working,In simple words, Please don’t buy this MI TV and especially from Amazon/this seller (Sold by Cloudtail India and Fulfilled by Amazon).If you have patience and able to understand normal English(I don’t have writing skills to share exactly my feelings/pain) then please go through my following experience/feedback to know why I said Don’t buy it.Don’t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it’s not delivered safely.This TV came for home delivery in Troalley Auto without proper placement/safety, asked delivery person why alone kept it while coming due to up and downs of road it may fly right. He didn’t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v>
      </c>
      <c r="D323" s="29" t="str">
        <f>IFERROR(__xludf.DUMMYFUNCTION("GOOGLETRANSLATE(B323, ""en"", ""pt-br"")"),"TV agradável, bom produto, média, sem botão de operação na televisão, que é grande irrita quando o controle remoto não está funcionando, enfrentando um problema de som/áudio após 12 dias de instalação - por favor, não compre, o serviço após o serviço é mu"&amp;"ito bom!, Bom,........")</f>
        <v>TV agradável, bom produto, média, sem botão de operação na televisão, que é grande irrita quando o controle remoto não está funcionando, enfrentando um problema de som/áudio após 12 dias de instalação - por favor, não compre, o serviço após o serviço é muito bom!, Bom,........</v>
      </c>
      <c r="E323" s="29" t="str">
        <f>IFERROR(__xludf.DUMMYFUNCTION("GOOGLETRANSLATE(C323, ""en"", ""pt-br"")"),"Boa qualidade, bom produto, média, sem botão de operação na televisão, que é grande irrita quando o controle remoto não está funcionando, em palavras simples, por favor, não compre esta TV Mi e, especialmente, da Amazon/This Seller (vendida pela Cloudtail"&amp;" India e cumprida por Amazon) .Se você tiver paciência e capaz de entender o inglês normal (não tenho habilidades de escrita para compartilhar exatamente meus sentimentos/dor), por favor, passe pela minha experiência/feedback seguinte para saber por que e"&amp;"u disse, não compre. Quero dar uma estrela única, mas não permitir que este site publique sem a Starason para comprar: confie em Amazonby olhando para a tag 4.3 de 5 e a tag #1 de best -seller que tenho interesse nesta TV. Como confiamos na Amazon e també"&amp;"m, pois estava chegando ao meu orçamento com bons recursos, comprei este Mi 4A Pro TV.Cão, parece que a maioria das boas revisões/classificações é paga. Estes estão nos traindo, é claro que eles não forçaram a comprar, mas, sendo a pessoa de classe média/"&amp;"ser humano, podemos ser atraídos por coisas que aparecem melhor em menos preço. Parece que isso fez/deu oportunidade a esses vendedores para nos enganar. /Segurança, perguntou a uma pessoa de entrega por que sozinho o mantinha enquanto chegava devido a al"&amp;"tos e baixos da estrada, pode voar para a direita. Ele não ouviu minhas palavras, simplesmente disse que o levará de volta se houver danos físicos. Ele apenas o abre e, como fora, nada vê danos, a pessoa entrega disse se algum dano interno durante o tempo"&amp;" de instalação técnico passou a conhecer e o substituirá e ele Forçou -me a dizer ao OTP para me aceitar entregar e deixar o feedback da instalação: Técnico do técnico do Amazon, técnico de Mi, o técnico da Amazon veio e instalou esta TV Mi. Eu instalei o"&amp;" suporte de suporte como montagem na parede não fornecendo livremente. Técnico de alguma forma explicou o uso da TV, mas pensando como não uma pessoa não tem conhecimento total e explorando e dizendo a cada detalhe. Experiência: Primeiro dia: tendo menor "&amp;"qualidade de imagem e poucos mostrando pixels não são necessários para a segurança ocular. Depois de 3 ou 4 dias: a qualidade da imagem ficou melhor. A qualidade do som/áudio foi boa no OTT/YouTBE ou na caixa de configuração/dthup a 11 dias: como não usam"&amp;"os muito e simplesmente o usamos para assistir canais DTH. Tudo parece bom. Depois de 12 dias: o tempo de substituição da Amazon expirou e depois começou a mostrar som de som/áudio. Embora aumentemos o volume 60 ou 65, não dando o som que ouvimos quando i"&amp;"nstalou/instalação (tocou o mesmo conteúdo que ouvimos no YouTube quando após a instalação concluída) .Gregando essa solicitação de Ontem, a pessoa do serviço on -line me pediu para atualizar a versão Build Version Para o último, agora, é pl.6036, mas ain"&amp;"da tem o mesmo problema. YouTube e tentou diminuir o volume do celular, funcionou. Mas, não tenho certeza de que problema, acreditamos depois desse tempo em diante, temos esses problemas sólidos. Não é certo, parece que comprei desse serviço Amazon ou Mi "&amp;"faz mágica para transmitir o cliente sem realmente resolver o problema. casa para verificar o problema. Disse e criou a atualização da versão comigo para mais recente (atualização de software). Mais tarde, ele disse que o limite de volume aumentou para 10"&amp;"0 agora, precisamos aumentar o nível de volume duplo ou triplo para ter o mesmo som que tem antes. isto é, antes se o nível de volume de 15/20 proporcionar um grande som, agora o nível de volume 50/60 o mesmo som. Questionado, quando o limite aumentou, de"&amp;"ve dar muito mais som de outra forma, qual é o uso do aumento do limite de volume. Mas, ele disse a OTT/alguns aplicativos mostrarão a diferença desse novo recurso, na época, como eu estive com essas ligações e preocupações, cansei, eu disse que vai ver e"&amp;" voltar para você com uma nova solicitação. Depois de algum tempo, quando Eu visitei meus amigos/ melhor conhecimento sobre esse problema veio saber que ele me traiu sem resolver problemas, simplesmente disse algumas palavras para transmitir/ cansar -nos."&amp;" /Instalação de 13 dias Somente eu tive esse problema, no futuro como funciona e quantos problemas mais se mostram para mim me fazer cruzar. Obtenha esse dinheiro. Após a compra deste produto Mi, chorando muito por que fomos a ele, em vez disso, poderíamo"&amp;"s ter procurado um bom produto de marca, embora eles tenham alto custo. Agora, não substituíram minha TV ou não prestaram serviço pelo técnico. Decidimos que fomos traídos e oramos a Deus para cuidar ......, compramos há dois anos. Meu painel parou de exi"&amp;"bir apenas uma semana antes da garantia expirar após dois anos. Eles o substituíram prontamente por um novo. Eu nem mesmo gastei uma rupia extra. Sem complicações. Recomendo a compra de produtos MI. O produto também é incrível., Bom, melhor produto")</f>
        <v>Boa qualidade, bom produto, média, sem botão de operação na televisão, que é grande irrita quando o controle remoto não está funcionando, em palavras simples, por favor, não compre esta TV Mi e, especialmente, da Amazon/This Seller (vendida pela Cloudtail India e cumprida por Amazon) .Se você tiver paciência e capaz de entender o inglês normal (não tenho habilidades de escrita para compartilhar exatamente meus sentimentos/dor), por favor, passe pela minha experiência/feedback seguinte para saber por que eu disse, não compre. Quero dar uma estrela única, mas não permitir que este site publique sem a Starason para comprar: confie em Amazonby olhando para a tag 4.3 de 5 e a tag #1 de best -seller que tenho interesse nesta TV. Como confiamos na Amazon e também, pois estava chegando ao meu orçamento com bons recursos, comprei este Mi 4A Pro TV.Cão, parece que a maioria das boas revisões/classificações é paga. Estes estão nos traindo, é claro que eles não forçaram a comprar, mas, sendo a pessoa de classe média/ser humano, podemos ser atraídos por coisas que aparecem melhor em menos preço. Parece que isso fez/deu oportunidade a esses vendedores para nos enganar. /Segurança, perguntou a uma pessoa de entrega por que sozinho o mantinha enquanto chegava devido a altos e baixos da estrada, pode voar para a direita. Ele não ouviu minhas palavras, simplesmente disse que o levará de volta se houver danos físicos. Ele apenas o abre e, como fora, nada vê danos, a pessoa entrega disse se algum dano interno durante o tempo de instalação técnico passou a conhecer e o substituirá e ele Forçou -me a dizer ao OTP para me aceitar entregar e deixar o feedback da instalação: Técnico do técnico do Amazon, técnico de Mi, o técnico da Amazon veio e instalou esta TV Mi. Eu instalei o suporte de suporte como montagem na parede não fornecendo livremente. Técnico de alguma forma explicou o uso da TV, mas pensando como não uma pessoa não tem conhecimento total e explorando e dizendo a cada detalhe. Experiência: Primeiro dia: tendo menor qualidade de imagem e poucos mostrando pixels não são necessários para a segurança ocular. Depois de 3 ou 4 dias: a qualidade da imagem ficou melhor. A qualidade do som/áudio foi boa no OTT/YouTBE ou na caixa de configuração/dthup a 11 dias: como não usamos muito e simplesmente o usamos para assistir canais DTH. Tudo parece bom. Depois de 12 dias: o tempo de substituição da Amazon expirou e depois começou a mostrar som de som/áudio. Embora aumentemos o volume 60 ou 65, não dando o som que ouvimos quando instalou/instalação (tocou o mesmo conteúdo que ouvimos no YouTube quando após a instalação concluída) .Gregando essa solicitação de Ontem, a pessoa do serviço on -line me pediu para atualizar a versão Build Version Para o último, agora, é pl.6036, mas ainda tem o mesmo problema. YouTube e tentou diminuir o volume do celular, funcionou. Mas, não tenho certeza de que problema, acreditamos depois desse tempo em diante, temos esses problemas sólidos. Não é certo, parece que comprei desse serviço Amazon ou Mi faz mágica para transmitir o cliente sem realmente resolver o problema. casa para verificar o problema. Disse e criou a atualização da versão comigo para mais recente (atualização de software). Mais tarde, ele disse que o limite de volume aumentou para 100 agora, precisamos aumentar o nível de volume duplo ou triplo para ter o mesmo som que tem antes. isto é, antes se o nível de volume de 15/20 proporcionar um grande som, agora o nível de volume 50/60 o mesmo som. Questionado, quando o limite aumentou, deve dar muito mais som de outra forma, qual é o uso do aumento do limite de volume. Mas, ele disse a OTT/alguns aplicativos mostrarão a diferença desse novo recurso, na época, como eu estive com essas ligações e preocupações, cansei, eu disse que vai ver e voltar para você com uma nova solicitação. Depois de algum tempo, quando Eu visitei meus amigos/ melhor conhecimento sobre esse problema veio saber que ele me traiu sem resolver problemas, simplesmente disse algumas palavras para transmitir/ cansar -nos. /Instalação de 13 dias Somente eu tive esse problema, no futuro como funciona e quantos problemas mais se mostram para mim me fazer cruzar. Obtenha esse dinheiro. Após a compra deste produto Mi, chorando muito por que fomos a ele, em vez disso, poderíamos ter procurado um bom produto de marca, embora eles tenham alto custo. Agora, não substituíram minha TV ou não prestaram serviço pelo técnico. Decidimos que fomos traídos e oramos a Deus para cuidar ......, compramos há dois anos. Meu painel parou de exibir apenas uma semana antes da garantia expirar após dois anos. Eles o substituíram prontamente por um novo. Eu nem mesmo gastei uma rupia extra. Sem complicações. Recomendo a compra de produtos MI. O produto também é incrível., Bom, melhor produto</v>
      </c>
    </row>
    <row r="324">
      <c r="A324" s="9" t="s">
        <v>1338</v>
      </c>
      <c r="B324" s="29" t="str">
        <f>VLOOKUP(dados!A324, reviews!A:G, 5, FALSE)</f>
        <v>Good product, but not excellent I should say.,Very poor quality,OK,Good,Very good product. Satisfied with the performance.,will get job done,Good,Value for money ✌️</v>
      </c>
      <c r="C324" s="29" t="str">
        <f>VLOOKUP(dados!A324, reviews!A:G, 6, FALSE)</f>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v>
      </c>
      <c r="D324" s="29" t="str">
        <f>IFERROR(__xludf.DUMMYFUNCTION("GOOGLETRANSLATE(B324, ""en"", ""pt-br"")"),"Bom produto, mas não é excelente, devo dizer., Muito baixa qualidade, ok, bom, muito bom produto. Satisfeito com o desempenho.")</f>
        <v>Bom produto, mas não é excelente, devo dizer., Muito baixa qualidade, ok, bom, muito bom produto. Satisfeito com o desempenho.</v>
      </c>
      <c r="E324" s="29" t="str">
        <f>IFERROR(__xludf.DUMMYFUNCTION("GOOGLETRANSLATE(C324, ""en"", ""pt-br"")"),"Duas coisas negativas que devo mencionar aqui: 1) o cabo é muito rígido, então há movimento no ponto do conector USB ao inserir ou remover o dispositivo da outra extremidade do cabo.2) O conector USB está um pouco solto, deve Fique bem sentado. Outros rec"&amp;"ursos estão bem., Esta é a quarta vez que encomenho o cabo anterior do cabo foi bom, mas agora parece comprometer a qualidade e não feliz. Satisfeito com o desempenho., Não cura o câncer seu cabo simples, nada de esperar, produto muito bom, -TOO DISPOSITI"&amp;"VO RETRO DURO DURO DURO DURO")</f>
        <v>Duas coisas negativas que devo mencionar aqui: 1) o cabo é muito rígido, então há movimento no ponto do conector USB ao inserir ou remover o dispositivo da outra extremidade do cabo.2) O conector USB está um pouco solto, deve Fique bem sentado. Outros recursos estão bem., Esta é a quarta vez que encomenho o cabo anterior do cabo foi bom, mas agora parece comprometer a qualidade e não feliz. Satisfeito com o desempenho., Não cura o câncer seu cabo simples, nada de esperar, produto muito bom, -TOO DISPOSITIVO RETRO DURO DURO DURO DURO</v>
      </c>
    </row>
    <row r="325">
      <c r="A325" s="9" t="s">
        <v>1342</v>
      </c>
      <c r="B325" s="29" t="str">
        <f>VLOOKUP(dados!A325, reviews!A:G, 5, FALSE)</f>
        <v>Best one,Nice product,Nice Purchase,A nice TV,Good quality...i have a trust on TCL,Best survice,Good,value for money</v>
      </c>
      <c r="C325" s="29" t="str">
        <f>VLOOKUP(dados!A325, reviews!A:G, 6, FALSE)</f>
        <v>Best but slow response from tv,Product is good,https://m.media-amazon.com/images/I/71Knz9n24GL._SY88.jpg,Value for money,Super quality....go with TCL,,Best price,చాలా బాగుంది కానీ యుాస్ బి పోర్ట్స్ లోపల కాకుండా బయటికి ఇస్తే బాగుంటుంది మరియు గుాగుల్ క్రోమ్ ఇన్ బుల్ట్ గా ఇస్తే బాగుంటుంది</v>
      </c>
      <c r="D325" s="29" t="str">
        <f>IFERROR(__xludf.DUMMYFUNCTION("GOOGLETRANSLATE(B325, ""en"", ""pt-br"")"),"Melhor, bom produto, boa compra, uma boa TV, boa qualidade ... Eu tenho uma confiança no TCL, melhor sobreviver, bom, valor para dinheiro")</f>
        <v>Melhor, bom produto, boa compra, uma boa TV, boa qualidade ... Eu tenho uma confiança no TCL, melhor sobreviver, bom, valor para dinheiro</v>
      </c>
      <c r="E325" s="29" t="str">
        <f>IFERROR(__xludf.DUMMYFUNCTION("GOOGLETRANSLATE(C325, ""en"", ""pt-br"")"),"A melhor, mas lenta resposta da TV, o produto é bom, https: //m.media-amazon.com/images/i/71knz9n24gl._sy88.jpg.value por dinheiro, super qualidade .... vá com tcl, o melhor preço చాలా బాగుంది కానీ యుాస్ బి పోర్ట్స్ లోపల కాకుండా బయటికి ఇస్తే బాగుంటుంది మర"&amp;"ియు గుాగుల్ క్రోమ్ ఇన్ బుల్ట్ గా ఇస్తే బాగుంటుంది బాగుంటుంది")</f>
        <v>A melhor, mas lenta resposta da TV, o produto é bom, https: //m.media-amazon.com/images/i/71knz9n24gl._sy88.jpg.value por dinheiro, super qualidade .... vá com tcl, o melhor preço చాలా బాగుంది కానీ యుాస్ బి పోర్ట్స్ లోపల కాకుండా బయటికి ఇస్తే బాగుంటుంది మరియు గుాగుల్ క్రోమ్ ఇన్ బుల్ట్ గా ఇస్తే బాగుంటుంది బాగుంటుంది</v>
      </c>
    </row>
    <row r="326">
      <c r="A326" s="9" t="s">
        <v>1346</v>
      </c>
      <c r="B326" s="29" t="str">
        <f>VLOOKUP(dados!A326, reviews!A:G, 5, FALSE)</f>
        <v>Awesome Product</v>
      </c>
      <c r="C326" s="29" t="str">
        <f>VLOOKUP(dados!A326, reviews!A:G, 6, FALSE)</f>
        <v>Quick delivery.Awesome ProductPacking was goodJust opened the productExcited to you it</v>
      </c>
      <c r="D326" s="29" t="str">
        <f>IFERROR(__xludf.DUMMYFUNCTION("GOOGLETRANSLATE(B326, ""en"", ""pt-br"")"),"Produto incrível")</f>
        <v>Produto incrível</v>
      </c>
      <c r="E326" s="29" t="str">
        <f>IFERROR(__xludf.DUMMYFUNCTION("GOOGLETRANSLATE(C326, ""en"", ""pt-br"")"),"Entrega rápida.")</f>
        <v>Entrega rápida.</v>
      </c>
    </row>
    <row r="327">
      <c r="A327" s="9" t="s">
        <v>1350</v>
      </c>
      <c r="B327" s="29" t="str">
        <f>VLOOKUP(dados!A327, reviews!A:G, 5, FALSE)</f>
        <v>Almost Perfect!,Review After using 1month,Nice tv,Panel and video quality,Good Product,Worth for money,Nice,Good</v>
      </c>
      <c r="C327" s="29" t="str">
        <f>VLOOKUP(dados!A327, reviews!A:G, 6, FALSE)</f>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v>
      </c>
      <c r="D327" s="29" t="str">
        <f>IFERROR(__xludf.DUMMYFUNCTION("GOOGLETRANSLATE(B327, ""en"", ""pt-br"")"),"Quase perfeito!, Revise depois de usar 1 mês, qualidade de TV, painel e vídeo, bom produto, valor por dinheiro, bom, bom")</f>
        <v>Quase perfeito!, Revise depois de usar 1 mês, qualidade de TV, painel e vídeo, bom produto, valor por dinheiro, bom, bom</v>
      </c>
      <c r="E327" s="29" t="str">
        <f>IFERROR(__xludf.DUMMYFUNCTION("GOOGLETRANSLATE(C327, ""en"", ""pt-br"")"),"Atualização após 9 meses de uso: 1. A TV ainda está forte - todos os pontos positivos mencionados na resenha original abaixo ainda são verdadeiros e muito felizes com a TV. É como se o OnePlus estivesse ouvindo seus clientes! Após as atualizações recentes"&amp;" de firmware, os problemas que mencionei quase desapareceram. Agora podemos organizar e mover aplicativos (YouTube, Netflix), conforme nosso desejo na própria tela inicial. Finalmente, sou capaz de colocar o YouTube em primeiro lugar, pois é o aplicativo "&amp;"mais usado para minha criança. Não há mais problemas de desconexão do WiFi observados anteriormente. Prime Video ainda mostra erros às vezes. Embora eu ache que isso seja um problema com o aplicativo e não a TV. Recomendo esta TV! Revisão original: dei um"&amp;" salto de fé na compra desta TV, pois havia críticas mistas para isso. No entanto, depois de usá -lo por 2 meses, a seguir são minhas observações: Bom: 1. A qualidade da imagem é fantástica. Não há atraso ao assistir/encaminhar vídeos 4K/8K.2. Vi uma revi"&amp;"são do YouTube, que dizia que seu brilho era baixo em comparação com outros modelos - o brilho é mais do que você precisaria de uma TV. Eu nunca precisei executá -lo com brilho total até agora, até 40 trabalhos para mim. Para minha criança assistir rimas,"&amp;" defino o brilho para 0 e, mesmo assim, é mais do que o necessário. Houve algumas críticas que diziam que a qualidade do som era média e você precisa de uma barra de som. Eu discordo - eu assisti filmes com até 50 som e isso é bom o suficiente para um sal"&amp;"ão de 1000 pés quadrados.4. Comando de voz - é bastante preciso e sou capaz de trocar rimas de berçário para o meu bebê enquanto trabalha na cozinha, que fica a cerca de 15 a 20 pés de distância.5. Ser capaz de controlar a TV do aplicativo também é um rec"&amp;"urso muito útil - não é necessário procurar remoto. Ser capaz de lançar a partir do aplicativo também ajuda muito. Seria ainda melhor se tudo no telefone (não apenas fotos e vídeos) pudesse ser lançado usando o appnot tão bom: 1. Se a TV dormir/protetor d"&amp;"e tela por mais de 10 minutos, a. Muitas vezes, é desconectado do wifi - precisa reiniciá -lo novamente. O Prime Video falha em retomar - exibe erro - e precisa reiniciar a TV novamente. Na tela inicial, você não pode reorganizar os aplicativos para ter s"&amp;"eus aplicativos preferidos primeiro. Você pode fazê -lo na janela de aplicativos, o que é inútil, pois você precisa navegar primeiro - mais fácil de navegar para o seu aplicativo preferido na própria tela inicial. Somente contras Por outra revisão do usuá"&amp;"rio, mas recebi essa TV em 32 K, AO em todo o Satishied, apenas menos que muito crítico é o provedor de serviços de instalação. O produto deve instalar o provedor de serviços de instalação de cuidados. O provedor de serviços de instalação é um desperdício"&amp;" total e não respondeu corretamente. A data da instalação foi em 21.02.22, mas só foi feita pelo provedor de serviços em 27.10.22.O executivo que participou da instalação é uma pessoa residual e não sabe como se comportar com o cliente. Ele se comportou m"&amp;"uito rudemente. O provedor de serviços de instalação é um dano e desperdício total. Nem um pouco valor. ,, Qualidade impressionante de fotos e alguns problemas com recursos inteligentes, como na instalação de aplicativos e em conexão com apenas um player "&amp;"de áudio do smartphone no trabalho corretamente, mas o vídeo não é exibido na TV., Dolby Atom 4 K Video etc. Bom")</f>
        <v>Atualização após 9 meses de uso: 1. A TV ainda está forte - todos os pontos positivos mencionados na resenha original abaixo ainda são verdadeiros e muito felizes com a TV. É como se o OnePlus estivesse ouvindo seus clientes! Após as atualizações recentes de firmware, os problemas que mencionei quase desapareceram. Agora podemos organizar e mover aplicativos (YouTube, Netflix), conforme nosso desejo na própria tela inicial. Finalmente, sou capaz de colocar o YouTube em primeiro lugar, pois é o aplicativo mais usado para minha criança. Não há mais problemas de desconexão do WiFi observados anteriormente. Prime Video ainda mostra erros às vezes. Embora eu ache que isso seja um problema com o aplicativo e não a TV. Recomendo esta TV! Revisão original: dei um salto de fé na compra desta TV, pois havia críticas mistas para isso. No entanto, depois de usá -lo por 2 meses, a seguir são minhas observações: Bom: 1. A qualidade da imagem é fantástica. Não há atraso ao assistir/encaminhar vídeos 4K/8K.2. Vi uma revisão do YouTube, que dizia que seu brilho era baixo em comparação com outros modelos - o brilho é mais do que você precisaria de uma TV. Eu nunca precisei executá -lo com brilho total até agora, até 40 trabalhos para mim. Para minha criança assistir rimas, defino o brilho para 0 e, mesmo assim, é mais do que o necessário. Houve algumas críticas que diziam que a qualidade do som era média e você precisa de uma barra de som. Eu discordo - eu assisti filmes com até 50 som e isso é bom o suficiente para um salão de 1000 pés quadrados.4. Comando de voz - é bastante preciso e sou capaz de trocar rimas de berçário para o meu bebê enquanto trabalha na cozinha, que fica a cerca de 15 a 20 pés de distância.5. Ser capaz de controlar a TV do aplicativo também é um recurso muito útil - não é necessário procurar remoto. Ser capaz de lançar a partir do aplicativo também ajuda muito. Seria ainda melhor se tudo no telefone (não apenas fotos e vídeos) pudesse ser lançado usando o appnot tão bom: 1. Se a TV dormir/protetor de tela por mais de 10 minutos, a. Muitas vezes, é desconectado do wifi - precisa reiniciá -lo novamente. O Prime Video falha em retomar - exibe erro - e precisa reiniciar a TV novamente. Na tela inicial, você não pode reorganizar os aplicativos para ter seus aplicativos preferidos primeiro. Você pode fazê -lo na janela de aplicativos, o que é inútil, pois você precisa navegar primeiro - mais fácil de navegar para o seu aplicativo preferido na própria tela inicial. Somente contras Por outra revisão do usuário, mas recebi essa TV em 32 K, AO em todo o Satishied, apenas menos que muito crítico é o provedor de serviços de instalação. O produto deve instalar o provedor de serviços de instalação de cuidados. O provedor de serviços de instalação é um desperdício total e não respondeu corretamente. A data da instalação foi em 21.02.22, mas só foi feita pelo provedor de serviços em 27.10.22.O executivo que participou da instalação é uma pessoa residual e não sabe como se comportar com o cliente. Ele se comportou muito rudemente. O provedor de serviços de instalação é um dano e desperdício total. Nem um pouco valor. ,, Qualidade impressionante de fotos e alguns problemas com recursos inteligentes, como na instalação de aplicativos e em conexão com apenas um player de áudio do smartphone no trabalho corretamente, mas o vídeo não é exibido na TV., Dolby Atom 4 K Video etc. Bom</v>
      </c>
    </row>
    <row r="328">
      <c r="A328" s="9" t="s">
        <v>1354</v>
      </c>
      <c r="B328" s="29" t="str">
        <f>VLOOKUP(dados!A328, reviews!A:G, 5, FALSE)</f>
        <v>(after nearly one year use) Value for money TV, except for the sound,Spectacular Specification, Build Quality, and Performance</v>
      </c>
      <c r="C328" s="29" t="str">
        <f>VLOOKUP(dados!A328, reviews!A:G, 6, FALSE)</f>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v>
      </c>
      <c r="D328" s="29" t="str">
        <f>IFERROR(__xludf.DUMMYFUNCTION("GOOGLETRANSLATE(B328, ""en"", ""pt-br"")"),"(Após quase um ano de uso) valor para TV em dinheiro, exceto o som, especificação espetacular, qualidade de construção e desempenho")</f>
        <v>(Após quase um ano de uso) valor para TV em dinheiro, exceto o som, especificação espetacular, qualidade de construção e desempenho</v>
      </c>
      <c r="E328" s="29" t="str">
        <f>IFERROR(__xludf.DUMMYFUNCTION("GOOGLETRANSLATE(C328, ""en"", ""pt-br"")"),", O que não é amar nessa nova TV de Fire Amazon de 55 polegadas? Descobrindo toda a experiência, desde a entrega até o comissionamento, foi completamente sem costura; A embalagem é forte e muito resistente, usando muitos materiais biodegradáveis; O Unboxi"&amp;"ng foi uma delícia, e consertar a montagem de parede (incluída) era um pedaço de bolo. A integração da AMAZON é a Amazon Magic! Ligue a TV, e ela já me conhecia, e minha conta Amazon Prime. Após uma breve verificação de segurança on-line, todo o meu conte"&amp;"údo e aplicativos apareceram automaticamente na tela, e a configuração foi feita! Optical Audio Out e estou usando uma barra de som JBL com subwoofer que estão conectados à minha tv de fogo da Amazon de 55 polegadas usando um cabo óptico (não fornecido) e"&amp;" simplesmente alterando as configurações na TV, meu sistema de áudio liga e desliga automaticamente com a TV, e o controle remoto de TV fornecido possui controles de volume para o meu som de cinema. A reprodução de som é de primeira classe. Não posso come"&amp;"ntar sobre os alto-falantes de TV embutidos, porque não os usei. seu próprio gosto. A qualidade da imagem é excelente, tão boa quanto minha outra TV de uma marca famosa que custa 4x o preço da minha TV Amazon Fire de 55 polegadas. Estou impressionado! HDM"&amp;"I &amp; Connectivity''m Somente usando HDMI1 porque todo o meu conteúdo é transmitido e eu tenho usado um Amazon Firestick e Google Chromecast. O Chromecast está conectado ao HDMI1 e a TV muda automaticamente para ele quando você quiser usá -lo. No entanto, a"&amp;"cho que não vou usar o Chromecast, porque a Fire TV é muito boa e tem um controle remoto incrível. Também estou usando um disco rígido externo de 2 TB conectado ao USB rápido. Executar filmes, mesmo em HD, é uma experiência perfeita, sem lag ou judia. Acc"&amp;"ess aos soquetes na TV montada na parede, se você tiver armas pequenas e, embora eu esteja usando apenas HDMI1, áudio óptico e um USB , há muita conectividade para outros equipamentos. Apenas uma coisa ... Esta versão do FIRETV apenas permite que o Alexa "&amp;"fale 2 idiomas, viz. English (indiano), ou hindi.My Amazon Firestick, Echo Show 8, Echo Show 5, Echo e Echo Dot têm configurações para inglês para o Reino Unido, AUS, EUA, etc, espanhol, francês, alemão e muitas outras línguas. Eu realmente gostaria de us"&amp;"ar o Alexa na minha TV de Fire Amazon de 55 polegadas em meu idioma nativo - torna mais fácil para o Alexa me entender, e mais fácil para mim entender o Alexa.Eu espero que isso venha em uma atualização de software.conclusioni pense Que esta TV da Amazon "&amp;"Fire de 55 polegadas é incrível, e eu o recomendaria sem hesitar.")</f>
        <v>, O que não é amar nessa nova TV de Fire Amazon de 55 polegadas? Descobrindo toda a experiência, desde a entrega até o comissionamento, foi completamente sem costura; A embalagem é forte e muito resistente, usando muitos materiais biodegradáveis; O Unboxing foi uma delícia, e consertar a montagem de parede (incluída) era um pedaço de bolo. A integração da AMAZON é a Amazon Magic! Ligue a TV, e ela já me conhecia, e minha conta Amazon Prime. Após uma breve verificação de segurança on-line, todo o meu conteúdo e aplicativos apareceram automaticamente na tela, e a configuração foi feita! Optical Audio Out e estou usando uma barra de som JBL com subwoofer que estão conectados à minha tv de fogo da Amazon de 55 polegadas usando um cabo óptico (não fornecido) e simplesmente alterando as configurações na TV, meu sistema de áudio liga e desliga automaticamente com a TV, e o controle remoto de TV fornecido possui controles de volume para o meu som de cinema. A reprodução de som é de primeira classe. Não posso comentar sobre os alto-falantes de TV embutidos, porque não os usei. seu próprio gosto. A qualidade da imagem é excelente, tão boa quanto minha outra TV de uma marca famosa que custa 4x o preço da minha TV Amazon Fire de 55 polegadas. Estou impressionado! HDMI &amp; Connectivity''m Somente usando HDMI1 porque todo o meu conteúdo é transmitido e eu tenho usado um Amazon Firestick e Google Chromecast. O Chromecast está conectado ao HDMI1 e a TV muda automaticamente para ele quando você quiser usá -lo. No entanto, acho que não vou usar o Chromecast, porque a Fire TV é muito boa e tem um controle remoto incrível. Também estou usando um disco rígido externo de 2 TB conectado ao USB rápido. Executar filmes, mesmo em HD, é uma experiência perfeita, sem lag ou judia. Access aos soquetes na TV montada na parede, se você tiver armas pequenas e, embora eu esteja usando apenas HDMI1, áudio óptico e um USB , há muita conectividade para outros equipamentos. Apenas uma coisa ... Esta versão do FIRETV apenas permite que o Alexa fale 2 idiomas, viz. English (indiano), ou hindi.My Amazon Firestick, Echo Show 8, Echo Show 5, Echo e Echo Dot têm configurações para inglês para o Reino Unido, AUS, EUA, etc, espanhol, francês, alemão e muitas outras línguas. Eu realmente gostaria de usar o Alexa na minha TV de Fire Amazon de 55 polegadas em meu idioma nativo - torna mais fácil para o Alexa me entender, e mais fácil para mim entender o Alexa.Eu espero que isso venha em uma atualização de software.conclusioni pense Que esta TV da Amazon Fire de 55 polegadas é incrível, e eu o recomendaria sem hesitar.</v>
      </c>
    </row>
    <row r="329">
      <c r="A329" s="9" t="s">
        <v>1358</v>
      </c>
      <c r="B329" s="29" t="str">
        <f>VLOOKUP(dados!A329, reviews!A:G, 5, FALSE)</f>
        <v>Kodak tv,Kodak tv,Kodak tv,Very less features to control or configure picture, sound or other key features through remote.,Excellent,Kodak 32inh,Kodak tv,Good</v>
      </c>
      <c r="C329" s="29" t="str">
        <f>VLOOKUP(dados!A329, reviews!A:G, 6, FALSE)</f>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v>
      </c>
      <c r="D329" s="29" t="str">
        <f>IFERROR(__xludf.DUMMYFUNCTION("GOOGLETRANSLATE(B329, ""en"", ""pt-br"")"),"Kodak TV, Kodak TV, Kodak TV, muito menos recursos para controlar ou configurar a imagem, o som ou outros recursos importantes através do controle remoto., Excelente, Kodak 32Inh, Kodak TV, bom")</f>
        <v>Kodak TV, Kodak TV, Kodak TV, muito menos recursos para controlar ou configurar a imagem, o som ou outros recursos importantes através do controle remoto., Excelente, Kodak 32Inh, Kodak TV, bom</v>
      </c>
      <c r="E329" s="29" t="str">
        <f>IFERROR(__xludf.DUMMYFUNCTION("GOOGLETRANSLATE(C329, ""en"", ""pt-br"")"),"V Companhia agradável e boa, boa, boa, muito não responsiva, após vários lembretes para a empresa e a Amazon, eles não se preocupam em instalar a TV como comprometido desde os últimos 8 dias, veja como eles responderão em caso de garantia ou requisito de "&amp;"serviço no futuro ., Excelente, qualidade de qualidade moderada moderna moderna.")</f>
        <v>V Companhia agradável e boa, boa, boa, muito não responsiva, após vários lembretes para a empresa e a Amazon, eles não se preocupam em instalar a TV como comprometido desde os últimos 8 dias, veja como eles responderão em caso de garantia ou requisito de serviço no futuro ., Excelente, qualidade de qualidade moderada moderna moderna.</v>
      </c>
    </row>
    <row r="330">
      <c r="A330" s="9" t="s">
        <v>1362</v>
      </c>
      <c r="B330" s="29" t="str">
        <f>VLOOKUP(dados!A330, reviews!A:G, 5, FALSE)</f>
        <v>Used for 10 months,Quality is good,Good Aftersale Service,Super fast charging suppurt,Superb Quality and value for money,Good small cable,Nice,Highly recommended</v>
      </c>
      <c r="C330" s="29" t="str">
        <f>VLOOKUP(dados!A330, reviews!A:G, 6, FALSE)</f>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v>
      </c>
      <c r="D330" s="29" t="str">
        <f>IFERROR(__xludf.DUMMYFUNCTION("GOOGLETRANSLATE(B330, ""en"", ""pt-br"")"),"Usado por 10 meses, a qualidade é boa, bom serviço pós -vela, supurt de carregamento super rápido, qualidade excelente e relação custo")</f>
        <v>Usado por 10 meses, a qualidade é boa, bom serviço pós -vela, supurt de carregamento super rápido, qualidade excelente e relação custo</v>
      </c>
      <c r="E330" s="29" t="str">
        <f>IFERROR(__xludf.DUMMYFUNCTION("GOOGLETRANSLATE(C330, ""en"", ""pt-br"")"),"Usou este cabo por 10 meses, muito resistente, realmente como o comprimento do cabo., Bom, repalamento em obras, eu pedi isso para o meu S21 Ultra como e está funcionando da mesma forma que meu cabo original ... ele está carregando muito rápido com Meu ca"&amp;"rregador de 25W., eu uso esse cabo há um ano e nunca enfrentei um único problema até a data. A qualidade do cabo é excelente e é muito durável. Também é um produto de valor para dinheiro. Altamente recomendado e bom cabo pequeno. No entanto, a ser testado"&amp;".")</f>
        <v>Usou este cabo por 10 meses, muito resistente, realmente como o comprimento do cabo., Bom, repalamento em obras, eu pedi isso para o meu S21 Ultra como e está funcionando da mesma forma que meu cabo original ... ele está carregando muito rápido com Meu carregador de 25W., eu uso esse cabo há um ano e nunca enfrentei um único problema até a data. A qualidade do cabo é excelente e é muito durável. Também é um produto de valor para dinheiro. Altamente recomendado e bom cabo pequeno. No entanto, a ser testado.</v>
      </c>
    </row>
    <row r="331">
      <c r="A331" s="9" t="s">
        <v>1366</v>
      </c>
      <c r="B331" s="29" t="str">
        <f>VLOOKUP(dados!A331, reviews!A:G, 5, FALSE)</f>
        <v>Working fine but cheap quality,Original but small,ನೀವು ಕಳುಹಿಸಿದ ವಸ್ತು ಸರಿಯಾಗಿ ಕೆಲಸ ಮಾಡುತ್ತಿಲ,Sturdy,Good,Works perfectly with Airtel HD set up box,Item is value for money.,,On Off button doesn’t work.</v>
      </c>
      <c r="C331" s="29" t="str">
        <f>VLOOKUP(dados!A331, reviews!A:G, 6, FALSE)</f>
        <v>Working fine with Airtel DTH but the quality is cheap, it's not strong,Earlier airtel tv remotes had larger keys which were easy to navigate. Wish airtel could make that happen.,ನೀವು ಕಳಿಸಿರುವ ವಸ್ತು ಸರಿಯಾಗಿ ಕೆಲಸ ಮಾಡುತ್ತಿಲ ಈಗಾಗಲೇ ನಾವು ಒಂದು ಬಾರಿ ವಾಪಸಾತಿ ಮಾಡಿ ದರೂ ಕೂಡಾ ನೀವು ಕಳುಹಿಸಿದ ವಸ್ತು ಸರಿಯಾಗಿ ಕೆಲಸ ಮಾಡುತ್ತಿಲ ಆದ ಕಾರಣ ನನ್ನ ಹಣ ವಾಪಸ ಮಾಡಬೇಕಾಗಿ ವಿನಂತಿ,Good,Good,Works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doesn’t work. Remote doesn’t work on TV. It works on Airtel setup box only. I always use 2 remotes. 1 for tv and another for setup box. Not satisfied with this remote.</v>
      </c>
      <c r="D331" s="29" t="str">
        <f>IFERROR(__xludf.DUMMYFUNCTION("GOOGLETRANSLATE(B331, ""en"", ""pt-br"")"),"Trabalhando bem, mas de qualidade barata, original, mas pequena, ನೀವು ಕಳುಹಿಸಿದ ವಸ್ತು ಸರಿಯಾಗಿ ಕೆಲಸ ಮಾಡುತ್ತಿಲ, robusta, boa, funciona perfeitamente com a caixa de configuração da Airtel HD, o item é um valor para o dinheiro.")</f>
        <v>Trabalhando bem, mas de qualidade barata, original, mas pequena, ನೀವು ಕಳುಹಿಸಿದ ವಸ್ತು ಸರಿಯಾಗಿ ಕೆಲಸ ಮಾಡುತ್ತಿಲ, robusta, boa, funciona perfeitamente com a caixa de configuração da Airtel HD, o item é um valor para o dinheiro.</v>
      </c>
      <c r="E331" s="29" t="str">
        <f>IFERROR(__xludf.DUMMYFUNCTION("GOOGLETRANSLATE(C331, ""en"", ""pt-br"")"),"Funcionando bem com o Airtel DTH, mas a qualidade é barata, não é forte, os controles remotos de TV da Airtel tinham chaves maiores que eram fáceis de navegar. Gostaria que a Airtel pudesse fazer isso acontecer., ನೀವು ಕಳಿಸಿರುವ ವಸ್ತು ಸರಿಯಾಗಿ ಮಾಡುತ್ತಿಲ ಈಗಾಗ"&amp;"ಲೇ ನಾವು ಒಂದು ಬಾರಿ ವಾಪಸಾತಿ ಮಾಡಿ ದರೂ ಕೂಡಾ ನೀವು ಕಳುಹಿಸಿದ ವಸ್ತು ಸರಿಯಾಗಿ ಕೆಲಸ ಮಾಡುತ್ತಿಲ ಆದ ಕಾರಣ ನನ್ನ ಹಣ ವಾಪಸ ಮಾಡಬೇಕಾಗಿ ವಿನಂತಿ, bom, bom, funcionar perfeitamente com a caixa de configuração da Airtel HD ( Não é adequado para airtel xtream). Geralmente ficaria a"&amp;"preensivo antes de comprar um controle remoto on -line, mas isso funcionou perfeitamente., Produto genuíno. Tasses tempo e depende de como você lida com isso. A queda frequente leva a uma vida mais curta, pois é um produto quebrável. TRABALHO. O controle "&amp;"remoto não funciona na TV. Funciona apenas na caixa de configuração da Airtel. Eu sempre uso 2 controles remotos. 1 para TV e outra para caixa de configuração. Não está satisfeito com este controle remoto.")</f>
        <v>Funcionando bem com o Airtel DTH, mas a qualidade é barata, não é forte, os controles remotos de TV da Airtel tinham chaves maiores que eram fáceis de navegar. Gostaria que a Airtel pudesse fazer isso acontecer., ನೀವು ಕಳಿಸಿರುವ ವಸ್ತು ಸರಿಯಾಗಿ ಮಾಡುತ್ತಿಲ ಈಗಾಗಲೇ ನಾವು ಒಂದು ಬಾರಿ ವಾಪಸಾತಿ ಮಾಡಿ ದರೂ ಕೂಡಾ ನೀವು ಕಳುಹಿಸಿದ ವಸ್ತು ಸರಿಯಾಗಿ ಕೆಲಸ ಮಾಡುತ್ತಿಲ ಆದ ಕಾರಣ ನನ್ನ ಹಣ ವಾಪಸ ಮಾಡಬೇಕಾಗಿ ವಿನಂತಿ, bom, bom, funcionar perfeitamente com a caixa de configuração da Airtel HD ( Não é adequado para airtel xtream). Geralmente ficaria apreensivo antes de comprar um controle remoto on -line, mas isso funcionou perfeitamente., Produto genuíno. Tasses tempo e depende de como você lida com isso. A queda frequente leva a uma vida mais curta, pois é um produto quebrável. TRABALHO. O controle remoto não funciona na TV. Funciona apenas na caixa de configuração da Airtel. Eu sempre uso 2 controles remotos. 1 para TV e outra para caixa de configuração. Não está satisfeito com este controle remoto.</v>
      </c>
    </row>
    <row r="332">
      <c r="A332" s="9" t="s">
        <v>1370</v>
      </c>
      <c r="B332" s="29" t="str">
        <f>VLOOKUP(dados!A332, reviews!A:G, 5, FALSE)</f>
        <v>Good ptoduct,Overall good product,, and good choice,, ☺️,Cable is short,Good,All channel  view nice,Very fast and good service,Ok,The product was 🙌</v>
      </c>
      <c r="C332" s="29" t="str">
        <f>VLOOKUP(dados!A332, reviews!A:G, 6, FALSE)</f>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v>
      </c>
      <c r="D332" s="29" t="str">
        <f>IFERROR(__xludf.DUMMYFUNCTION("GOOGLETRANSLATE(B332, ""en"", ""pt-br"")"),"Bom ptoduto, bom produto geral, e boa escolha ,, ☺️, o cabo é curto, bom, toda a visão de canal agradável, muito rápida e bom serviço, ok, o produto era 🙌")</f>
        <v>Bom ptoduto, bom produto geral, e boa escolha ,, ☺️, o cabo é curto, bom, toda a visão de canal agradável, muito rápida e bom serviço, ok, o produto era 🙌</v>
      </c>
      <c r="E332" s="29" t="str">
        <f>IFERROR(__xludf.DUMMYFUNCTION("GOOGLETRANSLATE(C332, ""en"", ""pt-br"")"),"Bom produto, eu gosto da qualidade da imagem e do plano de recarga ,,,,, o cabo é muito curto, o térreo ke liye bhi chhota tha, bom problema de produto na seleção de canais, como qualidade de imagem, estou impressionado, o serviço é muito bom, todos Canai"&amp;"s não disponíveis, https: //m.media-amazon.com/images/i/71J79hdig5L._Sy88.jpg")</f>
        <v>Bom produto, eu gosto da qualidade da imagem e do plano de recarga ,,,,, o cabo é muito curto, o térreo ke liye bhi chhota tha, bom problema de produto na seleção de canais, como qualidade de imagem, estou impressionado, o serviço é muito bom, todos Canais não disponíveis, https: //m.media-amazon.com/images/i/71J79hdig5L._Sy88.jpg</v>
      </c>
    </row>
    <row r="333">
      <c r="A333" s="9" t="s">
        <v>1374</v>
      </c>
      <c r="B333" s="29" t="str">
        <f>VLOOKUP(dados!A333, reviews!A:G, 5, FALSE)</f>
        <v>Go for it,Fast charging,Good product,Good,So Far So Good,Quality is good 👍 you can go for it ♥️,Excellent Product,Yup good in all over</v>
      </c>
      <c r="C333" s="29" t="str">
        <f>VLOOKUP(dados!A333, reviews!A:G, 6, FALSE)</f>
        <v>Everything is great go for it after all it’s esr common,Length is good and charge fast. Need to maintain well cause of it’s length.,Fast charging.,Value for money,Its been more than a month since I am using it and it is working as expected.,Nice product go for it,Excellent product with a good sturdiness. The product quality is worth the money spent.,</v>
      </c>
      <c r="D333" s="29" t="str">
        <f>IFERROR(__xludf.DUMMYFUNCTION("GOOGLETRANSLATE(B333, ""en"", ""pt-br"")"),"Vá em frente, carregamento rápido, bom produto, bom, até agora, boa, a qualidade é boa 👍 Você pode ir em frente ♥ ️, excelente produto, sim, sim")</f>
        <v>Vá em frente, carregamento rápido, bom produto, bom, até agora, boa, a qualidade é boa 👍 Você pode ir em frente ♥ ️, excelente produto, sim, sim</v>
      </c>
      <c r="E333" s="29" t="str">
        <f>IFERROR(__xludf.DUMMYFUNCTION("GOOGLETRANSLATE(C333, ""en"", ""pt-br"")"),"Tudo é ótimo, vá em frente, afinal, é comum, o comprimento é bom e carrega rapidamente. Precisa manter a causa bem de sua duração., Carregamento rápido., Raga pelo dinheiro, já faz mais de um mês que estou usando e está funcionando como esperado., Bom pro"&amp;"duto vá em frente, excelente produto com uma boa robustez. A qualidade do produto vale o dinheiro gasto.,")</f>
        <v>Tudo é ótimo, vá em frente, afinal, é comum, o comprimento é bom e carrega rapidamente. Precisa manter a causa bem de sua duração., Carregamento rápido., Raga pelo dinheiro, já faz mais de um mês que estou usando e está funcionando como esperado., Bom produto vá em frente, excelente produto com uma boa robustez. A qualidade do produto vale o dinheiro gasto.,</v>
      </c>
    </row>
    <row r="334">
      <c r="A334" s="9" t="s">
        <v>1378</v>
      </c>
      <c r="B334" s="29" t="str">
        <f>VLOOKUP(dados!A334, reviews!A:G, 5, FALSE)</f>
        <v>It's super,Value of money 💰,Display and build,Good Sound and pictures,Good product 👍,Good and smart tv for reasonable rate,Good for low budget,Good</v>
      </c>
      <c r="C334" s="29" t="str">
        <f>VLOOKUP(dados!A334, reviews!A:G, 6, FALSE)</f>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v>
      </c>
      <c r="D334" s="29" t="str">
        <f>IFERROR(__xludf.DUMMYFUNCTION("GOOGLETRANSLATE(B334, ""en"", ""pt-br"")"),"É super, valor do dinheiro 💰, exibir e construir, bom som e fotos, bom produto 👍, TV boa e inteligente para uma taxa razoável, bom para baixo orçamento, bom")</f>
        <v>É super, valor do dinheiro 💰, exibir e construir, bom som e fotos, bom produto 👍, TV boa e inteligente para uma taxa razoável, bom para baixo orçamento, bom</v>
      </c>
      <c r="E334" s="29" t="str">
        <f>IFERROR(__xludf.DUMMYFUNCTION("GOOGLETRANSLATE(C334, ""en"", ""pt-br"")"),"É uma paz muito boa o que eu li., As instituições gratuitas são muito caras e difíceis de prasasan, mas obrigado pela Amazon, minha resenha é após 2 meses de compra de TV Mi 55inchi como a qualidade da sua qualidade. 55 polegadas é muito grande e em escur"&amp;"o parece que a qualidade do teatro é melhor e muito barulhenta, o baixo é bom com o alto -falante de 40w, sem problemas e android sem um bom armazenamento com todas as portas com Dolby Vision HDR 10no problema com Pachtwallconsi Chromecast, acho que devo "&amp;"ser resolvido na atualização da TV, outros recursos são incríveis, compre -o ...., boa, boa clareza boa, bom produto, boa TV para uma taxa razoável. Até agora, a TV está funcionando bem e a qualidade da imagem também é excelente. A qualidade do som também"&amp;" é boa, mas baixa em comparação com a Sony ou a Samsung, de qualquer forma, conectei -me à barra de som, para que isso não me importe mais. O reconhecimento de voz e os comandos funcionam bem. Ao todo, é uma boa TV para comprar. Estou apenas decepcionado "&amp;"é que eu havia encomendado a TV com 8 GB de memória interna, mas recebi 4 GB. Eu realmente não entendo a lógica por trás disso., Bom para pessoas de baixo orçamento ,,")</f>
        <v>É uma paz muito boa o que eu li., As instituições gratuitas são muito caras e difíceis de prasasan, mas obrigado pela Amazon, minha resenha é após 2 meses de compra de TV Mi 55inchi como a qualidade da sua qualidade. 55 polegadas é muito grande e em escuro parece que a qualidade do teatro é melhor e muito barulhenta, o baixo é bom com o alto -falante de 40w, sem problemas e android sem um bom armazenamento com todas as portas com Dolby Vision HDR 10no problema com Pachtwallconsi Chromecast, acho que devo ser resolvido na atualização da TV, outros recursos são incríveis, compre -o ...., boa, boa clareza boa, bom produto, boa TV para uma taxa razoável. Até agora, a TV está funcionando bem e a qualidade da imagem também é excelente. A qualidade do som também é boa, mas baixa em comparação com a Sony ou a Samsung, de qualquer forma, conectei -me à barra de som, para que isso não me importe mais. O reconhecimento de voz e os comandos funcionam bem. Ao todo, é uma boa TV para comprar. Estou apenas decepcionado é que eu havia encomendado a TV com 8 GB de memória interna, mas recebi 4 GB. Eu realmente não entendo a lógica por trás disso., Bom para pessoas de baixo orçamento ,,</v>
      </c>
    </row>
    <row r="335">
      <c r="A335" s="9" t="s">
        <v>1382</v>
      </c>
      <c r="B335" s="29" t="str">
        <f>VLOOKUP(dados!A335, reviews!A:G, 5, FALSE)</f>
        <v>Works perfect for connecting my Dslr to ipad &amp; tethering. Seems like a durable cable,H,GOOD,USB,Supar,It's good,Very good cable,Okaysih</v>
      </c>
      <c r="C335" s="29" t="str">
        <f>VLOOKUP(dados!A335, reviews!A:G, 6, FALSE)</f>
        <v>Works perfect for connecting my Dslr to ipad &amp; tethering. Seems like a durable cable.,Good,WORTH FOR MONEY, EASY TO USE,Nice easy to carry,Supar,Product is nyc.. Price is bit high,Good,Okayish</v>
      </c>
      <c r="D335" s="29" t="str">
        <f>IFERROR(__xludf.DUMMYFUNCTION("GOOGLETRANSLATE(B335, ""en"", ""pt-br"")"),"Funciona perfeita para conectar meu DSLR ao iPad &amp; Tethering. Parece um cabo durável, H, bom, USB, supar, é bom, um cabo muito bom, okaysih")</f>
        <v>Funciona perfeita para conectar meu DSLR ao iPad &amp; Tethering. Parece um cabo durável, H, bom, USB, supar, é bom, um cabo muito bom, okaysih</v>
      </c>
      <c r="E335" s="29" t="str">
        <f>IFERROR(__xludf.DUMMYFUNCTION("GOOGLETRANSLATE(C335, ""en"", ""pt-br"")"),"Funciona perfeita para conectar meu DSLR ao iPad &amp; Tethering. Parece um cabo durável., Bom, vale a pena, fácil de usar, agradável fácil de transportar, supar, produto é Nova York. O preço é um pouco alto, bom, okish")</f>
        <v>Funciona perfeita para conectar meu DSLR ao iPad &amp; Tethering. Parece um cabo durável., Bom, vale a pena, fácil de usar, agradável fácil de transportar, supar, produto é Nova York. O preço é um pouco alto, bom, okish</v>
      </c>
    </row>
    <row r="336">
      <c r="A336" s="9" t="s">
        <v>1386</v>
      </c>
      <c r="B336" s="29" t="str">
        <f>VLOOKUP(dados!A336, reviews!A:G, 5, FALSE)</f>
        <v>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v>
      </c>
      <c r="C336" s="29" t="str">
        <f>VLOOKUP(dados!A336, reviews!A:G, 6, FALSE)</f>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v>
      </c>
      <c r="D336" s="29" t="str">
        <f>IFERROR(__xludf.DUMMYFUNCTION("GOOGLETRANSLATE(B336, ""en"", ""pt-br"")"),"Vale a pena o dinheiro, bom relógio inteligente, a tela não liga e desligando o toque duplo, pois você deve pressionar o botão., Ui amigável, melhor AllRounder Orçamento Smartwatch sob 2k 🔥, este relógio inteligente é incrível, bom relógio no orçamento, "&amp;"a contagem de etapas não é tão precisa, mas a qualidade da chamada e outras coisas são boas")</f>
        <v>Vale a pena o dinheiro, bom relógio inteligente, a tela não liga e desligando o toque duplo, pois você deve pressionar o botão., Ui amigável, melhor AllRounder Orçamento Smartwatch sob 2k 🔥, este relógio inteligente é incrível, bom relógio no orçamento, a contagem de etapas não é tão precisa, mas a qualidade da chamada e outras coisas são boas</v>
      </c>
      <c r="E336" s="29" t="str">
        <f>IFERROR(__xludf.DUMMYFUNCTION("GOOGLETRANSLATE(C336, ""en"", ""pt-br"")"),"Gostei, vale o dinheiro, leve e confortável em todas as situações. Esse que eu recebi aqui tem uma interface do usuário estável, sem lag, parece premium (principalmente a alça macia e o botão Cool Crown somam muito) .. A principal razão Eu comprei isso po"&amp;"rque traz todas as características que todos precisam hoje com a aparência fora do lado. Porque eu tenho um pulso fino, mas estava bem. minutos para serem totalmente carregados. E a bateria também dura apenas 3-4 dias, só espero que, no futuro, se eu atua"&amp;"lizar o software, a opção de toque duplo virá. diferente de outras pessoas na música tocando no watch speaker.Great Experience.watchfaces A opção é boa. Podemos adicionar face Watchfaces. relógio inteligente. O Ninja Call Pro Plus é lançado recentemente, "&amp;"para que ele vem com recursos e especificações mais recentes. A tela é entalhada superior e o brilho é suficiente para uso no Outdoor. Medida cardíaca e SPO2 é bem preciso todos os sensores são trabalhados com eficiência. A leitura dos dados é precisa de "&amp;"90 a 95% em que você pode confiar nele em situações de emergência. Ele vem com 100 mods esportivos, todos os tipos de atividades e esportes são cobertos. A experiência em chamar também é muito agradável, o alto -falante e o microfone é uma voz suficientem"&amp;"ente decente em interior. Mas a bateria deve ser melhor, é necessário cobrar 1 tempo no dia. Exibição curva em 3D proporciona experiência visual awasne. A qualidade da correia é muito macia e feminino também a usa muito bem. Portanto, no geral, ele possui"&amp;" o melhor smartwatch abaixo da tela, chamadas, sensores, qualidade do bulit, backup de bateria, mods esportivos, impermeabilizados, etc. Você definitivamente deve optar por este. Produto satisfeito. 👍🔥👍, este relógio é muito bom, mas 1 problema estou u"&amp;"sando este relógio de 1 semana e alguns dias atrás seus pixels estavam caindo, a tela não estava funcionando corretamente, mas depois de reiniciar, estava funcionando corretamente e a partir de então eu Não, não enfrentou esse problema novamente., bom rel"&amp;"ógio com boa interface da interface do usuário com o recurso de chamada. Energia repleta de recursos com preço muito baixo. Se você está com orçamento apertado e procurando o smartwatch de calamento, definitivamente deve optar por este., A qualidade de co"&amp;"nstrução é ótima. Recurso da tela, é um pouco laggy. Orçamento e querer chamadas e boa experiência na interface do usuário Você pode comprar este produto")</f>
        <v>Gostei, vale o dinheiro, leve e confortável em todas as situações. Esse que eu recebi aqui tem uma interface do usuário estável, sem lag, parece premium (principalmente a alça macia e o botão Cool Crown somam muito) .. A principal razão Eu comprei isso porque traz todas as características que todos precisam hoje com a aparência fora do lado. Porque eu tenho um pulso fino, mas estava bem. minutos para serem totalmente carregados. E a bateria também dura apenas 3-4 dias, só espero que, no futuro, se eu atualizar o software, a opção de toque duplo virá. diferente de outras pessoas na música tocando no watch speaker.Great Experience.watchfaces A opção é boa. Podemos adicionar face Watchfaces. relógio inteligente. O Ninja Call Pro Plus é lançado recentemente, para que ele vem com recursos e especificações mais recentes. A tela é entalhada superior e o brilho é suficiente para uso no Outdoor. Medida cardíaca e SPO2 é bem preciso todos os sensores são trabalhados com eficiência. A leitura dos dados é precisa de 90 a 95% em que você pode confiar nele em situações de emergência. Ele vem com 100 mods esportivos, todos os tipos de atividades e esportes são cobertos. A experiência em chamar também é muito agradável, o alto -falante e o microfone é uma voz suficientemente decente em interior. Mas a bateria deve ser melhor, é necessário cobrar 1 tempo no dia. Exibição curva em 3D proporciona experiência visual awasne. A qualidade da correia é muito macia e feminino também a usa muito bem. Portanto, no geral, ele possui o melhor smartwatch abaixo da tela, chamadas, sensores, qualidade do bulit, backup de bateria, mods esportivos, impermeabilizados, etc. Você definitivamente deve optar por este. Produto satisfeito. 👍🔥👍, este relógio é muito bom, mas 1 problema estou usando este relógio de 1 semana e alguns dias atrás seus pixels estavam caindo, a tela não estava funcionando corretamente, mas depois de reiniciar, estava funcionando corretamente e a partir de então eu Não, não enfrentou esse problema novamente., bom relógio com boa interface da interface do usuário com o recurso de chamada. Energia repleta de recursos com preço muito baixo. Se você está com orçamento apertado e procurando o smartwatch de calamento, definitivamente deve optar por este., A qualidade de construção é ótima. Recurso da tela, é um pouco laggy. Orçamento e querer chamadas e boa experiência na interface do usuário Você pode comprar este produto</v>
      </c>
    </row>
    <row r="337">
      <c r="A337" s="9" t="s">
        <v>1393</v>
      </c>
      <c r="B337" s="29" t="str">
        <f>VLOOKUP(dados!A337, reviews!A:G, 5, FALSE)</f>
        <v>7-8/10, Decent, good for day to day use,Good choice under budget of Rs2000,Average product.,Budget friendly,Overall it's a good watch,Good product,Best in design, accuracy and looks fancy. A must buy for every person who is watch enthusiast.,Having a great experience</v>
      </c>
      <c r="C337" s="29" t="str">
        <f>VLOOKUP(dados!A337, reviews!A:G, 6, FALSE)</f>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v>
      </c>
      <c r="D337" s="29" t="str">
        <f>IFERROR(__xludf.DUMMYFUNCTION("GOOGLETRANSLATE(B337, ""en"", ""pt-br"")"),"7-8/10, decente, bom para uso diário, boa escolha sob orçamento de Rs2000, produto médio., Friendia ao orçamento, no geral é um bom relógio, bom produto, melhor em design, precisão e parece chique. Um deve comprar para cada pessoa que está assistindo entu"&amp;"siasta., Ter uma ótima experiência")</f>
        <v>7-8/10, decente, bom para uso diário, boa escolha sob orçamento de Rs2000, produto médio., Friendia ao orçamento, no geral é um bom relógio, bom produto, melhor em design, precisão e parece chique. Um deve comprar para cada pessoa que está assistindo entusiasta., Ter uma ótima experiência</v>
      </c>
      <c r="E337" s="29" t="str">
        <f>IFERROR(__xludf.DUMMYFUNCTION("GOOGLETRANSLATE(C337, ""en"", ""pt-br"")"),"REVISÃO DE 2 MESES- Está funcionando bem, não há problema a partir de agora .. Algumas coisas- o rastreamento de etapas inteiras, eu comprei por esse motivo, isso basicamente não me satisfaz com esse nível com isso, mas isso Conta as etapas com precisão n"&amp;"o modo de caminhada (atividade), ela tem alguns arranhões. Só podemos ter 2, 1 personalização e 1 download do aplicativo (que tem opções limitadas), os outros fundos são apenas .. eh ... os looks, eu vou dar 9/10, é uma tela de toque diferente de boa apar"&amp;"ência é boa O rastreamento do sono também é meio preciso (eu ainda não entendi tão bem lol) A duração da bateria é Muah, eu a uso sem Bluetooth e ele sobrevive facilmente por 6-7 diasspo2 e freqüência cardíaca, eu apenas acredito no que diz que posso Não "&amp;"verifique se isso está correto. , estou bastante satisfeito com isso como meu primeiro relógio inteligente 😗, usei este produto por 4 dias e vou classificar os vários recursos e diferentes aspectos deste smartwatch, que podem ajudar os clientes aqui -ent"&amp;"ão, Bluetooth Chamando (4/5) - O microfone embutido deste relógio é excelente e a voz chega ao outro lado sem qualquer perturbação, o relógio se conecta sem problemas com o celular e não se desconecte automaticamente até fazer isso por meio de relógio ou "&amp;"telefone . Somente o golpe é que você não pode silenciar a chamada que é irritante em algum momento, espero que eles o corram com uma atualização. A melhor coisa é que também parece bom nos pulsos magros (pobre em mim, com pulso de 5,6 polegadas). Somente"&amp;" o golpe é que você pode fazer arranhões em exibição, portanto, proteja com ela algum tipo de tela de tela. Aposto que você não terá nenhuma experiência lenta. Conte etapas com precisão decente também. A precisão do sono também é aceitável. excelente. A v"&amp;"oz chega ao outro lado sem nenhum distúrbio. A qualidade de construção é boa sobre os pulsos, mas você pode fazer arranhões na tela; portanto, proteja -o com algum guarda de tela. Você deve ir para este relógio, se quiser um smartwatch para o orçamento ab"&amp;"aixo de 2000., é um bom relógio, mas eu enfrentei dois problemas, o primeiro é que não há nenhum recurso de aumento para acordar e o segundo é que não há não haver Opção para silenciar quando alguém te ligar ... acho que você deve comprá -lo se, na futura"&amp;" empresa, adicionar esses dois recursos ..., eu comprei recentemente o relógio Fire Boltt Phoenix e estou muito feliz com minha compra. O relógio é bastante elegante, e eu recebo elogios toda vez que o uso. O relógio também é bastante confortável de usar,"&amp;" e a alça é ajustável para caber em qualquer tamanho de pulso. O relógio também tem uma ótima duração da bateria, e eu posso passar dias sem ter que carregá -lo. O relógio também possui vários recursos, incluindo um contador de etapas, monitor de freqüênc"&amp;"ia cardíaca e rastreador de sono. Todos esses recursos são muito úteis e facilitam o rastreamento da minha atividade e da saúde. No geral, estou muito satisfeito com minha compra e recomendo o relógio Fire Boltt Phoenix para quem procura um relógio elegan"&amp;"te e funcional., Este relógio é absolutamente impressionante e de ótimo valor para o dinheiro. Realmente satisfeito com o design e a forma do relógio, definitivamente uma compra obrigatória para todas as pessoas. Louse a cor, a durabilidade e a precisão é"&amp;" super 👍. Basta ir em frente., Gostei do produto, ele possui muitos recursos como rastreamento de sono, SP02, medição de freqüência cardíaca, tocador de música, verificador de temperatura, meu único nitpick seria que ele só tem 2 jogos e, em segundo luga"&amp;"r, tem bons papéis de parede, mas um ben 10 Papel de parede Omnitrix daria uma aparência ainda mais incrível")</f>
        <v>REVISÃO DE 2 MESES- Está funcionando bem, não há problema a partir de agora .. Algumas coisas- o rastreamento de etapas inteiras, eu comprei por esse motivo, isso basicamente não me satisfaz com esse nível com isso, mas isso Conta as etapas com precisão no modo de caminhada (atividade), ela tem alguns arranhões. Só podemos ter 2, 1 personalização e 1 download do aplicativo (que tem opções limitadas), os outros fundos são apenas .. eh ... os looks, eu vou dar 9/10, é uma tela de toque diferente de boa aparência é boa O rastreamento do sono também é meio preciso (eu ainda não entendi tão bem lol) A duração da bateria é Muah, eu a uso sem Bluetooth e ele sobrevive facilmente por 6-7 diasspo2 e freqüência cardíaca, eu apenas acredito no que diz que posso Não verifique se isso está correto. , estou bastante satisfeito com isso como meu primeiro relógio inteligente 😗, usei este produto por 4 dias e vou classificar os vários recursos e diferentes aspectos deste smartwatch, que podem ajudar os clientes aqui -então, Bluetooth Chamando (4/5) - O microfone embutido deste relógio é excelente e a voz chega ao outro lado sem qualquer perturbação, o relógio se conecta sem problemas com o celular e não se desconecte automaticamente até fazer isso por meio de relógio ou telefone . Somente o golpe é que você não pode silenciar a chamada que é irritante em algum momento, espero que eles o corram com uma atualização. A melhor coisa é que também parece bom nos pulsos magros (pobre em mim, com pulso de 5,6 polegadas). Somente o golpe é que você pode fazer arranhões em exibição, portanto, proteja com ela algum tipo de tela de tela. Aposto que você não terá nenhuma experiência lenta. Conte etapas com precisão decente também. A precisão do sono também é aceitável. excelente. A voz chega ao outro lado sem nenhum distúrbio. A qualidade de construção é boa sobre os pulsos, mas você pode fazer arranhões na tela; portanto, proteja -o com algum guarda de tela. Você deve ir para este relógio, se quiser um smartwatch para o orçamento abaixo de 2000., é um bom relógio, mas eu enfrentei dois problemas, o primeiro é que não há nenhum recurso de aumento para acordar e o segundo é que não há não haver Opção para silenciar quando alguém te ligar ... acho que você deve comprá -lo se, na futura empresa, adicionar esses dois recursos ..., eu comprei recentemente o relógio Fire Boltt Phoenix e estou muito feliz com minha compra. O relógio é bastante elegante, e eu recebo elogios toda vez que o uso. O relógio também é bastante confortável de usar, e a alça é ajustável para caber em qualquer tamanho de pulso. O relógio também tem uma ótima duração da bateria, e eu posso passar dias sem ter que carregá -lo. O relógio também possui vários recursos, incluindo um contador de etapas, monitor de freqüência cardíaca e rastreador de sono. Todos esses recursos são muito úteis e facilitam o rastreamento da minha atividade e da saúde. No geral, estou muito satisfeito com minha compra e recomendo o relógio Fire Boltt Phoenix para quem procura um relógio elegante e funcional., Este relógio é absolutamente impressionante e de ótimo valor para o dinheiro. Realmente satisfeito com o design e a forma do relógio, definitivamente uma compra obrigatória para todas as pessoas. Louse a cor, a durabilidade e a precisão é super 👍. Basta ir em frente., Gostei do produto, ele possui muitos recursos como rastreamento de sono, SP02, medição de freqüência cardíaca, tocador de música, verificador de temperatura, meu único nitpick seria que ele só tem 2 jogos e, em segundo lugar, tem bons papéis de parede, mas um ben 10 Papel de parede Omnitrix daria uma aparência ainda mais incrível</v>
      </c>
    </row>
    <row r="338">
      <c r="A338" s="9" t="s">
        <v>1397</v>
      </c>
      <c r="B338" s="29" t="str">
        <f>VLOOKUP(dados!A338, reviews!A:G, 5, FALSE)</f>
        <v>Not Polished Enough. (Improving with updates),Best for the budget 👍,Value of money,nice product,Good product,Super value for money,Awesome product,Product itv</v>
      </c>
      <c r="C338" s="29" t="str">
        <f>VLOOKUP(dados!A338, reviews!A:G, 6, FALSE)</f>
        <v>[Update: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v>
      </c>
      <c r="D338" s="29" t="str">
        <f>IFERROR(__xludf.DUMMYFUNCTION("GOOGLETRANSLATE(B338, ""en"", ""pt-br"")"),"Não polido o suficiente. (Melhorando com atualizações), melhor para o orçamento 👍, valor do dinheiro, bom produto, bom produto, super valor ao dinheiro, produto incrível, produto ITV")</f>
        <v>Não polido o suficiente. (Melhorando com atualizações), melhor para o orçamento 👍, valor do dinheiro, bom produto, bom produto, super valor ao dinheiro, produto incrível, produto ITV</v>
      </c>
      <c r="E338" s="29" t="str">
        <f>IFERROR(__xludf.DUMMYFUNCTION("GOOGLETRANSLATE(C338, ""en"", ""pt-br"")"),"[Atualização: 29 de setembro] O barco parece ter ouvido o feedback 😀 e atualizado os rostos do relógio. Agora, existem alguns bons para escolher, mas uma ligeira melhora em relação àqueles que o relógio já teve. Um pouco impressionado. Adicionou uma estr"&amp;"ela para isso. Não é um produto muito polido. As fontes são brega e parecem feias no texto do texto do texto e do nome do nome do chamador. Os rostos do relógio são um trabalho de design preguiçoso. Não faz sentido ter 150 rostos de relógio se apenas 10-2"&amp;"0 forem bons ou utilizáveis. REST é inútil. [Atualização: 11 de outubro] O barco parece estar em uma onda de lançamento do Smartwatch. E graças a isso, eles estão constantemente atualizando o aplicativo de telefone e os rostos do relógio. Agora você tem m"&amp;"uitos rostos de relógio de boa aparência para escolher. Então, no geral, ainda a interface do usuário do SmartWatch precisa de trabalho. Mas pelo menos você tem um bom relógio faces. Eles poderiam ter tentado fazer alguma reforma no software chinês. Mas é"&amp;" um trabalho claramente preguiçoso da equipe de tecnologia. Um trabalho de cola de cópia para ser preciso para obter um software terceirizado e rebocar-o com logotipos de marca. Novamente, um trabalho da equipe de design / tecnologia / UI. O barco não pos"&amp;"sui uma boa equipe de designers e caras da interface do usuário para realmente oferecer recursos de software simples, porém bons, como bons rostos de relógio e bom relógio. Mesmo intervalo. Ruído colorfit pulse go buzz é mais barato e melhor alternativa +"&amp;" tem melhor relógio rostos e interface de usuário e resposta rápida às notificações e chama as opções de silêncio e mudo para preços mais baixos que este relógio claramente perdeu. Você pode optar por chamada de onda de barco - ele não é Um relógio ruim, "&amp;"mas há melhores opções disponíveis para o preço. Seus produtos são bons, mas a interface do usuário e o design são o que as pessoas veem e é isso que as faz se sentir bem com seus produtos. Você tem realmente uma interface do usuário médio., O relógio de "&amp;"chamada de ondas de barco é o melhor para o orçamento. peso. Touch é suave. Todos os recursos são 90-95% precisos., Um bom produto nessa faixa de preço deve comprar a qualidade da Itgood, boa qualidade, o bom produto é MST H, média para chamar de boa apar"&amp;"ência, estou muito feliz em comprar este relógio! É muito acessível ter tantos recursos. O recurso de chamada funciona muito bem! No geral, se você estiver com uma marca tão boa e bons recursos, vá para isso .., o produto não vira o retorno, retorne o ite"&amp;"m. Por favor.")</f>
        <v>[Atualização: 29 de setembro] O barco parece ter ouvido o feedback 😀 e atualizado os rostos do relógio. Agora, existem alguns bons para escolher, mas uma ligeira melhora em relação àqueles que o relógio já teve. Um pouco impressionado. Adicionou uma estrela para isso. Não é um produto muito polido. As fontes são brega e parecem feias no texto do texto do texto e do nome do nome do chamador. Os rostos do relógio são um trabalho de design preguiçoso. Não faz sentido ter 150 rostos de relógio se apenas 10-20 forem bons ou utilizáveis. REST é inútil. [Atualização: 11 de outubro] O barco parece estar em uma onda de lançamento do Smartwatch. E graças a isso, eles estão constantemente atualizando o aplicativo de telefone e os rostos do relógio. Agora você tem muitos rostos de relógio de boa aparência para escolher. Então, no geral, ainda a interface do usuário do SmartWatch precisa de trabalho. Mas pelo menos você tem um bom relógio faces. Eles poderiam ter tentado fazer alguma reforma no software chinês. Mas é um trabalho claramente preguiçoso da equipe de tecnologia. Um trabalho de cola de cópia para ser preciso para obter um software terceirizado e rebocar-o com logotipos de marca. Novamente, um trabalho da equipe de design / tecnologia / UI. O barco não possui uma boa equipe de designers e caras da interface do usuário para realmente oferecer recursos de software simples, porém bons, como bons rostos de relógio e bom relógio. Mesmo intervalo. Ruído colorfit pulse go buzz é mais barato e melhor alternativa + tem melhor relógio rostos e interface de usuário e resposta rápida às notificações e chama as opções de silêncio e mudo para preços mais baixos que este relógio claramente perdeu. Você pode optar por chamada de onda de barco - ele não é Um relógio ruim, mas há melhores opções disponíveis para o preço. Seus produtos são bons, mas a interface do usuário e o design são o que as pessoas veem e é isso que as faz se sentir bem com seus produtos. Você tem realmente uma interface do usuário médio., O relógio de chamada de ondas de barco é o melhor para o orçamento. peso. Touch é suave. Todos os recursos são 90-95% precisos., Um bom produto nessa faixa de preço deve comprar a qualidade da Itgood, boa qualidade, o bom produto é MST H, média para chamar de boa aparência, estou muito feliz em comprar este relógio! É muito acessível ter tantos recursos. O recurso de chamada funciona muito bem! No geral, se você estiver com uma marca tão boa e bons recursos, vá para isso .., o produto não vira o retorno, retorne o item. Por favor.</v>
      </c>
    </row>
    <row r="339">
      <c r="A339" s="9" t="s">
        <v>1401</v>
      </c>
      <c r="B339" s="29" t="str">
        <f>VLOOKUP(dados!A339, reviews!A:G, 5, FALSE)</f>
        <v>Ok product to buy,Better than any other power banks,👍,Nice product,Performance is OK,Very Slim &amp; easy to carry,Decent product,GOAT</v>
      </c>
      <c r="C339" s="29" t="str">
        <f>VLOOKUP(dados!A339, reviews!A:G, 6, FALSE)</f>
        <v>I haven’t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product,👍,But it’s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v>
      </c>
      <c r="D339" s="29" t="str">
        <f>IFERROR(__xludf.DUMMYFUNCTION("GOOGLETRANSLATE(B339, ""en"", ""pt-br"")"),"Ok produto para comprar, melhor do que qualquer outro banco de energia, 👍 👍, bom produto, desempenho é bom, muito esbelto e fácil de transportar, produto decente, cabra")</f>
        <v>Ok produto para comprar, melhor do que qualquer outro banco de energia, 👍 👍, bom produto, desempenho é bom, muito esbelto e fácil de transportar, produto decente, cabra</v>
      </c>
      <c r="E339" s="29" t="str">
        <f>IFERROR(__xludf.DUMMYFUNCTION("GOOGLETRANSLATE(C339, ""en"", ""pt-br"")"),"Não usei nenhuma outra bateria, portanto, não poderá fornecer o desempenho exato esperado. Simplificando, não é 20.000 dividir pelo tamanho da bateria do seu telefone será o tempo esperado. Se eu considerar isso como uma medida, diria que a capacidade da "&amp;"bateria é de cerca de 15000 mAh, feliz com o produto, 👍, mas é muito pesado, o dia a dia da bateria está reduzindo. Os parâmetros restantes são bons., Flim e fácil de transportar para viajar e muito bonito, estou muito satisfeito com este produto em gera"&amp;"l, mas leva de 4 a 5 horas para cobrar., Muito pesado. Deve ser cerca de 1-1.5kg. Muito rápido cobrança. Leva anos (quase 8 a 10 horas) para carregar completamente. Carreguei meu Samsung M53 duas vezes, uma vez cheia. Comprei recentemente o Mi Power Bank "&amp;"3i 20000mAh e fiquei extremamente impressionado com seu desempenho. Eu o testei pessoalmente com equipamentos de laboratório e descobri que ele tem uma capacidade de cerca de 19000mAh, o que é muito bom em comparação com outros bancos de energia no mercad"&amp;"o. Uma das coisas que aprecio no Mi Power Bank 3i é que é capaz de manter sua carga por um longo período de tempo. Eu não tive que recarregá -lo com tanta frequência quanto com outros bancos de energia. A construção é sólida e o Banco de Power não sofreu "&amp;"nenhum dano, apesar de ter sido carregado na minha bolsa diariamente. No geral, estou extremamente satisfeito com a compra do Mi Power Bank 3i 20000mAh e o recomendaria altamente a outros. É um banco de energia confiável e de alta qualidade que oferece su"&amp;"a capacidade anunciada.")</f>
        <v>Não usei nenhuma outra bateria, portanto, não poderá fornecer o desempenho exato esperado. Simplificando, não é 20.000 dividir pelo tamanho da bateria do seu telefone será o tempo esperado. Se eu considerar isso como uma medida, diria que a capacidade da bateria é de cerca de 15000 mAh, feliz com o produto, 👍, mas é muito pesado, o dia a dia da bateria está reduzindo. Os parâmetros restantes são bons., Flim e fácil de transportar para viajar e muito bonito, estou muito satisfeito com este produto em geral, mas leva de 4 a 5 horas para cobrar., Muito pesado. Deve ser cerca de 1-1.5kg. Muito rápido cobrança. Leva anos (quase 8 a 10 horas) para carregar completamente. Carreguei meu Samsung M53 duas vezes, uma vez cheia. Comprei recentemente o Mi Power Bank 3i 20000mAh e fiquei extremamente impressionado com seu desempenho. Eu o testei pessoalmente com equipamentos de laboratório e descobri que ele tem uma capacidade de cerca de 19000mAh, o que é muito bom em comparação com outros bancos de energia no mercado. Uma das coisas que aprecio no Mi Power Bank 3i é que é capaz de manter sua carga por um longo período de tempo. Eu não tive que recarregá -lo com tanta frequência quanto com outros bancos de energia. A construção é sólida e o Banco de Power não sofreu nenhum dano, apesar de ter sido carregado na minha bolsa diariamente. No geral, estou extremamente satisfeito com a compra do Mi Power Bank 3i 20000mAh e o recomendaria altamente a outros. É um banco de energia confiável e de alta qualidade que oferece sua capacidade anunciada.</v>
      </c>
    </row>
    <row r="340">
      <c r="A340" s="9" t="s">
        <v>1410</v>
      </c>
      <c r="B340" s="29" t="str">
        <f>VLOOKUP(dados!A340, reviews!A:G, 5, FALSE)</f>
        <v>If you leave it only to make calls or receive calls, then it is a completely useless phone.,Readmi a 1,Budget friendly phone.,Hi,Budget phone,Good for the price. But ANDROID 12 is actually GO Edition.,Good budget phone,10/10 value for money 🤑</v>
      </c>
      <c r="C340" s="29" t="str">
        <f>VLOOKUP(dados!A340, reviews!A:G, 6, FALSE)</f>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v>
      </c>
      <c r="D340" s="29" t="str">
        <f>IFERROR(__xludf.DUMMYFUNCTION("GOOGLETRANSLATE(B340, ""en"", ""pt-br"")"),"Se você deixar isso apenas para fazer chamadas ou receber chamadas, é um telefone completamente inútil., Readmi A 1, telefone amigável do orçamento., Oi, telefone orçamentário, bom para o preço. Mas o Android 12 é na verdade")</f>
        <v>Se você deixar isso apenas para fazer chamadas ou receber chamadas, é um telefone completamente inútil., Readmi A 1, telefone amigável do orçamento., Oi, telefone orçamentário, bom para o preço. Mas o Android 12 é na verdade</v>
      </c>
      <c r="E340" s="29" t="str">
        <f>IFERROR(__xludf.DUMMYFUNCTION("GOOGLETRANSLATE(C340, ""en"", ""pt-br"")"),"Eu uso este telefone há dois meses. De acordo com a faixa de preço, o backup da bateria e a qualidade da tela do telefone são bons. De acordo com esse intervalo, a câmera também está bem. Se olharmos para o desempenho, não é inútil, mas está tudo bem. Não"&amp;" enfrentei nenhum problema ao ligar. O telefone começa a ficar muito atrasado enquanto navega ou usa aplicativos de compras. Se eu der minha opinião, este telefone é bom para os pais .... Se você quiser comprar este telefone, compare -o com o Poco C31, po"&amp;"is agora não há muita diferença no preço., Tudo está bem, mas sim Slot 🎰 Danos, é um telefone muito bom nessa faixa de preço. É bom usar no dia hoje, use a vida., Olá, um bom telefone orçamentário, comprei isso para uso do escritório. Tem uma boa duração"&amp;" da bateria. E as características básicas do Android funcionam bem. No entanto, notei mais tarde que este é realmente o Android 12 Go Edition. Eu não me importo de usá -lo. Mas alguns recursos estão faltando (que a maioria das pessoas pode não usar). Melh"&amp;"or que o Nokia C01, que tem o Android 11 Go Edition e, no site, não há menção a nenhuma atualização. Então, com um orçamento de 6k, você pode definitivamente, mas este.")</f>
        <v>Eu uso este telefone há dois meses. De acordo com a faixa de preço, o backup da bateria e a qualidade da tela do telefone são bons. De acordo com esse intervalo, a câmera também está bem. Se olharmos para o desempenho, não é inútil, mas está tudo bem. Não enfrentei nenhum problema ao ligar. O telefone começa a ficar muito atrasado enquanto navega ou usa aplicativos de compras. Se eu der minha opinião, este telefone é bom para os pais .... Se você quiser comprar este telefone, compare -o com o Poco C31, pois agora não há muita diferença no preço., Tudo está bem, mas sim Slot 🎰 Danos, é um telefone muito bom nessa faixa de preço. É bom usar no dia hoje, use a vida., Olá, um bom telefone orçamentário, comprei isso para uso do escritório. Tem uma boa duração da bateria. E as características básicas do Android funcionam bem. No entanto, notei mais tarde que este é realmente o Android 12 Go Edition. Eu não me importo de usá -lo. Mas alguns recursos estão faltando (que a maioria das pessoas pode não usar). Melhor que o Nokia C01, que tem o Android 11 Go Edition e, no site, não há menção a nenhuma atualização. Então, com um orçamento de 6k, você pode definitivamente, mas este.</v>
      </c>
    </row>
    <row r="341">
      <c r="A341" s="9" t="s">
        <v>1417</v>
      </c>
      <c r="B341" s="29" t="str">
        <f>VLOOKUP(dados!A341, reviews!A:G, 5, FALSE)</f>
        <v>Really a Good Buy in this price range in 2022,Expected better Battery,Over-all a very balanced product.,Poor Battery life,Good,Temper glasses not istalle properly,It's 8 gb not working like 12gb,Apart from battery and sound quality, everything else is good.</v>
      </c>
      <c r="C341" s="29" t="str">
        <f>VLOOKUP(dados!A341, reviews!A:G, 6, FALSE)</f>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v>
      </c>
      <c r="D341" s="29" t="str">
        <f>IFERROR(__xludf.DUMMYFUNCTION("GOOGLETRANSLATE(B341, ""en"", ""pt-br"")"),"Realmente uma boa compra nessa faixa de preço em 2022, uma melhor bateria esperada, um produto muito equilibrado. , tudo o mais é bom.")</f>
        <v>Realmente uma boa compra nessa faixa de preço em 2022, uma melhor bateria esperada, um produto muito equilibrado. , tudo o mais é bom.</v>
      </c>
      <c r="E341" s="29" t="str">
        <f>IFERROR(__xludf.DUMMYFUNCTION("GOOGLETRANSLATE(C341, ""en"", ""pt-br"")"),"Veredicto: Uma compra sólida para este segmento de preços em 2022 (e mesmo para o início de 2023), existem 2 revisões nesta seção. A revisão 1 é 30 dias após a compra (os erros de digitação na revisão 1 são corrigidos agora) e a revisão 2 é 15 dias após a"&amp;" atualização do Android 13. Essas revisões são baseadas em minha própria experiência pessoal do dispositivo adquirido aqui na Amazon em 1 de agosto de 20222. Antes da atualização do OOS 13, o 5G (apenas para o JIO) foi ativado por outra atualização. 5G ai"&amp;"nda não está disponível na minha região. Portanto, os parâmetros relacionados ao 5G não são abordados nesta revisão. UP.I.E., não houve; não há problemas relacionados ao aquecimento.Não drenagem rápida da bateria.Não alteração no tempo de carregamento. Nã"&amp;"o é irritante Bugs.Não alteração no desempenho da câmera.beta Atualização é principalmente como uma atualização estável. Revisão: Delictos:&gt; Nenhum novo aplicativo adicionado. Absolutamente não.&gt; O consumo de armazenamento do sistema permanece o mesmo (13"&amp;",2 GB).&gt; As animações são mais fluídicas.&gt; Mais recursos da interface do usuário de personalização adicionados. (Widgets de escoteiros na tela inicial, pasta ampliada e lote mais.)&gt; O uso diário de dados está disponível no painel de notificação e não prec"&amp;"isa ser redefinido diariamente diferentemente. Antecedentes e tela também (mesmo para o YouTube) (realmente um recurso de boas-vindas e saudades, que outras UIs da marca não tiveram ou apenas com a tela desligada)&gt; A duração da bateria de espera melhorou "&amp;"substancialmente. do que antes.&gt; Nenhuma melhora nos níveis sonoros. Ainda 40% inicial é muito silencioso.&gt; Não Dolby Atomos (que foi mencionado para o OOS 13). Talvez, para aguardar a atualização estável.&gt; A latência de brilho automático é maior do que a"&amp;"ntes. O tempo de resposta está aumentado. ========================================= revisão 1: Verdict - Uma boa compra neste Faixa de preço em 2022. Nota:- Esta revisão é após o uso de um mês. A variante de 128 GB é bastante adequada para um uso normal. "&amp;"Nenhuma diferença perceptível observada. (Em aspecto não-gaming)- nada de grande ou observando pior nos parâmetros não mencionados. Velocidade de download muito rápida. Nenhum aquecimento do celular (apenas um leve aquecimento) durante o carregamento.&gt; St"&amp;"and By Charge e SOT é fantástico (ainda mais de 7,5 horas, para vídeos, YT e tarefas e chamadas gerais, mesmo em dados móveis sempre ON e AOD definido para economizar bateria .&gt; Oxigênio os = cor os/realme os - bloatware. A pele é realmente boa e nada par"&amp;"a reclamar como a interface do usuário de outras marcas. Os aplicativos são ""não instaláveis"". Nenhum dos grandes insetos que incomodam até a data. Frente) não está bem calibrado. O brilho está sempre no lado inferior e o aumento manual frequente necess"&amp;"ário. % de nível. Os alto -falantes estéreo são 70 % inferiores e 30 % de ouvido. Mas o volume total não distorce e é alto o suficiente.&gt; Os hápticos são apertados, mas não fortes, mesmo em níveis mais altos. Eficaz apenas poste 40% e melhor apenas a 90%)"&amp;"&gt; O hotspot drena a bateria rapidamente (mesmo uma notificação de aviso aparece). Além disso, o Chrome e o Google App comem a bateria rapidamente. Downloads paralelos deixam a área perto do módulo da câmera quente). Painel de notificação.&gt; O DAC Inbuild ("&amp;"não 3,5 mm de orifício e apenas porta Type-C) não é ótimo. O equalizador DIRAC também não está produzindo a melhor saída. Talvez o suporte Dolby Atmos no OOS 13 possa melhorar a saída de áudio. No geral, é um bom telefone celular. A velocidade e a interfa"&amp;"ce são boas, mas esperam que a bateria dure muito. Não muito, eu sempre o mantenho no modo de economia de bateria e trabalho por cerca de 18 a 20 horas em uso normal. Não há muitos temas disponíveis. A Samsung é melhor nesse sentido. Existem muitos papéis"&amp;" de parede e temas disponíveis. A tela é clara e a câmera também é boa! No geral, tudo bem., Eu recebi esta variante móvel (12 GB, 25 GB de RAM) a 31k após 3K de desconto no cartão de crédito ICICI. Por esse preço, é necessário comprar. Estou usando este "&amp;"produto desde as últimas 2 semanas. A câmera é muito boa e a Os alto -falantes de tela e esterio também estão funcionando muito bem. A única reclamação que posso dizer é que a duração da bateria poderia ter sido melhor, como profissional que trabalha, não"&amp;" faz muita diferença para mim, mas quem é um usuário pesado que eles precisam cobrar Duas vezes por dia. Se você não tiver problemas com a seção da bateria, basta optar por isso. Descanse tudo bem. Tenho que recarregar duas vezes por dia, não compre se vo"&amp;"cê quiser um bom backup da bateria. Mesmo que o telefone seja de carga rápida, estou decepcionado com a duração da bateria. Comprei 12 GB e 256 e está funcionando muito bem, Para uso regular normal, você pode ir em frente., há problemas com a parte do vid"&amp;"ro do temperamento, a área da área frontal tem temperatura de vidro que não está instalando, boa, mas não tão rápido quanto eu acho que 12 GB 256 é comum como 8 GB., Além da qualidade da bateria e do som, Todo o resto é bom.")</f>
        <v>Veredicto: Uma compra sólida para este segmento de preços em 2022 (e mesmo para o início de 2023), existem 2 revisões nesta seção. A revisão 1 é 30 dias após a compra (os erros de digitação na revisão 1 são corrigidos agora) e a revisão 2 é 15 dias após a atualização do Android 13. Essas revisões são baseadas em minha própria experiência pessoal do dispositivo adquirido aqui na Amazon em 1 de agosto de 20222. Antes da atualização do OOS 13, o 5G (apenas para o JIO) foi ativado por outra atualização. 5G ainda não está disponível na minha região. Portanto, os parâmetros relacionados ao 5G não são abordados nesta revisão. UP.I.E., não houve; não há problemas relacionados ao aquecimento.Não drenagem rápida da bateria.Não alteração no tempo de carregamento. Não é irritante Bugs.Não alteração no desempenho da câmera.beta Atualização é principalmente como uma atualização estável. Revisão: Delictos:&gt; Nenhum novo aplicativo adicionado. Absolutamente não.&gt; O consumo de armazenamento do sistema permanece o mesmo (13,2 GB).&gt; As animações são mais fluídicas.&gt; Mais recursos da interface do usuário de personalização adicionados. (Widgets de escoteiros na tela inicial, pasta ampliada e lote mais.)&gt; O uso diário de dados está disponível no painel de notificação e não precisa ser redefinido diariamente diferentemente. Antecedentes e tela também (mesmo para o YouTube) (realmente um recurso de boas-vindas e saudades, que outras UIs da marca não tiveram ou apenas com a tela desligada)&gt; A duração da bateria de espera melhorou substancialmente. do que antes.&gt; Nenhuma melhora nos níveis sonoros. Ainda 40% inicial é muito silencioso.&gt; Não Dolby Atomos (que foi mencionado para o OOS 13). Talvez, para aguardar a atualização estável.&gt; A latência de brilho automático é maior do que antes. O tempo de resposta está aumentado. ========================================= revisão 1: Verdict - Uma boa compra neste Faixa de preço em 2022. Nota:- Esta revisão é após o uso de um mês. A variante de 128 GB é bastante adequada para um uso normal. Nenhuma diferença perceptível observada. (Em aspecto não-gaming)- nada de grande ou observando pior nos parâmetros não mencionados. Velocidade de download muito rápida. Nenhum aquecimento do celular (apenas um leve aquecimento) durante o carregamento.&gt; Stand By Charge e SOT é fantástico (ainda mais de 7,5 horas, para vídeos, YT e tarefas e chamadas gerais, mesmo em dados móveis sempre ON e AOD definido para economizar bateria .&gt; Oxigênio os = cor os/realme os - bloatware. A pele é realmente boa e nada para reclamar como a interface do usuário de outras marcas. Os aplicativos são "não instaláveis". Nenhum dos grandes insetos que incomodam até a data. Frente) não está bem calibrado. O brilho está sempre no lado inferior e o aumento manual frequente necessário. % de nível. Os alto -falantes estéreo são 70 % inferiores e 30 % de ouvido. Mas o volume total não distorce e é alto o suficiente.&gt; Os hápticos são apertados, mas não fortes, mesmo em níveis mais altos. Eficaz apenas poste 40% e melhor apenas a 90%)&gt; O hotspot drena a bateria rapidamente (mesmo uma notificação de aviso aparece). Além disso, o Chrome e o Google App comem a bateria rapidamente. Downloads paralelos deixam a área perto do módulo da câmera quente). Painel de notificação.&gt; O DAC Inbuild (não 3,5 mm de orifício e apenas porta Type-C) não é ótimo. O equalizador DIRAC também não está produzindo a melhor saída. Talvez o suporte Dolby Atmos no OOS 13 possa melhorar a saída de áudio. No geral, é um bom telefone celular. A velocidade e a interface são boas, mas esperam que a bateria dure muito. Não muito, eu sempre o mantenho no modo de economia de bateria e trabalho por cerca de 18 a 20 horas em uso normal. Não há muitos temas disponíveis. A Samsung é melhor nesse sentido. Existem muitos papéis de parede e temas disponíveis. A tela é clara e a câmera também é boa! No geral, tudo bem., Eu recebi esta variante móvel (12 GB, 25 GB de RAM) a 31k após 3K de desconto no cartão de crédito ICICI. Por esse preço, é necessário comprar. Estou usando este produto desde as últimas 2 semanas. A câmera é muito boa e a Os alto -falantes de tela e esterio também estão funcionando muito bem. A única reclamação que posso dizer é que a duração da bateria poderia ter sido melhor, como profissional que trabalha, não faz muita diferença para mim, mas quem é um usuário pesado que eles precisam cobrar Duas vezes por dia. Se você não tiver problemas com a seção da bateria, basta optar por isso. Descanse tudo bem. Tenho que recarregar duas vezes por dia, não compre se você quiser um bom backup da bateria. Mesmo que o telefone seja de carga rápida, estou decepcionado com a duração da bateria. Comprei 12 GB e 256 e está funcionando muito bem, Para uso regular normal, você pode ir em frente., há problemas com a parte do vidro do temperamento, a área da área frontal tem temperatura de vidro que não está instalando, boa, mas não tão rápido quanto eu acho que 12 GB 256 é comum como 8 GB., Além da qualidade da bateria e do som, Todo o resto é bom.</v>
      </c>
    </row>
    <row r="342">
      <c r="A342" s="9" t="s">
        <v>1421</v>
      </c>
      <c r="B342" s="29" t="str">
        <f>VLOOKUP(dados!A342, reviews!A:G, 5, FALSE)</f>
        <v>Really a Good Buy in this price range in 2022,Expected better Battery,Over-all a very balanced product.,Poor Battery life,Good,Temper glasses not istalle properly,It's 8 gb not working like 12gb,Apart from battery and sound quality, everything else is good.</v>
      </c>
      <c r="C342" s="29" t="str">
        <f>VLOOKUP(dados!A342, reviews!A:G, 6, FALSE)</f>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v>
      </c>
      <c r="D342" s="29" t="str">
        <f>IFERROR(__xludf.DUMMYFUNCTION("GOOGLETRANSLATE(B342, ""en"", ""pt-br"")"),"Realmente uma boa compra nessa faixa de preço em 2022, uma melhor bateria esperada, um produto muito equilibrado. , tudo o mais é bom.")</f>
        <v>Realmente uma boa compra nessa faixa de preço em 2022, uma melhor bateria esperada, um produto muito equilibrado. , tudo o mais é bom.</v>
      </c>
      <c r="E342" s="29" t="str">
        <f>IFERROR(__xludf.DUMMYFUNCTION("GOOGLETRANSLATE(C342, ""en"", ""pt-br"")"),"Veredicto: Uma compra sólida para este segmento de preços em 2022 (e mesmo para o início de 2023), existem 2 revisões nesta seção. A revisão 1 é 30 dias após a compra (os erros de digitação na revisão 1 são corrigidos agora) e a revisão 2 é 15 dias após a"&amp;" atualização do Android 13. Essas revisões são baseadas em minha própria experiência pessoal do dispositivo adquirido aqui na Amazon em 1 de agosto de 20222. Antes da atualização do OOS 13, o 5G (apenas para o JIO) foi ativado por outra atualização. 5G ai"&amp;"nda não está disponível na minha região. Portanto, os parâmetros relacionados ao 5G não são abordados nesta revisão. UP.I.E., não houve; não há problemas relacionados ao aquecimento.Não drenagem rápida da bateria.Não alteração no tempo de carregamento. Nã"&amp;"o é irritante Bugs.Não alteração no desempenho da câmera.beta Atualização é principalmente como uma atualização estável. Revisão: Delictos:&gt; Nenhum novo aplicativo adicionado. Absolutamente não.&gt; O consumo de armazenamento do sistema permanece o mesmo (13"&amp;",2 GB).&gt; As animações são mais fluídicas.&gt; Mais recursos da interface do usuário de personalização adicionados. (Widgets de escoteiros na tela inicial, pasta ampliada e lote mais.)&gt; O uso diário de dados está disponível no painel de notificação e não prec"&amp;"isa ser redefinido diariamente diferentemente. Antecedentes e tela também (mesmo para o YouTube) (realmente um recurso de boas-vindas e saudades, que outras UIs da marca não tiveram ou apenas com a tela desligada)&gt; A duração da bateria de espera melhorou "&amp;"substancialmente. do que antes.&gt; Nenhuma melhora nos níveis sonoros. Ainda 40% inicial é muito silencioso.&gt; Não Dolby Atomos (que foi mencionado para o OOS 13). Talvez, para aguardar a atualização estável.&gt; A latência de brilho automático é maior do que a"&amp;"ntes. O tempo de resposta está aumentado. ========================================= revisão 1: Verdict - Uma boa compra neste Faixa de preço em 2022. Nota:- Esta revisão é após o uso de um mês. A variante de 128 GB é bastante adequada para um uso normal. "&amp;"Nenhuma diferença perceptível observada. (Em aspecto não-gaming)- nada de grande ou observando pior nos parâmetros não mencionados. Velocidade de download muito rápida. Nenhum aquecimento do celular (apenas um leve aquecimento) durante o carregamento.&gt; St"&amp;"and By Charge e SOT é fantástico (ainda mais de 7,5 horas, para vídeos, YT e tarefas e chamadas gerais, mesmo em dados móveis sempre ON e AOD definido para economizar bateria .&gt; Oxigênio os = cor os/realme os - bloatware. A pele é realmente boa e nada par"&amp;"a reclamar como a interface do usuário de outras marcas. Os aplicativos são ""não instaláveis"". Nenhum dos grandes insetos que incomodam até a data. Frente) não está bem calibrado. O brilho está sempre no lado inferior e o aumento manual frequente necess"&amp;"ário. % de nível. Os alto -falantes estéreo são 70 % inferiores e 30 % de ouvido. Mas o volume total não distorce e é alto o suficiente.&gt; Os hápticos são apertados, mas não fortes, mesmo em níveis mais altos. Eficaz apenas poste 40% e melhor apenas a 90%)"&amp;"&gt; O hotspot drena a bateria rapidamente (mesmo uma notificação de aviso aparece). Além disso, o Chrome e o Google App comem a bateria rapidamente. Downloads paralelos deixam a área perto do módulo da câmera quente). Painel de notificação.&gt; O DAC Inbuild ("&amp;"não 3,5 mm de orifício e apenas porta Type-C) não é ótimo. O equalizador DIRAC também não está produzindo a melhor saída. Talvez o suporte Dolby Atmos no OOS 13 possa melhorar a saída de áudio. No geral, é um bom telefone celular. A velocidade e a interfa"&amp;"ce são boas, mas esperam que a bateria dure muito. Não muito, eu sempre o mantenho no modo de economia de bateria e trabalho por cerca de 18 a 20 horas em uso normal. Não há muitos temas disponíveis. A Samsung é melhor nesse sentido. Existem muitos papéis"&amp;" de parede e temas disponíveis. A tela é clara e a câmera também é boa! No geral, tudo bem., Eu recebi esta variante móvel (12 GB, 25 GB de RAM) a 31k após 3K de desconto no cartão de crédito ICICI. Por esse preço, é necessário comprar. Estou usando este "&amp;"produto desde as últimas 2 semanas. A câmera é muito boa e a Os alto -falantes de tela e esterio também estão funcionando muito bem. A única reclamação que posso dizer é que a duração da bateria poderia ter sido melhor, como profissional que trabalha, não"&amp;" faz muita diferença para mim, mas quem é um usuário pesado que eles precisam cobrar Duas vezes por dia. Se você não tiver problemas com a seção da bateria, basta optar por isso. Descanse tudo bem. Tenho que recarregar duas vezes por dia, não compre se vo"&amp;"cê quiser um bom backup da bateria. Mesmo que o telefone seja de carga rápida, estou decepcionado com a duração da bateria. Comprei 12 GB e 256 e está funcionando muito bem, Para uso regular normal, você pode ir em frente., há problemas com a parte do vid"&amp;"ro do temperamento, a área da área frontal tem temperatura de vidro que não está instalando, boa, mas não tão rápido quanto eu acho que 12 GB 256 é comum como 8 GB., Além da qualidade da bateria e do som, Todo o resto é bom.")</f>
        <v>Veredicto: Uma compra sólida para este segmento de preços em 2022 (e mesmo para o início de 2023), existem 2 revisões nesta seção. A revisão 1 é 30 dias após a compra (os erros de digitação na revisão 1 são corrigidos agora) e a revisão 2 é 15 dias após a atualização do Android 13. Essas revisões são baseadas em minha própria experiência pessoal do dispositivo adquirido aqui na Amazon em 1 de agosto de 20222. Antes da atualização do OOS 13, o 5G (apenas para o JIO) foi ativado por outra atualização. 5G ainda não está disponível na minha região. Portanto, os parâmetros relacionados ao 5G não são abordados nesta revisão. UP.I.E., não houve; não há problemas relacionados ao aquecimento.Não drenagem rápida da bateria.Não alteração no tempo de carregamento. Não é irritante Bugs.Não alteração no desempenho da câmera.beta Atualização é principalmente como uma atualização estável. Revisão: Delictos:&gt; Nenhum novo aplicativo adicionado. Absolutamente não.&gt; O consumo de armazenamento do sistema permanece o mesmo (13,2 GB).&gt; As animações são mais fluídicas.&gt; Mais recursos da interface do usuário de personalização adicionados. (Widgets de escoteiros na tela inicial, pasta ampliada e lote mais.)&gt; O uso diário de dados está disponível no painel de notificação e não precisa ser redefinido diariamente diferentemente. Antecedentes e tela também (mesmo para o YouTube) (realmente um recurso de boas-vindas e saudades, que outras UIs da marca não tiveram ou apenas com a tela desligada)&gt; A duração da bateria de espera melhorou substancialmente. do que antes.&gt; Nenhuma melhora nos níveis sonoros. Ainda 40% inicial é muito silencioso.&gt; Não Dolby Atomos (que foi mencionado para o OOS 13). Talvez, para aguardar a atualização estável.&gt; A latência de brilho automático é maior do que antes. O tempo de resposta está aumentado. ========================================= revisão 1: Verdict - Uma boa compra neste Faixa de preço em 2022. Nota:- Esta revisão é após o uso de um mês. A variante de 128 GB é bastante adequada para um uso normal. Nenhuma diferença perceptível observada. (Em aspecto não-gaming)- nada de grande ou observando pior nos parâmetros não mencionados. Velocidade de download muito rápida. Nenhum aquecimento do celular (apenas um leve aquecimento) durante o carregamento.&gt; Stand By Charge e SOT é fantástico (ainda mais de 7,5 horas, para vídeos, YT e tarefas e chamadas gerais, mesmo em dados móveis sempre ON e AOD definido para economizar bateria .&gt; Oxigênio os = cor os/realme os - bloatware. A pele é realmente boa e nada para reclamar como a interface do usuário de outras marcas. Os aplicativos são "não instaláveis". Nenhum dos grandes insetos que incomodam até a data. Frente) não está bem calibrado. O brilho está sempre no lado inferior e o aumento manual frequente necessário. % de nível. Os alto -falantes estéreo são 70 % inferiores e 30 % de ouvido. Mas o volume total não distorce e é alto o suficiente.&gt; Os hápticos são apertados, mas não fortes, mesmo em níveis mais altos. Eficaz apenas poste 40% e melhor apenas a 90%)&gt; O hotspot drena a bateria rapidamente (mesmo uma notificação de aviso aparece). Além disso, o Chrome e o Google App comem a bateria rapidamente. Downloads paralelos deixam a área perto do módulo da câmera quente). Painel de notificação.&gt; O DAC Inbuild (não 3,5 mm de orifício e apenas porta Type-C) não é ótimo. O equalizador DIRAC também não está produzindo a melhor saída. Talvez o suporte Dolby Atmos no OOS 13 possa melhorar a saída de áudio. No geral, é um bom telefone celular. A velocidade e a interface são boas, mas esperam que a bateria dure muito. Não muito, eu sempre o mantenho no modo de economia de bateria e trabalho por cerca de 18 a 20 horas em uso normal. Não há muitos temas disponíveis. A Samsung é melhor nesse sentido. Existem muitos papéis de parede e temas disponíveis. A tela é clara e a câmera também é boa! No geral, tudo bem., Eu recebi esta variante móvel (12 GB, 25 GB de RAM) a 31k após 3K de desconto no cartão de crédito ICICI. Por esse preço, é necessário comprar. Estou usando este produto desde as últimas 2 semanas. A câmera é muito boa e a Os alto -falantes de tela e esterio também estão funcionando muito bem. A única reclamação que posso dizer é que a duração da bateria poderia ter sido melhor, como profissional que trabalha, não faz muita diferença para mim, mas quem é um usuário pesado que eles precisam cobrar Duas vezes por dia. Se você não tiver problemas com a seção da bateria, basta optar por isso. Descanse tudo bem. Tenho que recarregar duas vezes por dia, não compre se você quiser um bom backup da bateria. Mesmo que o telefone seja de carga rápida, estou decepcionado com a duração da bateria. Comprei 12 GB e 256 e está funcionando muito bem, Para uso regular normal, você pode ir em frente., há problemas com a parte do vidro do temperamento, a área da área frontal tem temperatura de vidro que não está instalando, boa, mas não tão rápido quanto eu acho que 12 GB 256 é comum como 8 GB., Além da qualidade da bateria e do som, Todo o resto é bom.</v>
      </c>
    </row>
    <row r="343">
      <c r="A343" s="9" t="s">
        <v>1425</v>
      </c>
      <c r="B343" s="29" t="str">
        <f>VLOOKUP(dados!A343, reviews!A:G, 5, FALSE)</f>
        <v>If you leave it only to make calls or receive calls, then it is a completely useless phone.,Readmi a 1,Budget friendly phone.,Hi,Budget phone,Good for the price. But ANDROID 12 is actually GO Edition.,Good budget phone,10/10 value for money 🤑</v>
      </c>
      <c r="C343" s="29" t="str">
        <f>VLOOKUP(dados!A343, reviews!A:G, 6, FALSE)</f>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v>
      </c>
      <c r="D343" s="29" t="str">
        <f>IFERROR(__xludf.DUMMYFUNCTION("GOOGLETRANSLATE(B343, ""en"", ""pt-br"")"),"Se você deixar isso apenas para fazer chamadas ou receber chamadas, é um telefone completamente inútil., Readmi A 1, telefone amigável do orçamento., Oi, telefone orçamentário, bom para o preço. Mas o Android 12 é na verdade")</f>
        <v>Se você deixar isso apenas para fazer chamadas ou receber chamadas, é um telefone completamente inútil., Readmi A 1, telefone amigável do orçamento., Oi, telefone orçamentário, bom para o preço. Mas o Android 12 é na verdade</v>
      </c>
      <c r="E343" s="29" t="str">
        <f>IFERROR(__xludf.DUMMYFUNCTION("GOOGLETRANSLATE(C343, ""en"", ""pt-br"")"),"Eu uso este telefone há dois meses. De acordo com a faixa de preço, o backup da bateria e a qualidade da tela do telefone são bons. De acordo com esse intervalo, a câmera também está bem. Se olharmos para o desempenho, não é inútil, mas está tudo bem. Não"&amp;" enfrentei nenhum problema ao ligar. O telefone começa a ficar muito atrasado enquanto navega ou usa aplicativos de compras. Se eu der minha opinião, este telefone é bom para os pais .... Se você quiser comprar este telefone, compare -o com o Poco C31, po"&amp;"is agora não há muita diferença no preço., Tudo está bem, mas sim Slot 🎰 Danos, é um telefone muito bom nessa faixa de preço. É bom usar no dia hoje, use a vida., Olá, um bom telefone orçamentário, comprei isso para uso do escritório. Tem uma boa duração"&amp;" da bateria. E as características básicas do Android funcionam bem. No entanto, notei mais tarde que este é realmente o Android 12 Go Edition. Eu não me importo de usá -lo. Mas alguns recursos estão faltando (que a maioria das pessoas pode não usar). Melh"&amp;"or que o Nokia C01, que tem o Android 11 Go Edition e, no site, não há menção a nenhuma atualização. Então, com um orçamento de 6k, você pode definitivamente, mas este.")</f>
        <v>Eu uso este telefone há dois meses. De acordo com a faixa de preço, o backup da bateria e a qualidade da tela do telefone são bons. De acordo com esse intervalo, a câmera também está bem. Se olharmos para o desempenho, não é inútil, mas está tudo bem. Não enfrentei nenhum problema ao ligar. O telefone começa a ficar muito atrasado enquanto navega ou usa aplicativos de compras. Se eu der minha opinião, este telefone é bom para os pais .... Se você quiser comprar este telefone, compare -o com o Poco C31, pois agora não há muita diferença no preço., Tudo está bem, mas sim Slot 🎰 Danos, é um telefone muito bom nessa faixa de preço. É bom usar no dia hoje, use a vida., Olá, um bom telefone orçamentário, comprei isso para uso do escritório. Tem uma boa duração da bateria. E as características básicas do Android funcionam bem. No entanto, notei mais tarde que este é realmente o Android 12 Go Edition. Eu não me importo de usá -lo. Mas alguns recursos estão faltando (que a maioria das pessoas pode não usar). Melhor que o Nokia C01, que tem o Android 11 Go Edition e, no site, não há menção a nenhuma atualização. Então, com um orçamento de 6k, você pode definitivamente, mas este.</v>
      </c>
    </row>
    <row r="344">
      <c r="A344" s="9" t="s">
        <v>1428</v>
      </c>
      <c r="B344" s="29" t="str">
        <f>VLOOKUP(dados!A344, reviews!A:G, 5, FALSE)</f>
        <v>If you leave it only to make calls or receive calls, then it is a completely useless phone.,Readmi a 1,Budget friendly phone.,Hi,Budget phone,Good for the price. But ANDROID 12 is actually GO Edition.,Good budget phone,10/10 value for money 🤑</v>
      </c>
      <c r="C344" s="29" t="str">
        <f>VLOOKUP(dados!A344, reviews!A:G, 6, FALSE)</f>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v>
      </c>
      <c r="D344" s="29" t="str">
        <f>IFERROR(__xludf.DUMMYFUNCTION("GOOGLETRANSLATE(B344, ""en"", ""pt-br"")"),"Se você deixar isso apenas para fazer chamadas ou receber chamadas, é um telefone completamente inútil., Readmi A 1, telefone amigável do orçamento., Oi, telefone orçamentário, bom para o preço. Mas o Android 12 é na verdade")</f>
        <v>Se você deixar isso apenas para fazer chamadas ou receber chamadas, é um telefone completamente inútil., Readmi A 1, telefone amigável do orçamento., Oi, telefone orçamentário, bom para o preço. Mas o Android 12 é na verdade</v>
      </c>
      <c r="E344" s="29" t="str">
        <f>IFERROR(__xludf.DUMMYFUNCTION("GOOGLETRANSLATE(C344, ""en"", ""pt-br"")"),"Eu uso este telefone há dois meses. De acordo com a faixa de preço, o backup da bateria e a qualidade da tela do telefone são bons. De acordo com esse intervalo, a câmera também está bem. Se olharmos para o desempenho, não é inútil, mas está tudo bem. Não"&amp;" enfrentei nenhum problema ao ligar. O telefone começa a ficar muito atrasado enquanto navega ou usa aplicativos de compras. Se eu der minha opinião, este telefone é bom para os pais .... Se você quiser comprar este telefone, compare -o com o Poco C31, po"&amp;"is agora não há muita diferença no preço., Tudo está bem, mas sim Slot 🎰 Danos, é um telefone muito bom nessa faixa de preço. É bom usar no dia hoje, use a vida., Olá, um bom telefone orçamentário, comprei isso para uso do escritório. Tem uma boa duração"&amp;" da bateria. E as características básicas do Android funcionam bem. No entanto, notei mais tarde que este é realmente o Android 12 Go Edition. Eu não me importo de usá -lo. Mas alguns recursos estão faltando (que a maioria das pessoas pode não usar). Melh"&amp;"or que o Nokia C01, que tem o Android 11 Go Edition e, no site, não há menção a nenhuma atualização. Então, com um orçamento de 6k, você pode definitivamente, mas este.")</f>
        <v>Eu uso este telefone há dois meses. De acordo com a faixa de preço, o backup da bateria e a qualidade da tela do telefone são bons. De acordo com esse intervalo, a câmera também está bem. Se olharmos para o desempenho, não é inútil, mas está tudo bem. Não enfrentei nenhum problema ao ligar. O telefone começa a ficar muito atrasado enquanto navega ou usa aplicativos de compras. Se eu der minha opinião, este telefone é bom para os pais .... Se você quiser comprar este telefone, compare -o com o Poco C31, pois agora não há muita diferença no preço., Tudo está bem, mas sim Slot 🎰 Danos, é um telefone muito bom nessa faixa de preço. É bom usar no dia hoje, use a vida., Olá, um bom telefone orçamentário, comprei isso para uso do escritório. Tem uma boa duração da bateria. E as características básicas do Android funcionam bem. No entanto, notei mais tarde que este é realmente o Android 12 Go Edition. Eu não me importo de usá -lo. Mas alguns recursos estão faltando (que a maioria das pessoas pode não usar). Melhor que o Nokia C01, que tem o Android 11 Go Edition e, no site, não há menção a nenhuma atualização. Então, com um orçamento de 6k, você pode definitivamente, mas este.</v>
      </c>
    </row>
    <row r="345">
      <c r="A345" s="9" t="s">
        <v>1431</v>
      </c>
      <c r="B345" s="29" t="str">
        <f>VLOOKUP(dados!A345, reviews!A:G, 5, FALSE)</f>
        <v>Fake Product,Costly but excellent quality,Storage good but don't know how to Activate warantee??,Good for use,5 stas nahi diya kyuki capacity 477gb hi rahta hai,Speed not as advertise,Good one,It's ok</v>
      </c>
      <c r="C345" s="29" t="str">
        <f>VLOOKUP(dados!A345, reviews!A:G, 6, FALSE)</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c r="D345" s="29" t="str">
        <f>IFERROR(__xludf.DUMMYFUNCTION("GOOGLETRANSLATE(B345, ""en"", ""pt-br"")"),"Produto falso, caro, mas excelente qualidade, armazenamento bom, mas não sei como ativar a Warantee?")</f>
        <v>Produto falso, caro, mas excelente qualidade, armazenamento bom, mas não sei como ativar a Warantee?</v>
      </c>
      <c r="E345" s="29" t="str">
        <f>IFERROR(__xludf.DUMMYFUNCTION("GOOGLETRANSLATE(C345, ""en"", ""pt-br"")"),"O cartão SD de 128 GB está mostrando 134gbdon não comprar este produto, foi um pouco caro, mas o Prouduct é de ótima qualidade. Poderia ter sido feito um pouco mais barato. , O produto está ok.")</f>
        <v>O cartão SD de 128 GB está mostrando 134gbdon não comprar este produto, foi um pouco caro, mas o Prouduct é de ótima qualidade. Poderia ter sido feito um pouco mais barato. , O produto está ok.</v>
      </c>
    </row>
    <row r="346">
      <c r="A346" s="9" t="s">
        <v>1438</v>
      </c>
      <c r="B346" s="29" t="str">
        <f>VLOOKUP(dados!A346, reviews!A:G, 5, FALSE)</f>
        <v>Sumit Nath,For the price, it is a good purchase but can be better,Happy with product...,It's really smart with elegant design,Amazing,Noise,All good,Good</v>
      </c>
      <c r="C346" s="29" t="str">
        <f>VLOOKUP(dados!A346, reviews!A:G, 6, FALSE)</f>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v>
      </c>
      <c r="D346" s="29" t="str">
        <f>IFERROR(__xludf.DUMMYFUNCTION("GOOGLETRANSLATE(B346, ""en"", ""pt-br"")"),"Sumit Nath, pelo preço, é uma boa compra, mas pode ser melhor, feliz com o produto ..., é realmente inteligente com design elegante, incrível, ruído, tudo de bom, bom")</f>
        <v>Sumit Nath, pelo preço, é uma boa compra, mas pode ser melhor, feliz com o produto ..., é realmente inteligente com design elegante, incrível, ruído, tudo de bom, bom</v>
      </c>
      <c r="E346" s="29" t="str">
        <f>IFERROR(__xludf.DUMMYFUNCTION("GOOGLETRANSLATE(C346, ""en"", ""pt-br"")"),"A tela de toque funciona bem. A contagem do passo não é muito precisa, o sensor de batida cardíaca é bastante preciso, mas acho que a medição do SPO2 e o estresse não são muito precisas, o relógio é ótimo para o preço. A maioria das coisas funciona muito "&amp;"bem. Tem uma ótima duração da bateria. Como roupas diárias, não há muito com que se preocupar. Ele detecta atividade, mas isso acontece apenas após um período considerável de tempo (20 minutos). Não se pode alterar a sensibilidade ou o tempo de detecção d"&amp;"e atividade. O relógio não é muito intuitivo de usar. Geralmente é ótimo e a maioria dos recursos pode ser acessada com facilidade, mas certas coisas recebem mais cliques e torneiras do que deve ser necessário em um dispositivo compacto. Portanto, todos o"&amp;"s recursos estão lá, mas leva um pouco de tempo para encontrá -los. O rastreamento do SLEEP é decente. As chamadas de telefone têm boa qualidade. As pessoas podem ouvir sua voz, mesmo que haja perturbações razoáveis. Se você atendeu pelo telefone e agora "&amp;"deseja mudar para o seu relógio, não pode fazer isso. E você só pode economizar no máximo 10 contatos. Você não pode discar números. Mas o microfone e o alto -falante do relógio são bons também, uma coisa confusa é: por que o relógio não tem alarmes de áu"&amp;"dio, quando é capaz de produzir som?, O que eu preciso no relógio não está disponível, então não precisa disso .. . pode obtê -lo no relógio normal de outras marcas, a aparência é incrível. Esta é uma ótima sugestão de produtos da Amazon. Obrigado, gosto "&amp;"da contagem de etapas e da precisão da frequência cardíaca. Não tenho certeza sobre a contagem de tensão às vezes isso mostra imprecisa., A conectividade Bluetooth precisa ser melhorada e tocando também, tudo bem, mas o vidro anti -scratch necessário nest"&amp;"e relógio, bom relógio, vá em frente")</f>
        <v>A tela de toque funciona bem. A contagem do passo não é muito precisa, o sensor de batida cardíaca é bastante preciso, mas acho que a medição do SPO2 e o estresse não são muito precisas, o relógio é ótimo para o preço. A maioria das coisas funciona muito bem. Tem uma ótima duração da bateria. Como roupas diárias, não há muito com que se preocupar. Ele detecta atividade, mas isso acontece apenas após um período considerável de tempo (20 minutos). Não se pode alterar a sensibilidade ou o tempo de detecção de atividade. O relógio não é muito intuitivo de usar. Geralmente é ótimo e a maioria dos recursos pode ser acessada com facilidade, mas certas coisas recebem mais cliques e torneiras do que deve ser necessário em um dispositivo compacto. Portanto, todos os recursos estão lá, mas leva um pouco de tempo para encontrá -los. O rastreamento do SLEEP é decente. As chamadas de telefone têm boa qualidade. As pessoas podem ouvir sua voz, mesmo que haja perturbações razoáveis. Se você atendeu pelo telefone e agora deseja mudar para o seu relógio, não pode fazer isso. E você só pode economizar no máximo 10 contatos. Você não pode discar números. Mas o microfone e o alto -falante do relógio são bons também, uma coisa confusa é: por que o relógio não tem alarmes de áudio, quando é capaz de produzir som?, O que eu preciso no relógio não está disponível, então não precisa disso .. . pode obtê -lo no relógio normal de outras marcas, a aparência é incrível. Esta é uma ótima sugestão de produtos da Amazon. Obrigado, gosto da contagem de etapas e da precisão da frequência cardíaca. Não tenho certeza sobre a contagem de tensão às vezes isso mostra imprecisa., A conectividade Bluetooth precisa ser melhorada e tocando também, tudo bem, mas o vidro anti -scratch necessário neste relógio, bom relógio, vá em frente</v>
      </c>
    </row>
    <row r="347">
      <c r="A347" s="9" t="s">
        <v>1442</v>
      </c>
      <c r="B347" s="29" t="str">
        <f>VLOOKUP(dados!A347, reviews!A:G, 5, FALSE)</f>
        <v>Centre key,Nice phone,Good for Exam preparing students,Center button is not good,Battery runs out quickly,Nokia trusted brand only needs to improve ringtone sound,best phone,..</v>
      </c>
      <c r="C347" s="29" t="str">
        <f>VLOOKUP(dados!A347, reviews!A:G, 6, FALSE)</f>
        <v>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v>
      </c>
      <c r="D347" s="29" t="str">
        <f>IFERROR(__xludf.DUMMYFUNCTION("GOOGLETRANSLATE(B347, ""en"", ""pt-br"")"),"Chave central, bom telefone, bom para preparar os alunos, o botão central não é bom, a bateria acaba rapidamente, a marca Nokia Trusted só precisa melhorar o som do toque, o melhor telefone, ..")</f>
        <v>Chave central, bom telefone, bom para preparar os alunos, o botão central não é bom, a bateria acaba rapidamente, a marca Nokia Trusted só precisa melhorar o som do toque, o melhor telefone, ..</v>
      </c>
      <c r="E347" s="29" t="str">
        <f>IFERROR(__xludf.DUMMYFUNCTION("GOOGLETRANSLATE(C347, ""en"", ""pt-br"")"),"O telefone está ok, exceto o botão do meio, é uma dor de cabeça. REST Tudo o bom bateria LYF é de cerca de 10 a 12 horas quando carregado e excelente duração da bateria por mais de 3 dias, comprei este telefone para usar como substituição do meu smartphon"&amp;"e para chamadas, alarme, músicas de escuta. Enfrente qualquer problema, mas o som e sua qualidade são um pouco baixos em comparação com os smartphones normais. A qualidade da música não é tão boa e nem é ruim, mas ok ao ouvir fones de ouvido. Eu só o uso "&amp;"para receber SMS &amp; Calls &amp; Ocassionalmente para ouvir músicas e backup de bateria é muito bom que dura até 7 dias etc. para 1 carga completa . É preciso mais de uma tentativa às vezes para executar uma ação OK., Backup de bateria, precisa melhorar o som d"&amp;"o toque, o melhor telefone. A Nokia é sempre melhor. Preço Thodi Kam Karni Chahiye., Gosto deste produto")</f>
        <v>O telefone está ok, exceto o botão do meio, é uma dor de cabeça. REST Tudo o bom bateria LYF é de cerca de 10 a 12 horas quando carregado e excelente duração da bateria por mais de 3 dias, comprei este telefone para usar como substituição do meu smartphone para chamadas, alarme, músicas de escuta. Enfrente qualquer problema, mas o som e sua qualidade são um pouco baixos em comparação com os smartphones normais. A qualidade da música não é tão boa e nem é ruim, mas ok ao ouvir fones de ouvido. Eu só o uso para receber SMS &amp; Calls &amp; Ocassionalmente para ouvir músicas e backup de bateria é muito bom que dura até 7 dias etc. para 1 carga completa . É preciso mais de uma tentativa às vezes para executar uma ação OK., Backup de bateria, precisa melhorar o som do toque, o melhor telefone. A Nokia é sempre melhor. Preço Thodi Kam Karni Chahiye., Gosto deste produto</v>
      </c>
    </row>
    <row r="348">
      <c r="A348" s="9" t="s">
        <v>1448</v>
      </c>
      <c r="B348" s="29" t="str">
        <f>VLOOKUP(dados!A348, reviews!A:G, 5, FALSE)</f>
        <v>Ideal Product,Ok,उपयोगी एवं संतोषजनक,Ok in this price range,Battery,It is a good watch,Nice watch,Average</v>
      </c>
      <c r="C348" s="29" t="str">
        <f>VLOOKUP(dados!A348, reviews!A:G, 6, FALSE)</f>
        <v>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v>
      </c>
      <c r="D348" s="29" t="str">
        <f>IFERROR(__xludf.DUMMYFUNCTION("GOOGLETRANSLATE(B348, ""en"", ""pt-br"")"),"Produto ideal, OK, उपयोगी एवं संतोषजनक, OK nessa faixa de preço, bateria, é um bom relógio, bom relógio, média")</f>
        <v>Produto ideal, OK, उपयोगी एवं संतोषजनक, OK nessa faixa de preço, bateria, é um bom relógio, bom relógio, média</v>
      </c>
      <c r="E348" s="29" t="str">
        <f>IFERROR(__xludf.DUMMYFUNCTION("GOOGLETRANSLATE(C348, ""en"", ""pt-br"")"),"Esta foi realmente uma compra ideal. Bom desempenho, bom construído, até a funcionalidade Mark a esse preço. Estável e resistente. Recomendar. 👍🏻👍🏻👍🏻, parece ok, हार्ट marca एवं ऑक्सीजन, bom para usuários normais ..... não para usuários pesados ​​co"&amp;"mo atividades diárias ..... boa aparência ... o aplicativo não está funcionando corretamente algumas vezes , A energia da bateria é incrível 👍🏻, é um bom relógio, mas a cinta sempre sai, bom relógio, não tão especial, mas média nesse preço")</f>
        <v>Esta foi realmente uma compra ideal. Bom desempenho, bom construído, até a funcionalidade Mark a esse preço. Estável e resistente. Recomendar. 👍🏻👍🏻👍🏻, parece ok, हार्ट marca एवं ऑक्सीजन, bom para usuários normais ..... não para usuários pesados ​​como atividades diárias ..... boa aparência ... o aplicativo não está funcionando corretamente algumas vezes , A energia da bateria é incrível 👍🏻, é um bom relógio, mas a cinta sempre sai, bom relógio, não tão especial, mas média nesse preço</v>
      </c>
    </row>
    <row r="349">
      <c r="A349" s="9" t="s">
        <v>1452</v>
      </c>
      <c r="B349" s="29" t="str">
        <f>VLOOKUP(dados!A349, reviews!A:G, 5, FALSE)</f>
        <v>Good maybe okay,Defective Product Delivered,Amazing Sound at Budget,Not for bass lover,Best one,Quality,Durability,Superb voice quality</v>
      </c>
      <c r="C349" s="29" t="str">
        <f>VLOOKUP(dados!A349, reviews!A:G, 6, FALSE)</f>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v>
      </c>
      <c r="D349" s="29" t="str">
        <f>IFERROR(__xludf.DUMMYFUNCTION("GOOGLETRANSLATE(B349, ""en"", ""pt-br"")"),"Bom talvez ok, produto defeituoso entregue, som incrível no orçamento, não para amante de baixo, melhor, qualidade, durabilidade, excelente qualidade de voz")</f>
        <v>Bom talvez ok, produto defeituoso entregue, som incrível no orçamento, não para amante de baixo, melhor, qualidade, durabilidade, excelente qualidade de voz</v>
      </c>
      <c r="E349" s="29" t="str">
        <f>IFERROR(__xludf.DUMMYFUNCTION("GOOGLETRANSLATE(C349, ""en"", ""pt-br"")"),"A qualidade não está marcada pelo preço pago. Outras marcas oferecem fones de ouvido de boa qualidade com menor preço. Mas, por minha experiência, nenhum dos meus fones de ouvido durou mais de 1 a 1,5 anos. Vou comprar :), eu havia comprado duas unidades "&amp;"do mesmo fone de ouvido do qual se encontrou com defeito. Desde que eu estava em viagem, não pude verificar os itens imediatamente e, com o tempo, achei o item com defeito a janela de retorno/ substituição decorrida. Recomendado Se você é um amante da mús"&amp;"ica., A qualidade do som é incrível, mas não o bassmic, está abaixo da média que sai de ouvidos se você andar rápido para o jogo, não poderá ouvir passos de inimigo -inimigo após o uso de 4,5 fones de ouvido (C100SI) Experiência de 2 anos, incrível Produt"&amp;"o .... mas resolva seu problema emaranhado, por favor, bom produto, bom, depois de 8 meses, o alto -falante lateral esquerdo não tem baixo e não é tão alto quanto o alto -falante direito., Excelente qualidade de voz")</f>
        <v>A qualidade não está marcada pelo preço pago. Outras marcas oferecem fones de ouvido de boa qualidade com menor preço. Mas, por minha experiência, nenhum dos meus fones de ouvido durou mais de 1 a 1,5 anos. Vou comprar :), eu havia comprado duas unidades do mesmo fone de ouvido do qual se encontrou com defeito. Desde que eu estava em viagem, não pude verificar os itens imediatamente e, com o tempo, achei o item com defeito a janela de retorno/ substituição decorrida. Recomendado Se você é um amante da música., A qualidade do som é incrível, mas não o bassmic, está abaixo da média que sai de ouvidos se você andar rápido para o jogo, não poderá ouvir passos de inimigo -inimigo após o uso de 4,5 fones de ouvido (C100SI) Experiência de 2 anos, incrível Produto .... mas resolva seu problema emaranhado, por favor, bom produto, bom, depois de 8 meses, o alto -falante lateral esquerdo não tem baixo e não é tão alto quanto o alto -falante direito., Excelente qualidade de voz</v>
      </c>
    </row>
    <row r="350">
      <c r="A350" s="9" t="s">
        <v>1460</v>
      </c>
      <c r="B350" s="29" t="str">
        <f>VLOOKUP(dados!A350, reviews!A:G, 5, FALSE)</f>
        <v>Get it with bundled discounts.,Heating &amp; Touch screen,Buy for normal usage. NOT FOR CAMERA,The phone is a good device and I am happy with the purchase.,Average quality.,Exlent mobile,Valueable buy,A GOOD AND AFFORDABLE PRODUCT</v>
      </c>
      <c r="C350" s="29" t="str">
        <f>VLOOKUP(dados!A350, reviews!A:G, 6, FALSE)</f>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 Heating issues during use with in 15 minutes uses.Touch screen 📱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 15 मिनट में उपयोग के दौरान हीटिंग की समस्या।टच स्क्रीन 📱 कभी-कभी जारी करती है यह बहुत बढ़िया है और कभी-कभी आपको टाइप करते समय सैमसंग कुंजी पैड पर भी कई बार स्पर्श करना पड़ता है।हम सभी परिवार सैमसंग मोबाइल का उपयोग कर रहे हैं लेकिन इस बार मैं मुद्दों से चिंतित हूं अगर मुझे समान मुद्दों का सामना करना पड़ता है तो मुझे मोबाइल बदलना होगा और डेटा ट्रांसफर करना होगा यह बहुत परेशान करने वाला काम है अगर कोई सैमसंग इस समीक्षा को पढ़ रहा है तो कृपया मुझे अमेज़ॅन के माध्यम से उत्तर दें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v>
      </c>
      <c r="D350" s="29" t="str">
        <f>IFERROR(__xludf.DUMMYFUNCTION("GOOGLETRANSLATE(B350, ""en"", ""pt-br"")"),"Obtenha -o com descontos agrupados., Aquecimento e tela de toque, compre para uso normal. Não é para a câmera, o telefone é um bom dispositivo e estou feliz com a compra., Qualidade média., Exlant móvel, compra de valor, um produto bom e acessível")</f>
        <v>Obtenha -o com descontos agrupados., Aquecimento e tela de toque, compre para uso normal. Não é para a câmera, o telefone é um bom dispositivo e estou feliz com a compra., Qualidade média., Exlant móvel, compra de valor, um produto bom e acessível</v>
      </c>
      <c r="E350" s="29" t="str">
        <f>IFERROR(__xludf.DUMMYFUNCTION("GOOGLETRANSLATE(C350, ""en"", ""pt-br"")"),"O preço original não vale elogios, então tente comprar em algumas ofertas de cartões ou outros pacotes gratuitos. A tela não é HD completa, mas ainda oferece bom brilho e precisão de cores. O orador também parece bom o suficiente. A câmera frontal não é p"&amp;"ara selfies apenas para chamadas de vídeo, mas a câmera traseira produz cliques satisfatórios para o nível de entrada. O backup da bateria é um dos melhores recursos deste dispositivo. Os softwares da Samsung são todos bem otimizados e minha única reclama"&amp;"ção neste departamento é o Bloatwares pré-instalado. A interface do usuário se sente suave o suficiente e o processador Mediatek, juntamente com 4 GB de RAM, é adequado para uso normal diário. Os jogos não são recomendados. A maior desvantagem deste dispo"&amp;"sitivo é o carregador de caixa, que é de apenas 7,75 watts (5V, 1,55a) que leva cerca de 3 horas para uma cobrança decente., 🔥 Questões de aquecimento durante o uso em 15 minutos. Muito bom e algum tempo você tem que tocar várias vezes, mesmo no Samsung "&amp;"Key Pad durante a digitação. TODOS A FAMÍLIA ESTAMOS Usando Samsung Mobiles, mas desta vez me preocupei com os problemas, se tiver que enfrentar os mesmos problemas, tenho que alterar o celular e transferir dados, é muito Trabalho irritante que eu desejo "&amp;"se qualquer um de Samsung está lendo esta resenha, responda-me através da Amazon.🔥 15 मिनट उपयोग उपयोग दौ दौरान हीटिंग की समस्य pos. करते समय सैमसंग कुंजी पैड पर भी कई बार स्पर्श करना पड़ता है।हम सभी परिवार सैमसंग मोबाइल का उपयोग कर रहे हैं लेकिन इस बार "&amp;"मैं मुद्दों से चिंतित हूं अगर मुझे समान मुद्दों का सामना करना पड़ता है तो मुझे मोबाइल बदलना होगा और डेटा ट्रांसफर करना होगा यह बहुत परेशान करने वाला काम है अगअग कोई सैमसंग इस समीक्षा को पढ़ marca ह तो कृपय इस समीक समीक समीक के को पढ़ हा है कृपय कृपया मुझे"&amp;" अमेज़ॅन के माध्यम से उत्तर दें. Ela não é uma pessoa de selfie ou vídeo. Não quer ir para os produtos RealMe/Xiaomi (Redmi/Poco) por causa de seu apoio. Isso já vem com as atualizações do Android 12 e dois anos são garantidas. A tela é realmente boa. Tel"&amp;"a não full HD embora. A qualidade da chamada é boa. Eu queria um tamanho menor, mas, infelizmente, o preço não cai abaixo de 10 para eles. Se você está comprando muitas fotos/vídeos, este não é o telefone para você. Coisas básicas como o WhatsApp e outras"&amp;" coisas, este seria um bom telefone para você., Este telefone foi comprado para um usuário do smartphone pela primeira vez. Era um bom ajuste para o referido usuário. Obrigado Samsung e Amazon., Telefone normal com qualidade de tela muito média. Backup da"&amp;" bateria também não é muito bom. Mas sim, vale a pena. Polegares sob esse orçamento., Samsung M04 Exlent Mobile. A melhor qualidade da bateria e da tela, preço de rejeição, a classe média melhor do celular, melhor preço com desconto. Se apresentar bem, um"&amp;" celular acessível de uma empresa premium. ❤️")</f>
        <v>O preço original não vale elogios, então tente comprar em algumas ofertas de cartões ou outros pacotes gratuitos. A tela não é HD completa, mas ainda oferece bom brilho e precisão de cores. O orador também parece bom o suficiente. A câmera frontal não é para selfies apenas para chamadas de vídeo, mas a câmera traseira produz cliques satisfatórios para o nível de entrada. O backup da bateria é um dos melhores recursos deste dispositivo. Os softwares da Samsung são todos bem otimizados e minha única reclamação neste departamento é o Bloatwares pré-instalado. A interface do usuário se sente suave o suficiente e o processador Mediatek, juntamente com 4 GB de RAM, é adequado para uso normal diário. Os jogos não são recomendados. A maior desvantagem deste dispositivo é o carregador de caixa, que é de apenas 7,75 watts (5V, 1,55a) que leva cerca de 3 horas para uma cobrança decente., 🔥 Questões de aquecimento durante o uso em 15 minutos. Muito bom e algum tempo você tem que tocar várias vezes, mesmo no Samsung Key Pad durante a digitação. TODOS A FAMÍLIA ESTAMOS Usando Samsung Mobiles, mas desta vez me preocupei com os problemas, se tiver que enfrentar os mesmos problemas, tenho que alterar o celular e transferir dados, é muito Trabalho irritante que eu desejo se qualquer um de Samsung está lendo esta resenha, responda-me através da Amazon.🔥 15 मिनट उपयोग उपयोग दौ दौरान हीटिंग की समस्य pos. करते समय सैमसंग कुंजी पैड पर भी कई बार स्पर्श करना पड़ता है।हम सभी परिवार सैमसंग मोबाइल का उपयोग कर रहे हैं लेकिन इस बार मैं मुद्दों से चिंतित हूं अगर मुझे समान मुद्दों का सामना करना पड़ता है तो मुझे मोबाइल बदलना होगा और डेटा ट्रांसफर करना होगा यह बहुत परेशान करने वाला काम है अगअग कोई सैमसंग इस समीक्षा को पढ़ marca ह तो कृपय इस समीक समीक समीक के को पढ़ हा है कृपय कृपया मुझे अमेज़ॅन के माध्यम से उत्तर दें. Ela não é uma pessoa de selfie ou vídeo. Não quer ir para os produtos RealMe/Xiaomi (Redmi/Poco) por causa de seu apoio. Isso já vem com as atualizações do Android 12 e dois anos são garantidas. A tela é realmente boa. Tela não full HD embora. A qualidade da chamada é boa. Eu queria um tamanho menor, mas, infelizmente, o preço não cai abaixo de 10 para eles. Se você está comprando muitas fotos/vídeos, este não é o telefone para você. Coisas básicas como o WhatsApp e outras coisas, este seria um bom telefone para você., Este telefone foi comprado para um usuário do smartphone pela primeira vez. Era um bom ajuste para o referido usuário. Obrigado Samsung e Amazon., Telefone normal com qualidade de tela muito média. Backup da bateria também não é muito bom. Mas sim, vale a pena. Polegares sob esse orçamento., Samsung M04 Exlent Mobile. A melhor qualidade da bateria e da tela, preço de rejeição, a classe média melhor do celular, melhor preço com desconto. Se apresentar bem, um celular acessível de uma empresa premium. ❤️</v>
      </c>
    </row>
    <row r="351">
      <c r="A351" s="9" t="s">
        <v>1464</v>
      </c>
      <c r="B351" s="29" t="str">
        <f>VLOOKUP(dados!A351, reviews!A:G, 5, FALSE)</f>
        <v>this is good product.,Too much bass for my liking😅,A good deal under Rs.800/-,Worth the price,Itam damage,Le skte hain,Nice product👍👍,Nice</v>
      </c>
      <c r="C351" s="29" t="str">
        <f>VLOOKUP(dados!A351, reviews!A:G, 6, FALSE)</f>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 👍 superb,Nice</v>
      </c>
      <c r="D351" s="29" t="str">
        <f>IFERROR(__xludf.DUMMYFUNCTION("GOOGLETRANSLATE(B351, ""en"", ""pt-br"")"),"Este é um bom produto., Muito baixo para o meu gosto😅, um bom negócio sob Rs.800/-, vale o preço, dano de Itam, Le Skte Hain, Nice Product👍👍, Nice")</f>
        <v>Este é um bom produto., Muito baixo para o meu gosto😅, um bom negócio sob Rs.800/-, vale o preço, dano de Itam, Le Skte Hain, Nice Product👍👍, Nice</v>
      </c>
      <c r="E351" s="29" t="str">
        <f>IFERROR(__xludf.DUMMYFUNCTION("GOOGLETRANSLATE(C351, ""en"", ""pt-br"")"),"A faixa de pescoço de P Tron é um bom produto. Quando é novo, então você se sente mal, mas depois de um mês, você se sente melhor som e baixo. Portanto, o produto é muito bom. Bom., Boa qualidade de baixo e som. O bom não sofra muito a orelha, é um bom pr"&amp;"oduto sob Rs.700/- mas o backup da bateria pode ser mais eficiente. Se tiverem o hábito de tocar música durante a viagem de bicicleta aproximadamente 2-3 horas e comparecer a voz frequente em um dia, então sua bateria cai no dia seguinte, você sente que e"&amp;"u deveria recarregá-la agora, caso contrário, terei que sobreviver sem chamadas de Bluetooth Feature.Cão em geral eu gostaria de dizer que é um bom negócio nesse preço., eu estava usando fones de ouvido Ptron Bluetooth mais cedo ... Eles também foram ótim"&amp;"os e valeram o preço ..... novamente de volta à mesma marca .. ... este é melhor do que anterior .... Qualidade do som 5/5 .... Qualidade do baixo Cancelamento de ruído 4/5 4/5, produto antigo e de dano, bom como preço, muito Gud nessa faixa de preço 👌 "&amp;"👍 excelente, bom")</f>
        <v>A faixa de pescoço de P Tron é um bom produto. Quando é novo, então você se sente mal, mas depois de um mês, você se sente melhor som e baixo. Portanto, o produto é muito bom. Bom., Boa qualidade de baixo e som. O bom não sofra muito a orelha, é um bom produto sob Rs.700/- mas o backup da bateria pode ser mais eficiente. Se tiverem o hábito de tocar música durante a viagem de bicicleta aproximadamente 2-3 horas e comparecer a voz frequente em um dia, então sua bateria cai no dia seguinte, você sente que eu deveria recarregá-la agora, caso contrário, terei que sobreviver sem chamadas de Bluetooth Feature.Cão em geral eu gostaria de dizer que é um bom negócio nesse preço., eu estava usando fones de ouvido Ptron Bluetooth mais cedo ... Eles também foram ótimos e valeram o preço ..... novamente de volta à mesma marca .. ... este é melhor do que anterior .... Qualidade do som 5/5 .... Qualidade do baixo Cancelamento de ruído 4/5 4/5, produto antigo e de dano, bom como preço, muito Gud nessa faixa de preço 👌 👍 excelente, bom</v>
      </c>
    </row>
    <row r="352">
      <c r="A352" s="9" t="s">
        <v>1468</v>
      </c>
      <c r="B352" s="29" t="str">
        <f>VLOOKUP(dados!A352, reviews!A:G, 5, FALSE)</f>
        <v>Good.,Best at the price,Good phone,NICE,Value for money,ठीक-ठाक hai ☺️,Overall review,Good</v>
      </c>
      <c r="C352" s="29" t="str">
        <f>VLOOKUP(dados!A352, reviews!A:G, 6, FALSE)</f>
        <v>Camera and display is very poor quality and battery 🔋 is very good nothing bad,Nice phone at reasonable price.,Good,NICE,Value for money,Theek hai 🥰,Not bad,Good</v>
      </c>
      <c r="D352" s="29" t="str">
        <f>IFERROR(__xludf.DUMMYFUNCTION("GOOGLETRANSLATE(B352, ""en"", ""pt-br"")"),"Bom., Melhor pelo preço, bom telefone, bom, valor pelo dinheiro, ठीक-ठाक hai ☺️, revisão geral, bom")</f>
        <v>Bom., Melhor pelo preço, bom telefone, bom, valor pelo dinheiro, ठीक-ठाक hai ☺️, revisão geral, bom</v>
      </c>
      <c r="E352" s="29" t="str">
        <f>IFERROR(__xludf.DUMMYFUNCTION("GOOGLETRANSLATE(C352, ""en"", ""pt-br"")"),"Câmera e exibição são muito baixa qualidade e bateria 🔋 é muito bom nada ruim, bom telefone a um preço razoável., Bom, bom, valor por dinheiro, o hai 🥰, nada ruim, bom")</f>
        <v>Câmera e exibição são muito baixa qualidade e bateria 🔋 é muito bom nada ruim, bom telefone a um preço razoável., Bom, bom, valor por dinheiro, o hai 🥰, nada ruim, bom</v>
      </c>
    </row>
    <row r="353">
      <c r="A353" s="9" t="s">
        <v>1472</v>
      </c>
      <c r="B353" s="29" t="str">
        <f>VLOOKUP(dados!A353, reviews!A:G, 5, FALSE)</f>
        <v>Good,Good product,Charging well but build quality could be better,Quite nice,Good quality product,Ok,Good Purchase,Built quality could have been better</v>
      </c>
      <c r="C353" s="29" t="str">
        <f>VLOOKUP(dados!A353, reviews!A:G, 6, FALSE)</f>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v>
      </c>
      <c r="D353" s="29" t="str">
        <f>IFERROR(__xludf.DUMMYFUNCTION("GOOGLETRANSLATE(B353, ""en"", ""pt-br"")"),"Bom, bom produto, carregando bem, mas a qualidade de construção pode ser melhor, bastante agradável, de boa qualidade, ok, boa compra, qualidade construída poderia ter sido melhor")</f>
        <v>Bom, bom produto, carregando bem, mas a qualidade de construção pode ser melhor, bastante agradável, de boa qualidade, ok, boa compra, qualidade construída poderia ter sido melhor</v>
      </c>
      <c r="E353" s="29" t="str">
        <f>IFERROR(__xludf.DUMMYFUNCTION("GOOGLETRANSLATE(C353, ""en"", ""pt-br"")"),"Tinha usado fones de ouvido PTRON mais cedo. Então queria experimentar este. E é bom, recém -comprado. Ainda não usado. Mas parece bom e vale a pena por dinheiro, cobrar bem, mas a qualidade de construção pode ser melhor, bastante agradável, este produto "&amp;"funcionando bem ..., ok ok, boa compra por 300 Rs, ele tem 1 portas regulares do tipo C e 2 para cobrar com cobrança de cobrança de Boa velocidade e também parece bom, embora tenha um preço muito econômico, a qualidade construída poderia ter sido melhor, "&amp;"dada a marca")</f>
        <v>Tinha usado fones de ouvido PTRON mais cedo. Então queria experimentar este. E é bom, recém -comprado. Ainda não usado. Mas parece bom e vale a pena por dinheiro, cobrar bem, mas a qualidade de construção pode ser melhor, bastante agradável, este produto funcionando bem ..., ok ok, boa compra por 300 Rs, ele tem 1 portas regulares do tipo C e 2 para cobrar com cobrança de cobrança de Boa velocidade e também parece bom, embora tenha um preço muito econômico, a qualidade construída poderia ter sido melhor, dada a marca</v>
      </c>
    </row>
    <row r="354">
      <c r="A354" s="9" t="s">
        <v>1478</v>
      </c>
      <c r="B354" s="29" t="str">
        <f>VLOOKUP(dados!A354, reviews!A:G, 5, FALSE)</f>
        <v>Best value for money,HEAD PHONE POUCH NOT RECEIVED,Overall good in this pricerange,It's not working in my Phone properly Plz help me in exchange or return, I ll be thankful to you,Worth the money 🤑,Best,Nice sound,Wonderful product</v>
      </c>
      <c r="C354" s="29" t="str">
        <f>VLOOKUP(dados!A354, reviews!A:G, 6, FALSE)</f>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v>
      </c>
      <c r="D354" s="29" t="str">
        <f>IFERROR(__xludf.DUMMYFUNCTION("GOOGLETRANSLATE(B354, ""en"", ""pt-br"")"),"Melhor relação custo / benefício, a bolsa de telefone não recebida, em geral, bem nessa priquerange, não está funcionando no meu telefone corretamente, por favor me ajude em troca ou retornar, ficarei agradecido a você, vale o dinheiro 🤑, melhor, bom som"&amp;", maravilhoso produtos")</f>
        <v>Melhor relação custo / benefício, a bolsa de telefone não recebida, em geral, bem nessa priquerange, não está funcionando no meu telefone corretamente, por favor me ajude em troca ou retornar, ficarei agradecido a você, vale o dinheiro 🤑, melhor, bom som, maravilhoso produtos</v>
      </c>
      <c r="E354" s="29" t="str">
        <f>IFERROR(__xludf.DUMMYFUNCTION("GOOGLETRANSLATE(C354, ""en"", ""pt-br"")"),"A qualidade do som deste fone de ouvido é realmente boa. A parte do baixo também era boa. Eu só descobri que o cancelamento de ruído não era o que eu esperava. Pode ser muito melhor. Finalmente, posso dizer que é um bom valor para o dinheiro. meses, eu nã"&amp;"o uso regularmente, mas sempre que uso meus colegas diz que sua voz é clara 😂, Pin que eu me conecto ao telefone é automaticamente para fora. Não funciona. Plz Amazon me ajude. Sou um cliente regular desta empresa. Serei muito grato a você., Ótima qualid"&amp;"ade de som e bom baixo. Cancelamento de ruído decente. Eu não poderia ter pedido fones de ouvido melhores a esse preço., Melhor para jogos, bom e bom produto")</f>
        <v>A qualidade do som deste fone de ouvido é realmente boa. A parte do baixo também era boa. Eu só descobri que o cancelamento de ruído não era o que eu esperava. Pode ser muito melhor. Finalmente, posso dizer que é um bom valor para o dinheiro. meses, eu não uso regularmente, mas sempre que uso meus colegas diz que sua voz é clara 😂, Pin que eu me conecto ao telefone é automaticamente para fora. Não funciona. Plz Amazon me ajude. Sou um cliente regular desta empresa. Serei muito grato a você., Ótima qualidade de som e bom baixo. Cancelamento de ruído decente. Eu não poderia ter pedido fones de ouvido melhores a esse preço., Melhor para jogos, bom e bom produto</v>
      </c>
    </row>
    <row r="355">
      <c r="A355" s="9" t="s">
        <v>1482</v>
      </c>
      <c r="B355" s="29" t="str">
        <f>VLOOKUP(dados!A355, reviews!A:G, 5, FALSE)</f>
        <v>Fake Product,Costly but excellent quality,Storage good but don't know how to Activate warantee??,Good for use,5 stas nahi diya kyuki capacity 477gb hi rahta hai,Speed not as advertise,Good one,It's ok</v>
      </c>
      <c r="C355" s="29" t="str">
        <f>VLOOKUP(dados!A355, reviews!A:G, 6, FALSE)</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c r="D355" s="29" t="str">
        <f>IFERROR(__xludf.DUMMYFUNCTION("GOOGLETRANSLATE(B355, ""en"", ""pt-br"")"),"Produto falso, caro, mas excelente qualidade, armazenamento bom, mas não sei como ativar a Warantee?")</f>
        <v>Produto falso, caro, mas excelente qualidade, armazenamento bom, mas não sei como ativar a Warantee?</v>
      </c>
      <c r="E355" s="29" t="str">
        <f>IFERROR(__xludf.DUMMYFUNCTION("GOOGLETRANSLATE(C355, ""en"", ""pt-br"")"),"O cartão SD de 128 GB está mostrando 134gbdon não comprar este produto, foi um pouco caro, mas o Prouduct é de ótima qualidade. Poderia ter sido feito um pouco mais barato. , O produto está ok.")</f>
        <v>O cartão SD de 128 GB está mostrando 134gbdon não comprar este produto, foi um pouco caro, mas o Prouduct é de ótima qualidade. Poderia ter sido feito um pouco mais barato. , O produto está ok.</v>
      </c>
    </row>
    <row r="356">
      <c r="A356" s="9" t="s">
        <v>1485</v>
      </c>
      <c r="B356" s="29" t="str">
        <f>VLOOKUP(dados!A356, reviews!A:G, 5, FALSE)</f>
        <v>Get it with bundled discounts.,Heating &amp; Touch screen,Buy for normal usage. NOT FOR CAMERA,The phone is a good device and I am happy with the purchase.,Average quality.,Exlent mobile,Valueable buy,A GOOD AND AFFORDABLE PRODUCT</v>
      </c>
      <c r="C356" s="29" t="str">
        <f>VLOOKUP(dados!A356, reviews!A:G, 6, FALSE)</f>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 Heating issues during use with in 15 minutes uses.Touch screen 📱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 15 मिनट में उपयोग के दौरान हीटिंग की समस्या।टच स्क्रीन 📱 कभी-कभी जारी करती है यह बहुत बढ़िया है और कभी-कभी आपको टाइप करते समय सैमसंग कुंजी पैड पर भी कई बार स्पर्श करना पड़ता है।हम सभी परिवार सैमसंग मोबाइल का उपयोग कर रहे हैं लेकिन इस बार मैं मुद्दों से चिंतित हूं अगर मुझे समान मुद्दों का सामना करना पड़ता है तो मुझे मोबाइल बदलना होगा और डेटा ट्रांसफर करना होगा यह बहुत परेशान करने वाला काम है अगर कोई सैमसंग इस समीक्षा को पढ़ रहा है तो कृपया मुझे अमेज़ॅन के माध्यम से उत्तर दें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v>
      </c>
      <c r="D356" s="29" t="str">
        <f>IFERROR(__xludf.DUMMYFUNCTION("GOOGLETRANSLATE(B356, ""en"", ""pt-br"")"),"Obtenha -o com descontos agrupados., Aquecimento e tela de toque, compre para uso normal. Não é para a câmera, o telefone é um bom dispositivo e estou feliz com a compra., Qualidade média., Exlant móvel, compra de valor, um produto bom e acessível")</f>
        <v>Obtenha -o com descontos agrupados., Aquecimento e tela de toque, compre para uso normal. Não é para a câmera, o telefone é um bom dispositivo e estou feliz com a compra., Qualidade média., Exlant móvel, compra de valor, um produto bom e acessível</v>
      </c>
      <c r="E356" s="29" t="str">
        <f>IFERROR(__xludf.DUMMYFUNCTION("GOOGLETRANSLATE(C356, ""en"", ""pt-br"")"),"O preço original não vale elogios, então tente comprar em algumas ofertas de cartões ou outros pacotes gratuitos. A tela não é HD completa, mas ainda oferece bom brilho e precisão de cores. O orador também parece bom o suficiente. A câmera frontal não é p"&amp;"ara selfies apenas para chamadas de vídeo, mas a câmera traseira produz cliques satisfatórios para o nível de entrada. O backup da bateria é um dos melhores recursos deste dispositivo. Os softwares da Samsung são todos bem otimizados e minha única reclama"&amp;"ção neste departamento é o Bloatwares pré-instalado. A interface do usuário se sente suave o suficiente e o processador Mediatek, juntamente com 4 GB de RAM, é adequado para uso normal diário. Os jogos não são recomendados. A maior desvantagem deste dispo"&amp;"sitivo é o carregador de caixa, que é de apenas 7,75 watts (5V, 1,55a) que leva cerca de 3 horas para uma cobrança decente., 🔥 Questões de aquecimento durante o uso em 15 minutos. Muito bom e algum tempo você tem que tocar várias vezes, mesmo no Samsung "&amp;"Key Pad durante a digitação. TODOS A FAMÍLIA ESTAMOS Usando Samsung Mobiles, mas desta vez me preocupei com os problemas, se tiver que enfrentar os mesmos problemas, tenho que alterar o celular e transferir dados, é muito Trabalho irritante que eu desejo "&amp;"se qualquer um de Samsung está lendo esta resenha, responda-me através da Amazon.🔥 15 मिनट उपयोग उपयोग दौ दौरान हीटिंग की समस्य pos. करते समय सैमसंग कुंजी पैड पर भी कई बार स्पर्श करना पड़ता है।हम सभी परिवार सैमसंग मोबाइल का उपयोग कर रहे हैं लेकिन इस बार "&amp;"मैं मुद्दों से चिंतित हूं अगर मुझे समान मुद्दों का सामना करना पड़ता है तो मुझे मोबाइल बदलना होगा और डेटा ट्रांसफर करना होगा यह बहुत परेशान करने वाला काम है अगअग कोई सैमसंग इस समीक्षा को पढ़ marca ह तो कृपय इस समीक समीक समीक के को पढ़ हा है कृपय कृपया मुझे"&amp;" अमेज़ॅन के माध्यम से उत्तर दें. Ela não é uma pessoa de selfie ou vídeo. Não quer ir para os produtos RealMe/Xiaomi (Redmi/Poco) por causa de seu apoio. Isso já vem com as atualizações do Android 12 e dois anos são garantidas. A tela é realmente boa. Tel"&amp;"a não full HD embora. A qualidade da chamada é boa. Eu queria um tamanho menor, mas, infelizmente, o preço não cai abaixo de 10 para eles. Se você está comprando muitas fotos/vídeos, este não é o telefone para você. Coisas básicas como o WhatsApp e outras"&amp;" coisas, este seria um bom telefone para você., Este telefone foi comprado para um usuário do smartphone pela primeira vez. Era um bom ajuste para o referido usuário. Obrigado Samsung e Amazon., Telefone normal com qualidade de tela muito média. Backup da"&amp;" bateria também não é muito bom. Mas sim, vale a pena. Polegares sob esse orçamento., Samsung M04 Exlent Mobile. A melhor qualidade da bateria e da tela, preço de rejeição, a classe média melhor do celular, melhor preço com desconto. Se apresentar bem, um"&amp;" celular acessível de uma empresa premium. ❤️")</f>
        <v>O preço original não vale elogios, então tente comprar em algumas ofertas de cartões ou outros pacotes gratuitos. A tela não é HD completa, mas ainda oferece bom brilho e precisão de cores. O orador também parece bom o suficiente. A câmera frontal não é para selfies apenas para chamadas de vídeo, mas a câmera traseira produz cliques satisfatórios para o nível de entrada. O backup da bateria é um dos melhores recursos deste dispositivo. Os softwares da Samsung são todos bem otimizados e minha única reclamação neste departamento é o Bloatwares pré-instalado. A interface do usuário se sente suave o suficiente e o processador Mediatek, juntamente com 4 GB de RAM, é adequado para uso normal diário. Os jogos não são recomendados. A maior desvantagem deste dispositivo é o carregador de caixa, que é de apenas 7,75 watts (5V, 1,55a) que leva cerca de 3 horas para uma cobrança decente., 🔥 Questões de aquecimento durante o uso em 15 minutos. Muito bom e algum tempo você tem que tocar várias vezes, mesmo no Samsung Key Pad durante a digitação. TODOS A FAMÍLIA ESTAMOS Usando Samsung Mobiles, mas desta vez me preocupei com os problemas, se tiver que enfrentar os mesmos problemas, tenho que alterar o celular e transferir dados, é muito Trabalho irritante que eu desejo se qualquer um de Samsung está lendo esta resenha, responda-me através da Amazon.🔥 15 मिनट उपयोग उपयोग दौ दौरान हीटिंग की समस्य pos. करते समय सैमसंग कुंजी पैड पर भी कई बार स्पर्श करना पड़ता है।हम सभी परिवार सैमसंग मोबाइल का उपयोग कर रहे हैं लेकिन इस बार मैं मुद्दों से चिंतित हूं अगर मुझे समान मुद्दों का सामना करना पड़ता है तो मुझे मोबाइल बदलना होगा और डेटा ट्रांसफर करना होगा यह बहुत परेशान करने वाला काम है अगअग कोई सैमसंग इस समीक्षा को पढ़ marca ह तो कृपय इस समीक समीक समीक के को पढ़ हा है कृपय कृपया मुझे अमेज़ॅन के माध्यम से उत्तर दें. Ela não é uma pessoa de selfie ou vídeo. Não quer ir para os produtos RealMe/Xiaomi (Redmi/Poco) por causa de seu apoio. Isso já vem com as atualizações do Android 12 e dois anos são garantidas. A tela é realmente boa. Tela não full HD embora. A qualidade da chamada é boa. Eu queria um tamanho menor, mas, infelizmente, o preço não cai abaixo de 10 para eles. Se você está comprando muitas fotos/vídeos, este não é o telefone para você. Coisas básicas como o WhatsApp e outras coisas, este seria um bom telefone para você., Este telefone foi comprado para um usuário do smartphone pela primeira vez. Era um bom ajuste para o referido usuário. Obrigado Samsung e Amazon., Telefone normal com qualidade de tela muito média. Backup da bateria também não é muito bom. Mas sim, vale a pena. Polegares sob esse orçamento., Samsung M04 Exlent Mobile. A melhor qualidade da bateria e da tela, preço de rejeição, a classe média melhor do celular, melhor preço com desconto. Se apresentar bem, um celular acessível de uma empresa premium. ❤️</v>
      </c>
    </row>
    <row r="357">
      <c r="A357" s="9" t="s">
        <v>1488</v>
      </c>
      <c r="B357" s="29" t="str">
        <f>VLOOKUP(dados!A357, reviews!A:G, 5, FALSE)</f>
        <v>Best power bank on the market.,Small &amp; Handy,Good Quality and functional and practical design,5v out put ravatam ledu 2or3v matrame vasthundi..,Good,Nice,Easy to carry,It is really good</v>
      </c>
      <c r="C357" s="29" t="str">
        <f>VLOOKUP(dados!A357, reviews!A:G, 6, FALSE)</f>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v>
      </c>
      <c r="D357" s="29" t="str">
        <f>IFERROR(__xludf.DUMMYFUNCTION("GOOGLETRANSLATE(B357, ""en"", ""pt-br"")"),"Melhor banco de energia do mercado., Pequeno e útil, de boa qualidade e design funcional e prático, 5V Out Cut Ravatam Ledu 2or3v Matrame vasthundi .., bom, bom, fácil de transportar, é realmente bom")</f>
        <v>Melhor banco de energia do mercado., Pequeno e útil, de boa qualidade e design funcional e prático, 5V Out Cut Ravatam Ledu 2or3v Matrame vasthundi .., bom, bom, fácil de transportar, é realmente bom</v>
      </c>
      <c r="E357" s="29" t="str">
        <f>IFERROR(__xludf.DUMMYFUNCTION("GOOGLETRANSLATE(C357, ""en"", ""pt-br"")"),"Muito bom e rápido carregamento. Pode ser carregado com o Mico USB ou o USB Type C. parece bom e muito compacto, o PowerBank é um acessório móvel obrigatório que eu estava procurando por um que seja pequeno e seguro, a maioria deles é muito volume ou não "&amp;"é tão boa com a segurança móvel. Este serve ao meu propósito, embora não seja muito leve, mas em comparação com a maioria é mais leve. É principalmente na minha bolsa de laptop que tem essa opção para o acesso à porta USB de fora para o carregamento do Go"&amp;". Eu não o testei corretamente, mas carrega facilmente meu celular duas vezes com a carga completa, ele também possui porta do tipo C, mas não consegui testá -lo. Em suma, um bom produto que serve ao meu propósito de peso leve para o carregamento., Bom pr"&amp;"oduto e vale o dinheiro!, Chinnaga undi chudaniki bagundi bt fora colocando 5V IVVATAM Ledu apenas 2V fora de put Isthundi ... dinheiro Kuda Akkuve 1000 O Super Power Banks Unnai, bom e fácil para transporte, bom trabalho, eu gosto do tamanho do produto e"&amp;" da aparência, mas não entregará 10000mAh completamente. De acordo com minha experiência, sinto que ela dá cerca de 8000mAh., Vale a pena ter isso. Peso leve, fácil de transportar, capacidade de carregamento, etc. Tudo de bom nesse banco de potência.")</f>
        <v>Muito bom e rápido carregamento. Pode ser carregado com o Mico USB ou o USB Type C. parece bom e muito compacto, o PowerBank é um acessório móvel obrigatório que eu estava procurando por um que seja pequeno e seguro, a maioria deles é muito volume ou não é tão boa com a segurança móvel. Este serve ao meu propósito, embora não seja muito leve, mas em comparação com a maioria é mais leve. É principalmente na minha bolsa de laptop que tem essa opção para o acesso à porta USB de fora para o carregamento do Go. Eu não o testei corretamente, mas carrega facilmente meu celular duas vezes com a carga completa, ele também possui porta do tipo C, mas não consegui testá -lo. Em suma, um bom produto que serve ao meu propósito de peso leve para o carregamento., Bom produto e vale o dinheiro!, Chinnaga undi chudaniki bagundi bt fora colocando 5V IVVATAM Ledu apenas 2V fora de put Isthundi ... dinheiro Kuda Akkuve 1000 O Super Power Banks Unnai, bom e fácil para transporte, bom trabalho, eu gosto do tamanho do produto e da aparência, mas não entregará 10000mAh completamente. De acordo com minha experiência, sinto que ela dá cerca de 8000mAh., Vale a pena ter isso. Peso leve, fácil de transportar, capacidade de carregamento, etc. Tudo de bom nesse banco de potência.</v>
      </c>
    </row>
    <row r="358">
      <c r="A358" s="9" t="s">
        <v>1492</v>
      </c>
      <c r="B358" s="29" t="str">
        <f>VLOOKUP(dados!A358, reviews!A:G, 5, FALSE)</f>
        <v>Ok product to buy,Better than any other power banks,👍,Nice product,Performance is OK,Very Slim &amp; easy to carry,Decent product,GOAT</v>
      </c>
      <c r="C358" s="29" t="str">
        <f>VLOOKUP(dados!A358, reviews!A:G, 6, FALSE)</f>
        <v>I haven’t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product,👍,But it’s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v>
      </c>
      <c r="D358" s="29" t="str">
        <f>IFERROR(__xludf.DUMMYFUNCTION("GOOGLETRANSLATE(B358, ""en"", ""pt-br"")"),"Ok produto para comprar, melhor do que qualquer outro banco de energia, 👍 👍, bom produto, desempenho é bom, muito esbelto e fácil de transportar, produto decente, cabra")</f>
        <v>Ok produto para comprar, melhor do que qualquer outro banco de energia, 👍 👍, bom produto, desempenho é bom, muito esbelto e fácil de transportar, produto decente, cabra</v>
      </c>
      <c r="E358" s="29" t="str">
        <f>IFERROR(__xludf.DUMMYFUNCTION("GOOGLETRANSLATE(C358, ""en"", ""pt-br"")"),"Não usei nenhuma outra bateria, portanto, não poderá fornecer o desempenho exato esperado. Simplificando, não é 20.000 dividir pelo tamanho da bateria do seu telefone será o tempo esperado. Se eu considerar isso como uma medida, diria que a capacidade da "&amp;"bateria é de cerca de 15000 mAh, feliz com o produto, 👍, mas é muito pesado, o dia a dia da bateria está reduzindo. Os parâmetros restantes são bons., Flim e fácil de transportar para viajar e muito bonito, estou muito satisfeito com este produto em gera"&amp;"l, mas leva de 4 a 5 horas para cobrar., Muito pesado. Deve ser cerca de 1-1.5kg. Muito rápido cobrança. Leva anos (quase 8 a 10 horas) para carregar completamente. Carreguei meu Samsung M53 duas vezes, uma vez cheia. Comprei recentemente o Mi Power Bank "&amp;"3i 20000mAh e fiquei extremamente impressionado com seu desempenho. Eu o testei pessoalmente com equipamentos de laboratório e descobri que ele tem uma capacidade de cerca de 19000mAh, o que é muito bom em comparação com outros bancos de energia no mercad"&amp;"o. Uma das coisas que aprecio no Mi Power Bank 3i é que é capaz de manter sua carga por um longo período de tempo. Eu não tive que recarregá -lo com tanta frequência quanto com outros bancos de energia. A construção é sólida e o Banco de Power não sofreu "&amp;"nenhum dano, apesar de ter sido carregado na minha bolsa diariamente. No geral, estou extremamente satisfeito com a compra do Mi Power Bank 3i 20000mAh e o recomendaria altamente a outros. É um banco de energia confiável e de alta qualidade que oferece su"&amp;"a capacidade anunciada.")</f>
        <v>Não usei nenhuma outra bateria, portanto, não poderá fornecer o desempenho exato esperado. Simplificando, não é 20.000 dividir pelo tamanho da bateria do seu telefone será o tempo esperado. Se eu considerar isso como uma medida, diria que a capacidade da bateria é de cerca de 15000 mAh, feliz com o produto, 👍, mas é muito pesado, o dia a dia da bateria está reduzindo. Os parâmetros restantes são bons., Flim e fácil de transportar para viajar e muito bonito, estou muito satisfeito com este produto em geral, mas leva de 4 a 5 horas para cobrar., Muito pesado. Deve ser cerca de 1-1.5kg. Muito rápido cobrança. Leva anos (quase 8 a 10 horas) para carregar completamente. Carreguei meu Samsung M53 duas vezes, uma vez cheia. Comprei recentemente o Mi Power Bank 3i 20000mAh e fiquei extremamente impressionado com seu desempenho. Eu o testei pessoalmente com equipamentos de laboratório e descobri que ele tem uma capacidade de cerca de 19000mAh, o que é muito bom em comparação com outros bancos de energia no mercado. Uma das coisas que aprecio no Mi Power Bank 3i é que é capaz de manter sua carga por um longo período de tempo. Eu não tive que recarregá -lo com tanta frequência quanto com outros bancos de energia. A construção é sólida e o Banco de Power não sofreu nenhum dano, apesar de ter sido carregado na minha bolsa diariamente. No geral, estou extremamente satisfeito com a compra do Mi Power Bank 3i 20000mAh e o recomendaria altamente a outros. É um banco de energia confiável e de alta qualidade que oferece sua capacidade anunciada.</v>
      </c>
    </row>
    <row r="359">
      <c r="A359" s="9" t="s">
        <v>1496</v>
      </c>
      <c r="B359" s="29" t="str">
        <f>VLOOKUP(dados!A359, reviews!A:G, 5, FALSE)</f>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v>
      </c>
      <c r="C359" s="29" t="str">
        <f>VLOOKUP(dados!A359, reviews!A:G, 6, FALSE)</f>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v>
      </c>
      <c r="D359" s="29" t="str">
        <f>IFERROR(__xludf.DUMMYFUNCTION("GOOGLETRANSLATE(B359, ""en"", ""pt-br"")"),"Boa qualidade. Não faz som. Um pouco menos forte para celulares mais pesados., Bom produto para aqueles que não alterarão a posição de montagem com frequência, bom produto, valor para dinheiro. indo bem, ok, produto útil, produto digno")</f>
        <v>Boa qualidade. Não faz som. Um pouco menos forte para celulares mais pesados., Bom produto para aqueles que não alterarão a posição de montagem com frequência, bom produto, valor para dinheiro. indo bem, ok, produto útil, produto digno</v>
      </c>
      <c r="E359" s="29" t="str">
        <f>IFERROR(__xludf.DUMMYFUNCTION("GOOGLETRANSLATE(C359, ""en"", ""pt-br"")"),"Boa qualidade. Não faz som. Um pouco menos forte para celulares mais pesados., Está tendo boa adesão e poder de sucção. Durante meus últimos meses de uso, remontei isso uma vez devido a pára -brisa quebrado por diferentes motivos. O adesivo foi bom mesmo "&amp;"após a remédio. Durante meus três meses de uso, uma vez ele saiu por conta própria e eu removi a sua. Geralmente, estaciono meu carro tanto à luz solar direta quanto na área de estacionamento fechada. Não tenho certeza de que saiu devido a vidro quente. M"&amp;"as nunca mais enfrentou isso. Além disso, principalmente eu uso essa montagem com os braços estendidos até o comprimento máximo. Os braços são estáveis ​​durante a vibração do carro devido a estradas ruins. Mas um pequeno golpe que eu senti é que os braço"&amp;"s em plena perna é um pouco mais algemado, mas é estável se eu tentar movê -lo. Isso poderia ter sido melhor. Mas isso não é um problema para mim por mais tempo que serve ao propósito, bom produto, valor para dinheiro., Bom. Vale a pena o dinheiro, usa há"&amp;" quase 2 meses, não tenho certeza da durabilidade, embora isso pareça de boa compilação - indo bem por enquanto. É robusto e faz o bom trabalho, acredito que 350 vale o dinheiro, ok, graças a todos por passar uma revisão que me ajudou a comprar este produ"&amp;"to, absolutamente perfeito, a sucção é boa, qualidade e produto geral parece perfeito. Neste preço. Pode comprá -lo")</f>
        <v>Boa qualidade. Não faz som. Um pouco menos forte para celulares mais pesados., Está tendo boa adesão e poder de sucção. Durante meus últimos meses de uso, remontei isso uma vez devido a pára -brisa quebrado por diferentes motivos. O adesivo foi bom mesmo após a remédio. Durante meus três meses de uso, uma vez ele saiu por conta própria e eu removi a sua. Geralmente, estaciono meu carro tanto à luz solar direta quanto na área de estacionamento fechada. Não tenho certeza de que saiu devido a vidro quente. Mas nunca mais enfrentou isso. Além disso, principalmente eu uso essa montagem com os braços estendidos até o comprimento máximo. Os braços são estáveis ​​durante a vibração do carro devido a estradas ruins. Mas um pequeno golpe que eu senti é que os braços em plena perna é um pouco mais algemado, mas é estável se eu tentar movê -lo. Isso poderia ter sido melhor. Mas isso não é um problema para mim por mais tempo que serve ao propósito, bom produto, valor para dinheiro., Bom. Vale a pena o dinheiro, usa há quase 2 meses, não tenho certeza da durabilidade, embora isso pareça de boa compilação - indo bem por enquanto. É robusto e faz o bom trabalho, acredito que 350 vale o dinheiro, ok, graças a todos por passar uma revisão que me ajudou a comprar este produto, absolutamente perfeito, a sucção é boa, qualidade e produto geral parece perfeito. Neste preço. Pode comprá -lo</v>
      </c>
    </row>
    <row r="360">
      <c r="A360" s="9" t="s">
        <v>1503</v>
      </c>
      <c r="B360" s="29" t="str">
        <f>VLOOKUP(dados!A360, reviews!A:G, 5, FALSE)</f>
        <v>Fine,Difference between this and a 15W is not that big,Original product,Fast charging👍,Good for Google Pixel 6a,Best a big charger as big as galaxy z flip 3,Great but little hot the mobile,Need to buy a wire seperately</v>
      </c>
      <c r="C360" s="29" t="str">
        <f>VLOOKUP(dados!A360, reviews!A:G, 6, FALSE)</f>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v>
      </c>
      <c r="D360" s="29" t="str">
        <f>IFERROR(__xludf.DUMMYFUNCTION("GOOGLETRANSLATE(B360, ""en"", ""pt-br"")"),"Tudo bem, a diferença entre isso e um 15W não é tão grande e original, carregamento rápido👍, bom para o Google Pixel 6A, melhor um grande carregador tão grande quanto o Galaxy Z Flip 3, ótimo, mas pouco quente, o celular, precisa comprar um fio separadam"&amp;"ente")</f>
        <v>Tudo bem, a diferença entre isso e um 15W não é tão grande e original, carregamento rápido👍, bom para o Google Pixel 6A, melhor um grande carregador tão grande quanto o Galaxy Z Flip 3, ótimo, mas pouco quente, o celular, precisa comprar um fio separadamente</v>
      </c>
      <c r="E360" s="29" t="str">
        <f>IFERROR(__xludf.DUMMYFUNCTION("GOOGLETRANSLATE(C360, ""en"", ""pt-br"")"),"A Samsung oferece carregamento super rápido a 25 watts .... apenas uma piada .... onde quer que outras marcas estejam oferecendo carga total antes de uma hora, fornecendo carregadores pesados, a Samsung não está .... Em segundo lugar, a Samsung está ofere"&amp;"cendo C a C Charging .. .Você precisa carregar seu carregador sempre ... Você não pode carregar seu telefone com outro cabo do tipo C ... terceiro, este dispositivo responde apenas com seu próprio carregador. Você não pode carregá -lo com outro carregador"&amp;" do tipo C., bom o suficiente se quiser obter um pouco de suco em pouco tempo. A Samsung pode incluir o cabo., Samsung deve fornecer ao carregador sua caixa, carregamento super rápido rapidamente carregou meu celular, peguei este adaptador para o meu novo"&amp;" Google Pixel 6A, mas não estava embalado. Recebi o adaptador em caixa aberta e quebrada. Verifiquei a qualidade do adaptador, o número de série e combinei com a caixa para que seja genuíno. O desempenho é bom, mas é muito enorme, quase triplo ao carregad"&amp;"or convencional. Difícil durante viagens, mas carregando sem problemas.")</f>
        <v>A Samsung oferece carregamento super rápido a 25 watts .... apenas uma piada .... onde quer que outras marcas estejam oferecendo carga total antes de uma hora, fornecendo carregadores pesados, a Samsung não está .... Em segundo lugar, a Samsung está oferecendo C a C Charging .. .Você precisa carregar seu carregador sempre ... Você não pode carregar seu telefone com outro cabo do tipo C ... terceiro, este dispositivo responde apenas com seu próprio carregador. Você não pode carregá -lo com outro carregador do tipo C., bom o suficiente se quiser obter um pouco de suco em pouco tempo. A Samsung pode incluir o cabo., Samsung deve fornecer ao carregador sua caixa, carregamento super rápido rapidamente carregou meu celular, peguei este adaptador para o meu novo Google Pixel 6A, mas não estava embalado. Recebi o adaptador em caixa aberta e quebrada. Verifiquei a qualidade do adaptador, o número de série e combinei com a caixa para que seja genuíno. O desempenho é bom, mas é muito enorme, quase triplo ao carregador convencional. Difícil durante viagens, mas carregando sem problemas.</v>
      </c>
    </row>
    <row r="361">
      <c r="A361" s="9" t="s">
        <v>1509</v>
      </c>
      <c r="B361" s="29" t="str">
        <f>VLOOKUP(dados!A361, reviews!A:G, 5, FALSE)</f>
        <v>Ranjitha,Good one,Best One!!!,Good and average usage,IT'S BEEN GOOD,Good,Noise,Overall good product</v>
      </c>
      <c r="C361" s="29" t="str">
        <f>VLOOKUP(dados!A361, reviews!A:G, 6, FALSE)</f>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product,Good nice,Overall good product to buy</v>
      </c>
      <c r="D361" s="29" t="str">
        <f>IFERROR(__xludf.DUMMYFUNCTION("GOOGLETRANSLATE(B361, ""en"", ""pt-br"")"),"Ranjitha, bom, melhor !!!, bom e médio de uso, tem sido bom, bom, ruído, bom produto geral")</f>
        <v>Ranjitha, bom, melhor !!!, bom e médio de uso, tem sido bom, bom, ruído, bom produto geral</v>
      </c>
      <c r="E361" s="29" t="str">
        <f>IFERROR(__xludf.DUMMYFUNCTION("GOOGLETRANSLATE(C361, ""en"", ""pt-br"")"),"A duração da bateria é baixa, vale a pena comprar, bom desempenho nessa faixa de preço, um produto econômico para comprar para o uso médio de tempo de verificação, monitoramento do coração, pista de etapas, etc. Use e exibir., Antes de tudo, este relógio "&amp;"é amigável para o orçamento. , a experiência é muito boa. Mas, mas a duração da bateria não é tão boa apenas 4 dias de backup da bateria., bom produto, bom bom, bom produto geral para comprar")</f>
        <v>A duração da bateria é baixa, vale a pena comprar, bom desempenho nessa faixa de preço, um produto econômico para comprar para o uso médio de tempo de verificação, monitoramento do coração, pista de etapas, etc. Use e exibir., Antes de tudo, este relógio é amigável para o orçamento. , a experiência é muito boa. Mas, mas a duração da bateria não é tão boa apenas 4 dias de backup da bateria., bom produto, bom bom, bom produto geral para comprar</v>
      </c>
    </row>
    <row r="362">
      <c r="A362" s="9" t="s">
        <v>1513</v>
      </c>
      <c r="B362" s="29" t="str">
        <f>VLOOKUP(dados!A362, reviews!A:G, 5, FALSE)</f>
        <v>Premium looking watch,Excellent Product,The Tracking and touch would be better,Bluetooth connectivity,Very good,The watch is good,Felt Good,Not bad</v>
      </c>
      <c r="C362" s="29" t="str">
        <f>VLOOKUP(dados!A362, reviews!A:G, 6, FALSE)</f>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v>
      </c>
      <c r="D362" s="29" t="str">
        <f>IFERROR(__xludf.DUMMYFUNCTION("GOOGLETRANSLATE(B362, ""en"", ""pt-br"")"),"Relógio de aparência premium, excelente produto, rastreamento e toque seriam melhores, conectividade Bluetooth, muito boa, o relógio é bom, parecia bom, não é ruim")</f>
        <v>Relógio de aparência premium, excelente produto, rastreamento e toque seriam melhores, conectividade Bluetooth, muito boa, o relógio é bom, parecia bom, não é ruim</v>
      </c>
      <c r="E362" s="29" t="str">
        <f>IFERROR(__xludf.DUMMYFUNCTION("GOOGLETRANSLATE(C362, ""en"", ""pt-br"")"),"São apenas 4 dias desde que estamos usando o produto e, com base no uso até agora, a revisão está abaixo: Prós: 1) Parece, parece premium.2) durar uma semana ou mais com uso normal (fecharam todas as notificações que salvam a bateria) 4) Etapas da precisã"&amp;"o: dará 8 em 105) carregador magnético (fácil de carregar) contras: 1) não notará nada até agora., I I Encomendei 2 relógios para minha esposa e irmã. Consegui o preço de 1500. Eu sempre sou fã de Firebolt. E Ninja 3 é muito bom. A resposta do toque é boa"&amp;". Boa duração da bateria. A pista de sono é muito ocorrida. Tem todos os recursos necessários e esses são bastante precisos. É leve e parece bom. Acima de tudo, é um excelente produto a esse preço. A tela de toque não é tão boa que leva tempo pode ser que"&amp;" eu preciso usá -lo por um tempo para melhor experiência, gosto do sono, medição de batimentos cardíacos, SPO2 e rastreamento de exercícios. Eu não gosto O Bluetooth do relógio inteligente apenas. Eu uso este relógio para exercícios, a tela da bateria é a"&amp;" tela GoodTouch IS NELEALL, os equipamentos são muito bons, eu gosto do estilo de relógio e o carregamento é tão rápido, o Firebolt Ninja 3Felt Good for the Watch, simples e fácil, é bom, valor para dinheiro, desempenho geral é bom.")</f>
        <v>São apenas 4 dias desde que estamos usando o produto e, com base no uso até agora, a revisão está abaixo: Prós: 1) Parece, parece premium.2) durar uma semana ou mais com uso normal (fecharam todas as notificações que salvam a bateria) 4) Etapas da precisão: dará 8 em 105) carregador magnético (fácil de carregar) contras: 1) não notará nada até agora., I I Encomendei 2 relógios para minha esposa e irmã. Consegui o preço de 1500. Eu sempre sou fã de Firebolt. E Ninja 3 é muito bom. A resposta do toque é boa. Boa duração da bateria. A pista de sono é muito ocorrida. Tem todos os recursos necessários e esses são bastante precisos. É leve e parece bom. Acima de tudo, é um excelente produto a esse preço. A tela de toque não é tão boa que leva tempo pode ser que eu preciso usá -lo por um tempo para melhor experiência, gosto do sono, medição de batimentos cardíacos, SPO2 e rastreamento de exercícios. Eu não gosto O Bluetooth do relógio inteligente apenas. Eu uso este relógio para exercícios, a tela da bateria é a tela GoodTouch IS NELEALL, os equipamentos são muito bons, eu gosto do estilo de relógio e o carregamento é tão rápido, o Firebolt Ninja 3Felt Good for the Watch, simples e fácil, é bom, valor para dinheiro, desempenho geral é bom.</v>
      </c>
    </row>
    <row r="363">
      <c r="A363" s="9" t="s">
        <v>1517</v>
      </c>
      <c r="B363" s="29" t="str">
        <f>VLOOKUP(dados!A363, reviews!A:G, 5, FALSE)</f>
        <v>THE PERFECT PHONE – FOR MY REQUIREMENTS,Galaxy M33 5G a mixed bag of Affordability</v>
      </c>
      <c r="C363" s="29" t="str">
        <f>VLOOKUP(dados!A363, reviews!A:G, 6, FALSE)</f>
        <v>I would not consider buying an i-phone simply because my friend owns two of them –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 but I think of a cellphone as a utility item, not a status symbol. Applying a technocratic approach, I would not choose a costlier option unless I get additional features which suit my requirements.My foremost requirement – which is entirely non-negotiable –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‘immersive listening experience’ and its screen is plain old TFT instead of AMOLED. I am willing to live with these perceived shortcomings, so long as the M33 meets my requirements.I was glad to find that Samsung has taken an environmentally friendly step of offering many models of handsets without chargers –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Samsung’s best-value smartphone yet under 20K segmentPros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 screen recorder, video call effects, Game Launcher, Link to Windows, Dual Messenger, Quick Share, Music Share, and Secure Folder, along with many others. Some of the fancy Android 12 features, like the ability to change the color palette of icons and menus based on the wallpaper and 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v>
      </c>
      <c r="D363" s="29" t="str">
        <f>IFERROR(__xludf.DUMMYFUNCTION("GOOGLETRANSLATE(B363, ""en"", ""pt-br"")"),"O telefone perfeito - para meus requisitos, Galaxy M33 5G um saco misto de acessibilidade")</f>
        <v>O telefone perfeito - para meus requisitos, Galaxy M33 5G um saco misto de acessibilidade</v>
      </c>
      <c r="E363" s="29" t="str">
        <f>IFERROR(__xludf.DUMMYFUNCTION("GOOGLETRANSLATE(C363, ""en"", ""pt-br"")"),"Eu não consideraria comprar um i-phone simplesmente porque meu amigo é dono de dois deles-ou vá para um novo modelo Android sugerido por meu filho ou sobrinho (ambos mais experientes em tecnologia do que eu) porque suas recomendações são obviamente basead"&amp;"as em Suas próprias necessidades e expectativas, que podem diferir dos meus. Sou um engenheiro mecânico antiquado com um entendimento básico de parâmetros como milímetros, megapixels e megabytes-mas penso em um telefone celular como um item de utilitário,"&amp;" não um símbolo de status. Aplicando uma abordagem tecnocrática, eu não escolheria uma opção mais cara, a menos que obtenha recursos adicionais que atendam aos meus requisitos. Meu requisito principal-que é totalmente não negociável-é que meu aparelho dev"&amp;"e ter provisão para dois cartões SIM, pois não quero Para transportar dois aparelhos separados para o meu CUG e números pessoais. Meus outros requisitos não são difíceis de cumprir: uma agenda telefônica com pelo menos 2000 contatos, conectividade líquida"&amp;" básica, uma câmera básica para fotos e vídeos e escopo para baixar alguns aplicativos, como o onipresente whatsapp e meus jogos de palavras favoritos (que não precisam muita memória ou capacidade de processamento). Eu certamente apreciaria recursos práti"&amp;"cos, como alta confiabilidade, atualizações de software e segurança e alta capacidade da bateria (suficientes por 24 horas ou de preferência 48 horas no meu nível normal de uso). Além disso, gostaria de usar um novo aparelho por pelo menos dois anos. . Es"&amp;"tou igualmente claro sobre o que não preciso. Não pretendo usar meu celular para assistir filmes, ler livros, ouvir música ou criar postagens sofisticadas de mídia social. Também não quero um dispositivo para tirar fotos de alta resolução durante as féria"&amp;"s, pois preferiria usar uma câmera. Correndo o risco de parecer irreverente, eu diria que não quero que um dispositivo desbloqueie meu carro ou conte os golpes em um jogo de golfe - principalmente porque não possuo um carro e não jogo golfe! Tendo usado s"&amp;"martphones de Samsung e Motorola fazem nos últimos anos, eu prefiro muito o primeiro. Meu último telefone, que me deu mais de 30 meses de bom serviço, foi um Samsung M30. Como esse modelo está obsoleto agora, concentrei -me em seus primos atualizados: M32"&amp;", M33 e M52. O último foi imediatamente descartado, pois não suporta dois cartões SIM junto com um cartão SD. Depois de estudar as especificações relativas de M32 e M33, concluí que o último oferece melhor valor ao dinheiro. Geralmente, vale a pena ir par"&amp;"a a memória mais alta e as versões mais altas de RAM, pois esses parâmetros afetam o desempenho e a diferença no custo é relativamente pequena. Com essas considerações, reduzi minha escolha ao M33 com 8 GB de RAM e armazenamento de 128 GB (há apenas vinte"&amp;" anos, eu estava usando uma área de trabalho com memória de 2 GB!) Como confirmação para minha escolha, comparei o telefone que selecionei com o OnePlus Nord CE 2 (8 GB de RAM, armazenamento de 128 GB) que meu filho havia recomendado. A especificação do t"&amp;"elefone Samsung foi equivalente ou superior aos principais parâmetros, exceto que a tecnologia da tela de exibição era TFT em vez de AMOLED. Também assisti a alguns vídeos do YouTube sobre esses aparelhos para uma melhor apreciação de seus recursos concor"&amp;"rentes. O fator de conjuração era que o telefone Samsung tinha um preço substancialmente menor que o produto OnePlus. Eu estava pensando que isso seria irrelevante, pois eu uso um caso que envolve completamente o aparelho, mas acabou que a cor do corpo po"&amp;"de ser vislumbrada pelo recorte das câmeras na parte traseira do telefone.Pespese uma forte semelhança familiar com minha velha Um (M30), o novo telefone (M33) oferece especificações decididamente superiores e atende perfeitamente aos meus requisitos. São"&amp;" alguns milímetros por mais tempo e alguns gramas mais pesados ​​que o meu telefone antigo, mas essas diferenças são aceitáveis ​​para mim. Graças à câmera frontal de 50MP e à câmera selfie de 8MP, a qualidade das fotos e vídeos está acima das minhas expe"&amp;"ctativas (veja a foto da amostra tirada à noite a uma distância de cerca de 30 metros do palco). Este telefone oferece dois anos de atualizações do Android e quatro anos de atualizações de patches de segurança, o que reduz as preocupações nessas frentes. "&amp;"Os revisores do YouTube reclamam que o M33 tem aparência clara, é pesado, seu áudio não oferece uma 'experiência de escuta imersiva' e sua tela é antiga TFT simples em vez de AMOLED. Estou disposto a conviver com essas deficiências percebidas, desde que o"&amp;" M33 atenda aos meus requisitos. Fiquei feliz em descobrir que a Samsung deu um passo ecológico para oferecer muitos modelos de aparelhos sem carregadores - porque carregadores antigos, como aparelhos antigos, adicionar para o lixo eletrônico. No entanto,"&amp;" é preciso ter em mente que novos aparelhos exigem carregadores de maior capacidade. O carregador recomendado para o M33 é de 25 watts, mas os carregadores que eu tinha em casa são classificados em 5 ou 10 watts. Depois de usar o novo aparelho por algumas"&amp;" semanas, acho que meu telefone está com uma cobrança de 60 a 70% no final do dia e leva de 30 a 40 minutos para cobrança completa (uma das características úteis do M33 é que Ele mostra o tempo restante para o carregamento completo assim que for conectado"&amp;" para carregar). Acontece que eu poderia ter conseguido com o antigo carregador de 10 watts, exceto que levaria 60-90 minutos para carregar total. Concluo enfatizando que o Samsung Galaxy M33 5G é o telefone perfeito-mas para meus requisitos. Uma palavra "&amp;"de conselho: se você planeja comprar um novo telefone, seria útil se você listar seus requisitos para não acabar pagando pelos recursos que não pretende usar., Com conectividade 5G, um 120Hz Exibição e desempenho sólido, o Galaxy M33 5G é o smartphone de "&amp;"melhor valor da Samsung, mas com menos de 20k segmentpros quase metade do preço do Galaxy A53exynos 1280 é uma sólida exibição de 120Hz de execução de 120Hz com experiência suave no desempenho da Boardhuge Over M32one UI 4.1 baseado em andróide 12 tem ter"&amp;" Toneladas de bons recursos para amar, nenhum dos principais recursos de grau é ignorado aqui (além do modo DEX e dos recursos SPEN), lag zero ou gaguejando no modo 120 Hz com facilidade de uso e comutação de aplicativos sem qualquer acidente ou recarga d"&amp;"e aplicativos , Torna o uso de um prazer de uma interface do usuário de surfar, você obtém recursos como um gravador de tela, efeitos de chamadas de vídeo, lançador de jogos, link para Windows, Dual Messenger, Share Rick Share, Music Share e Secure Pouxer"&amp;", além de muitos outros. Algumas das características sofisticadas do Android 12, como a capacidade de alterar a paleta de cores de ícones e menus com base no papel de parede e diminuir a tela para facilitar a leitura no escuro, também são incluídos. Voice"&amp;" Focus for Chamadas é excelente recurso, qualidade telefônica é realmente bom, mesmo em áreas de nosiy e lotadas, não teve problemas com GPS ou conectividade enquanto usava o Google Maps para navegar, o sinal permanece forte mesmo em áreas rurais, isso é "&amp;"um ponto positivo com boa precisão 4g VoLT O roteador é forte e tem um desempenho mais do que satisfatoriamente com baixa latência A conectividade RESPOSTBLUETOOTH 5.1 é forte e não tem uma boa faixa de desconexão, mesmo que a qualidade de 15 metros de 3,"&amp;"5 mm é excelente em comparação com o Redmi Note 10 Pro, muito mais definido e bem arredondado para Consumo de mídia WideWine L1 Suporte está presente, boa experiência AV em plataformas OTT, não tenho queixas sérias sobre a reprodução de cores em vídeos co"&amp;"nsiderando o TFT LCD Este painel faz um trabalho bom o suficiente. Quase todas as condições, mantém cores próximas à realidade, com uma boa faixa dinâmica e manuseio de exposição com HDR em fotos e vídeos, é capaz de lidar com condições extremamente brilh"&amp;"antes de boas -vindas nas sombras durante o dia, foi capaz de manter bons vídeos estáveis ​​em cores. A gravação de vídeo 1080p4k está disponível em 30 qps está disponível Recursos de câmera legal, possui modo divertido, único tomado, borracha de objetos "&amp;"e vídeo tnr (redução de ruído temporal), o que torna divertido usar a câmera cameraselfie tem boas cores pinceladas, o caminho da cor da Samsung Processando alguns pode gostar, alguns podem não exagerar a duração da bateria, obteve 9 horas de SOT, apesar "&amp;"do uso pesado. Demora cerca de 1,5 horas para ir de 0 a 100 e meia hora de carregamento pode levar a porcentagem da bateria para cerca de 45%, desde que você tenha um tempo de verão de 25 watts Samsung, que o telefone conseguiu ficar relativamente frio, a"&amp;"rquitetura de 5nm, ajudando sua causa Aqui12 5G O slot de cartão SD de bandas 5G é um suporte de carregamento rápido de 25 watts de 25 watts razoável para o segmento de preços, mas vimos velocidades de carregamento mais rápidas com outros OEMspromed 2 pri"&amp;"ncipais atualizações do sistema operacional Android e 4 anos de atualização de segurança é uma grande quantidade acima de seus concorrentes, tornando isso Dispositivo Mais valor para o dinheiro em longas pistas de câmera ultrawida está do lado mais suave,"&amp;" carece de detalhes em comparação com seu sensor primário, mas consegue enquadrar boas fotos que se pode postar nas mídias sociais, a câmera macro é boa com cores e detecção de borda, mas não possui profundidade de campo E detalhes, nota 10 Pro, que é bri"&amp;"lhante nessas fotos de Casenight, está acima da média, principalmente granulada e confusa, mas melhor do que a maioria dos smartphones em seus segmentlacks alguma estabilidade na gravação de vídeo na exibição 4K AMOLED poderia ter feito com que o alto -fa"&amp;"lante estéreo seja necessário, mas a qualidade de áudio em uma única O alto-falante é muito bom instalado, como Moj, DailyHunt, Sharechat, Byju's são leves e desinstaláveis, mas tornam a experiência madura de uma interface do usuário imaturo para fora do "&amp;"dispositivo Boxurly não é ajustado para o desempenho de jogo alto como FPS limitado em jogos populares, como BGMI e Deters Cod Deters Fora de ser um dispositivo amigável para jogadores, mas podemos esperar que o Exynos 1280 se resolva com o tempo e seja m"&amp;"ais otimizado para mais jogos em futuros atualizações de design iluminantemente barato, robusto em tamanho, carrega um pouco de peso, datada dated dollack de carregador na caixa é um chatice, que contribui para a proposta de custo de valor")</f>
        <v>Eu não consideraria comprar um i-phone simplesmente porque meu amigo é dono de dois deles-ou vá para um novo modelo Android sugerido por meu filho ou sobrinho (ambos mais experientes em tecnologia do que eu) porque suas recomendações são obviamente baseadas em Suas próprias necessidades e expectativas, que podem diferir dos meus. Sou um engenheiro mecânico antiquado com um entendimento básico de parâmetros como milímetros, megapixels e megabytes-mas penso em um telefone celular como um item de utilitário, não um símbolo de status. Aplicando uma abordagem tecnocrática, eu não escolheria uma opção mais cara, a menos que obtenha recursos adicionais que atendam aos meus requisitos. Meu requisito principal-que é totalmente não negociável-é que meu aparelho deve ter provisão para dois cartões SIM, pois não quero Para transportar dois aparelhos separados para o meu CUG e números pessoais. Meus outros requisitos não são difíceis de cumprir: uma agenda telefônica com pelo menos 2000 contatos, conectividade líquida básica, uma câmera básica para fotos e vídeos e escopo para baixar alguns aplicativos, como o onipresente whatsapp e meus jogos de palavras favoritos (que não precisam muita memória ou capacidade de processamento). Eu certamente apreciaria recursos práticos, como alta confiabilidade, atualizações de software e segurança e alta capacidade da bateria (suficientes por 24 horas ou de preferência 48 horas no meu nível normal de uso). Além disso, gostaria de usar um novo aparelho por pelo menos dois anos. . Estou igualmente claro sobre o que não preciso. Não pretendo usar meu celular para assistir filmes, ler livros, ouvir música ou criar postagens sofisticadas de mídia social. Também não quero um dispositivo para tirar fotos de alta resolução durante as férias, pois preferiria usar uma câmera. Correndo o risco de parecer irreverente, eu diria que não quero que um dispositivo desbloqueie meu carro ou conte os golpes em um jogo de golfe - principalmente porque não possuo um carro e não jogo golfe! Tendo usado smartphones de Samsung e Motorola fazem nos últimos anos, eu prefiro muito o primeiro. Meu último telefone, que me deu mais de 30 meses de bom serviço, foi um Samsung M30. Como esse modelo está obsoleto agora, concentrei -me em seus primos atualizados: M32, M33 e M52. O último foi imediatamente descartado, pois não suporta dois cartões SIM junto com um cartão SD. Depois de estudar as especificações relativas de M32 e M33, concluí que o último oferece melhor valor ao dinheiro. Geralmente, vale a pena ir para a memória mais alta e as versões mais altas de RAM, pois esses parâmetros afetam o desempenho e a diferença no custo é relativamente pequena. Com essas considerações, reduzi minha escolha ao M33 com 8 GB de RAM e armazenamento de 128 GB (há apenas vinte anos, eu estava usando uma área de trabalho com memória de 2 GB!) Como confirmação para minha escolha, comparei o telefone que selecionei com o OnePlus Nord CE 2 (8 GB de RAM, armazenamento de 128 GB) que meu filho havia recomendado. A especificação do telefone Samsung foi equivalente ou superior aos principais parâmetros, exceto que a tecnologia da tela de exibição era TFT em vez de AMOLED. Também assisti a alguns vídeos do YouTube sobre esses aparelhos para uma melhor apreciação de seus recursos concorrentes. O fator de conjuração era que o telefone Samsung tinha um preço substancialmente menor que o produto OnePlus. Eu estava pensando que isso seria irrelevante, pois eu uso um caso que envolve completamente o aparelho, mas acabou que a cor do corpo pode ser vislumbrada pelo recorte das câmeras na parte traseira do telefone.Pespese uma forte semelhança familiar com minha velha Um (M30), o novo telefone (M33) oferece especificações decididamente superiores e atende perfeitamente aos meus requisitos. São alguns milímetros por mais tempo e alguns gramas mais pesados ​​que o meu telefone antigo, mas essas diferenças são aceitáveis ​​para mim. Graças à câmera frontal de 50MP e à câmera selfie de 8MP, a qualidade das fotos e vídeos está acima das minhas expectativas (veja a foto da amostra tirada à noite a uma distância de cerca de 30 metros do palco). Este telefone oferece dois anos de atualizações do Android e quatro anos de atualizações de patches de segurança, o que reduz as preocupações nessas frentes. Os revisores do YouTube reclamam que o M33 tem aparência clara, é pesado, seu áudio não oferece uma 'experiência de escuta imersiva' e sua tela é antiga TFT simples em vez de AMOLED. Estou disposto a conviver com essas deficiências percebidas, desde que o M33 atenda aos meus requisitos. Fiquei feliz em descobrir que a Samsung deu um passo ecológico para oferecer muitos modelos de aparelhos sem carregadores - porque carregadores antigos, como aparelhos antigos, adicionar para o lixo eletrônico. No entanto, é preciso ter em mente que novos aparelhos exigem carregadores de maior capacidade. O carregador recomendado para o M33 é de 25 watts, mas os carregadores que eu tinha em casa são classificados em 5 ou 10 watts. Depois de usar o novo aparelho por algumas semanas, acho que meu telefone está com uma cobrança de 60 a 70% no final do dia e leva de 30 a 40 minutos para cobrança completa (uma das características úteis do M33 é que Ele mostra o tempo restante para o carregamento completo assim que for conectado para carregar). Acontece que eu poderia ter conseguido com o antigo carregador de 10 watts, exceto que levaria 60-90 minutos para carregar total. Concluo enfatizando que o Samsung Galaxy M33 5G é o telefone perfeito-mas para meus requisitos. Uma palavra de conselho: se você planeja comprar um novo telefone, seria útil se você listar seus requisitos para não acabar pagando pelos recursos que não pretende usar., Com conectividade 5G, um 120Hz Exibição e desempenho sólido, o Galaxy M33 5G é o smartphone de melhor valor da Samsung, mas com menos de 20k segmentpros quase metade do preço do Galaxy A53exynos 1280 é uma sólida exibição de 120Hz de execução de 120Hz com experiência suave no desempenho da Boardhuge Over M32one UI 4.1 baseado em andróide 12 tem ter Toneladas de bons recursos para amar, nenhum dos principais recursos de grau é ignorado aqui (além do modo DEX e dos recursos SPEN), lag zero ou gaguejando no modo 120 Hz com facilidade de uso e comutação de aplicativos sem qualquer acidente ou recarga de aplicativos , Torna o uso de um prazer de uma interface do usuário de surfar, você obtém recursos como um gravador de tela, efeitos de chamadas de vídeo, lançador de jogos, link para Windows, Dual Messenger, Share Rick Share, Music Share e Secure Pouxer, além de muitos outros. Algumas das características sofisticadas do Android 12, como a capacidade de alterar a paleta de cores de ícones e menus com base no papel de parede e diminuir a tela para facilitar a leitura no escuro, também são incluídos. Voice Focus for Chamadas é excelente recurso, qualidade telefônica é realmente bom, mesmo em áreas de nosiy e lotadas, não teve problemas com GPS ou conectividade enquanto usava o Google Maps para navegar, o sinal permanece forte mesmo em áreas rurais, isso é um ponto positivo com boa precisão 4g VoLT O roteador é forte e tem um desempenho mais do que satisfatoriamente com baixa latência A conectividade RESPOSTBLUETOOTH 5.1 é forte e não tem uma boa faixa de desconexão, mesmo que a qualidade de 15 metros de 3,5 mm é excelente em comparação com o Redmi Note 10 Pro, muito mais definido e bem arredondado para Consumo de mídia WideWine L1 Suporte está presente, boa experiência AV em plataformas OTT, não tenho queixas sérias sobre a reprodução de cores em vídeos considerando o TFT LCD Este painel faz um trabalho bom o suficiente. Quase todas as condições, mantém cores próximas à realidade, com uma boa faixa dinâmica e manuseio de exposição com HDR em fotos e vídeos, é capaz de lidar com condições extremamente brilhantes de boas -vindas nas sombras durante o dia, foi capaz de manter bons vídeos estáveis ​​em cores. A gravação de vídeo 1080p4k está disponível em 30 qps está disponível Recursos de câmera legal, possui modo divertido, único tomado, borracha de objetos e vídeo tnr (redução de ruído temporal), o que torna divertido usar a câmera cameraselfie tem boas cores pinceladas, o caminho da cor da Samsung Processando alguns pode gostar, alguns podem não exagerar a duração da bateria, obteve 9 horas de SOT, apesar do uso pesado. Demora cerca de 1,5 horas para ir de 0 a 100 e meia hora de carregamento pode levar a porcentagem da bateria para cerca de 45%, desde que você tenha um tempo de verão de 25 watts Samsung, que o telefone conseguiu ficar relativamente frio, arquitetura de 5nm, ajudando sua causa Aqui12 5G O slot de cartão SD de bandas 5G é um suporte de carregamento rápido de 25 watts de 25 watts razoável para o segmento de preços, mas vimos velocidades de carregamento mais rápidas com outros OEMspromed 2 principais atualizações do sistema operacional Android e 4 anos de atualização de segurança é uma grande quantidade acima de seus concorrentes, tornando isso Dispositivo Mais valor para o dinheiro em longas pistas de câmera ultrawida está do lado mais suave, carece de detalhes em comparação com seu sensor primário, mas consegue enquadrar boas fotos que se pode postar nas mídias sociais, a câmera macro é boa com cores e detecção de borda, mas não possui profundidade de campo E detalhes, nota 10 Pro, que é brilhante nessas fotos de Casenight, está acima da média, principalmente granulada e confusa, mas melhor do que a maioria dos smartphones em seus segmentlacks alguma estabilidade na gravação de vídeo na exibição 4K AMOLED poderia ter feito com que o alto -falante estéreo seja necessário, mas a qualidade de áudio em uma única O alto-falante é muito bom instalado, como Moj, DailyHunt, Sharechat, Byju's são leves e desinstaláveis, mas tornam a experiência madura de uma interface do usuário imaturo para fora do dispositivo Boxurly não é ajustado para o desempenho de jogo alto como FPS limitado em jogos populares, como BGMI e Deters Cod Deters Fora de ser um dispositivo amigável para jogadores, mas podemos esperar que o Exynos 1280 se resolva com o tempo e seja mais otimizado para mais jogos em futuros atualizações de design iluminantemente barato, robusto em tamanho, carrega um pouco de peso, datada dated dollack de carregador na caixa é um chatice, que contribui para a proposta de custo de valor</v>
      </c>
    </row>
    <row r="364">
      <c r="A364" s="9" t="s">
        <v>1521</v>
      </c>
      <c r="B364" s="29" t="str">
        <f>VLOOKUP(dados!A364, reviews!A:G, 5, FALSE)</f>
        <v>Fake Product,Costly but excellent quality,Storage good but don't know how to Activate warantee??,Good for use,5 stas nahi diya kyuki capacity 477gb hi rahta hai,Speed not as advertise,Good one,It's ok</v>
      </c>
      <c r="C364" s="29" t="str">
        <f>VLOOKUP(dados!A364, reviews!A:G, 6, FALSE)</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c r="D364" s="29" t="str">
        <f>IFERROR(__xludf.DUMMYFUNCTION("GOOGLETRANSLATE(B364, ""en"", ""pt-br"")"),"Produto falso, caro, mas excelente qualidade, armazenamento bom, mas não sei como ativar a Warantee?")</f>
        <v>Produto falso, caro, mas excelente qualidade, armazenamento bom, mas não sei como ativar a Warantee?</v>
      </c>
      <c r="E364" s="29" t="str">
        <f>IFERROR(__xludf.DUMMYFUNCTION("GOOGLETRANSLATE(C364, ""en"", ""pt-br"")"),"O cartão SD de 128 GB está mostrando 134gbdon não comprar este produto, foi um pouco caro, mas o Prouduct é de ótima qualidade. Poderia ter sido feito um pouco mais barato. , O produto está ok.")</f>
        <v>O cartão SD de 128 GB está mostrando 134gbdon não comprar este produto, foi um pouco caro, mas o Prouduct é de ótima qualidade. Poderia ter sido feito um pouco mais barato. , O produto está ok.</v>
      </c>
    </row>
    <row r="365">
      <c r="A365" s="9" t="s">
        <v>1525</v>
      </c>
      <c r="B365" s="29" t="str">
        <f>VLOOKUP(dados!A365, reviews!A:G, 5, FALSE)</f>
        <v>Phone, camera, heating - works for me, may not for all,Good Mobile,Good but not excellent under this budget,Worth the price at 9499,Ok type phone... but unable to make videocall within same service provider.,Phone review,Budget king,Battery backup is good</v>
      </c>
      <c r="C365" s="29" t="str">
        <f>VLOOKUP(dados!A365, reviews!A:G,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D365" s="29" t="str">
        <f>IFERROR(__xludf.DUMMYFUNCTION("GOOGLETRANSLATE(B365, ""en"", ""pt-br"")"),"Telefone, câmera, aquecimento - funciona para mim, pode não para todos, bom celular, bom, mas não excelente sob esse orçamento, vale o preço em 9499, ok tipo telefone ... mas não consegue fazer videocall no mesmo provedor de serviços., Telefone Revisão, o"&amp;"rçamento rei, backup de bateria é bom")</f>
        <v>Telefone, câmera, aquecimento - funciona para mim, pode não para todos, bom celular, bom, mas não excelente sob esse orçamento, vale o preço em 9499, ok tipo telefone ... mas não consegue fazer videocall no mesmo provedor de serviços., Telefone Revisão, orçamento rei, backup de bateria é bom</v>
      </c>
      <c r="E365" s="29" t="str">
        <f>IFERROR(__xludf.DUMMYFUNCTION("GOOGLETRANSLATE(C365, ""en"", ""pt-br"")"),"Não sou grande uso da câmera, pessoalmente. Eu até estava mentalmente preparado para uma câmera ruim, com base em alguns comentários aqui. Mas fiquei agradavelmente surpreso que a câmera clique em boas fotos. Eles não são impressionantes, mas são fotos de"&amp;"centes que podem até ser compartilhadas. Agora, chegando ao meu maior galope; problema de aquecimento. O telefone começou a esquentar durante o carregamento, mas era apenas um pouco e eu poderia ter ignorado. Mas então começou a esquentar mais e me deixou"&amp;" muito preocupado. Eu até pedi um substituto pensando que recebi uma peça defeituosa. Mas depois, após mais testes, descobri que está aquecendo mais quando baixo grandes quantidades de dados, por exemplo, quando restaurar os dados do meu telefone antigo, "&amp;"de backup. Tudo bem comigo, pois, eu não executo enormes dados de dados regularmente, definitivamente não no telefone. Então eu testei executando tarefas que normalmente realizo, como verificação de e -mails do Office, participando da reunião do escritóri"&amp;"o por telefone, assistindo a um vídeo da Amazon Prime e assim por diante. O telefone não esquentou nem um pouco. Pessoalmente, isso é bom para mim. Nesta faixa de preço, este é um bom telefone. Mas se você é um usuário pesado da câmera e espera executar d"&amp;"ownloads pesados ​​com frequência, este telefone pode não para você. Estou pessoalmente satisfeito com este telefone, pois ele funciona para o meu tipo de uso. Não vou entrar em pontos positivos deste telefone, pois eles já estão cobertos por outras críti"&amp;"cas. Estou apenas tentando esclarecer como este telefone pode se adequar a você (ou não) em termos de câmera e aquecimento. Eu tive muitas perguntas sobre esses aspectos antes de comprar. Talvez esta revisão o ajude a tomar uma decisão informada de compra"&amp;"r (ou evitar). Cheers., Display - Beautycamera - DecentPerformance - AmazingBattery - OK (em 5000mAh, você espera mais TBH). Este telefone, mas continuarei atualizando esta revisão após 1 meses de uso!, É um celular decente sob esse preço, mas poucas cois"&amp;"as me preocuparam, o peso do telefone, muitos procedimentos para alterar algumas configurações, sem fundição de tela. Além disso, tem um bom toque, uma câmera decente para a luz do dia, a duração da bateria é boa. Comprei este smartphone para minha mãe. A"&amp;" interface Samusung é muito punhada para facilitar o uso. A bateria é excelente, o último dia inteiro. A câmera é medíocre, mas fornece imagens coloridas originais. No geral, está satisfeito com este smartphone que recebi à venda por 9499., não conseguiu "&amp;"fazer videochamadas dentro do mesmo provedor de serviços que em VoLTE no mesmo recurso de chamada de videochamada do provedor de serviços está disponível., O produto está bem. Nada chique, mas para o orçamento, é um bom telefone., Bateria: mais do que suf"&amp;"iciente para uso normal, não tenho certeza em gamingcamera: bom neste segmento, pode gravar vídeos em FHD 30fpsDisplay: como é uma tela LCD, a qualidade é um pouco menor, Mas Goodv Ram: você pode adicionar até 2 GB de RAM virtual, mas precisa sacrificar s"&amp;"eu espaço de armazenamento para usá -lo em geral um bom telefone orçamentário, a impressão digital está funcionando com o backup rápido da bateria é boa a qualidade da câmera também é boa")</f>
        <v>Não sou grande uso da câmera, pessoalmente. Eu até estava mentalmente preparado para uma câmera ruim, com base em alguns comentários aqui. Mas fiquei agradavelmente surpreso que a câmera clique em boas fotos. Eles não são impressionantes, mas são fotos decentes que podem até ser compartilhadas. Agora, chegando ao meu maior galope; problema de aquecimento. O telefone começou a esquentar durante o carregamento, mas era apenas um pouco e eu poderia ter ignorado. Mas então começou a esquentar mais e me deixou muito preocupado. Eu até pedi um substituto pensando que recebi uma peça defeituosa. Mas depois, após mais testes, descobri que está aquecendo mais quando baixo grandes quantidades de dados, por exemplo, quando restaurar os dados do meu telefone antigo, de backup. Tudo bem comigo, pois, eu não executo enormes dados de dados regularmente, definitivamente não no telefone. Então eu testei executando tarefas que normalmente realizo, como verificação de e -mails do Office, participando da reunião do escritório por telefone, assistindo a um vídeo da Amazon Prime e assim por diante. O telefone não esquentou nem um pouco. Pessoalmente, isso é bom para mim. Nesta faixa de preço, este é um bom telefone. Mas se você é um usuário pesado da câmera e espera executar downloads pesados ​​com frequência, este telefone pode não para você. Estou pessoalmente satisfeito com este telefone, pois ele funciona para o meu tipo de uso. Não vou entrar em pontos positivos deste telefone, pois eles já estão cobertos por outras críticas. Estou apenas tentando esclarecer como este telefone pode se adequar a você (ou não) em termos de câmera e aquecimento. Eu tive muitas perguntas sobre esses aspectos antes de comprar. Talvez esta revisão o ajude a tomar uma decisão informada de comprar (ou evitar). Cheers., Display - Beautycamera - DecentPerformance - AmazingBattery - OK (em 5000mAh, você espera mais TBH). Este telefone, mas continuarei atualizando esta revisão após 1 meses de uso!, É um celular decente sob esse preço, mas poucas coisas me preocuparam, o peso do telefone, muitos procedimentos para alterar algumas configurações, sem fundição de tela. Além disso, tem um bom toque, uma câmera decente para a luz do dia, a duração da bateria é boa. Comprei este smartphone para minha mãe. A interface Samusung é muito punhada para facilitar o uso. A bateria é excelente, o último dia inteiro. A câmera é medíocre, mas fornece imagens coloridas originais. No geral, está satisfeito com este smartphone que recebi à venda por 9499., não conseguiu fazer videochamadas dentro do mesmo provedor de serviços que em VoLTE no mesmo recurso de chamada de videochamada do provedor de serviços está disponível., O produto está bem. Nada chique, mas para o orçamento, é um bom telefone., Bateria: mais do que suficiente para uso normal, não tenho certeza em gamingcamera: bom neste segmento, pode gravar vídeos em FHD 30fpsDisplay: como é uma tela LCD, a qualidade é um pouco menor, Mas Goodv Ram: você pode adicionar até 2 GB de RAM virtual, mas precisa sacrificar seu espaço de armazenamento para usá -lo em geral um bom telefone orçamentário, a impressão digital está funcionando com o backup rápido da bateria é boa a qualidade da câmera também é boa</v>
      </c>
    </row>
    <row r="366">
      <c r="A366" s="9" t="s">
        <v>1529</v>
      </c>
      <c r="B366" s="29" t="str">
        <f>VLOOKUP(dados!A366, reviews!A:G, 5, FALSE)</f>
        <v>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v>
      </c>
      <c r="C366" s="29" t="str">
        <f>VLOOKUP(dados!A366, reviews!A:G, 6, FALSE)</f>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v>
      </c>
      <c r="D366" s="29" t="str">
        <f>IFERROR(__xludf.DUMMYFUNCTION("GOOGLETRANSLATE(B366, ""en"", ""pt-br"")"),"Vale a pena o dinheiro, bom relógio inteligente, a tela não liga e desligando o toque duplo, pois você deve pressionar o botão., Ui amigável, melhor AllRounder Orçamento Smartwatch sob 2k 🔥, este relógio inteligente é incrível, bom relógio no orçamento, "&amp;"a contagem de etapas não é tão precisa, mas a qualidade da chamada e outras coisas são boas")</f>
        <v>Vale a pena o dinheiro, bom relógio inteligente, a tela não liga e desligando o toque duplo, pois você deve pressionar o botão., Ui amigável, melhor AllRounder Orçamento Smartwatch sob 2k 🔥, este relógio inteligente é incrível, bom relógio no orçamento, a contagem de etapas não é tão precisa, mas a qualidade da chamada e outras coisas são boas</v>
      </c>
      <c r="E366" s="29" t="str">
        <f>IFERROR(__xludf.DUMMYFUNCTION("GOOGLETRANSLATE(C366, ""en"", ""pt-br"")"),"Gostei, vale o dinheiro, leve e confortável em todas as situações. Esse que eu recebi aqui tem uma interface do usuário estável, sem lag, parece premium (principalmente a alça macia e o botão Cool Crown somam muito) .. A principal razão Eu comprei isso po"&amp;"rque traz todas as características que todos precisam hoje com a aparência fora do lado. Porque eu tenho um pulso fino, mas estava bem. minutos para serem totalmente carregados. E a bateria também dura apenas 3-4 dias, só espero que, no futuro, se eu atua"&amp;"lizar o software, a opção de toque duplo virá. diferente de outras pessoas na música tocando no watch speaker.Great Experience.watchfaces A opção é boa. Podemos adicionar face Watchfaces. relógio inteligente. O Ninja Call Pro Plus é lançado recentemente, "&amp;"para que ele vem com recursos e especificações mais recentes. A tela é entalhada superior e o brilho é suficiente para uso no Outdoor. Medida cardíaca e SPO2 é bem preciso todos os sensores são trabalhados com eficiência. A leitura dos dados é precisa de "&amp;"90 a 95% em que você pode confiar nele em situações de emergência. Ele vem com 100 mods esportivos, todos os tipos de atividades e esportes são cobertos. A experiência em chamar também é muito agradável, o alto -falante e o microfone é uma voz suficientem"&amp;"ente decente em interior. Mas a bateria deve ser melhor, é necessário cobrar 1 tempo no dia. Exibição curva em 3D proporciona experiência visual awasne. A qualidade da correia é muito macia e feminino também a usa muito bem. Portanto, no geral, ele possui"&amp;" o melhor smartwatch abaixo da tela, chamadas, sensores, qualidade do bulit, backup de bateria, mods esportivos, impermeabilizados, etc. Você definitivamente deve optar por este. Produto satisfeito. 👍🔥👍, este relógio é muito bom, mas 1 problema estou u"&amp;"sando este relógio de 1 semana e alguns dias atrás seus pixels estavam caindo, a tela não estava funcionando corretamente, mas depois de reiniciar, estava funcionando corretamente e a partir de então eu Não, não enfrentou esse problema novamente., bom rel"&amp;"ógio com boa interface da interface do usuário com o recurso de chamada. Energia repleta de recursos com preço muito baixo. Se você está com orçamento apertado e procurando o smartwatch de calamento, definitivamente deve optar por este., A qualidade de co"&amp;"nstrução é ótima. Recurso da tela, é um pouco laggy. Orçamento e querer chamadas e boa experiência na interface do usuário Você pode comprar este produto")</f>
        <v>Gostei, vale o dinheiro, leve e confortável em todas as situações. Esse que eu recebi aqui tem uma interface do usuário estável, sem lag, parece premium (principalmente a alça macia e o botão Cool Crown somam muito) .. A principal razão Eu comprei isso porque traz todas as características que todos precisam hoje com a aparência fora do lado. Porque eu tenho um pulso fino, mas estava bem. minutos para serem totalmente carregados. E a bateria também dura apenas 3-4 dias, só espero que, no futuro, se eu atualizar o software, a opção de toque duplo virá. diferente de outras pessoas na música tocando no watch speaker.Great Experience.watchfaces A opção é boa. Podemos adicionar face Watchfaces. relógio inteligente. O Ninja Call Pro Plus é lançado recentemente, para que ele vem com recursos e especificações mais recentes. A tela é entalhada superior e o brilho é suficiente para uso no Outdoor. Medida cardíaca e SPO2 é bem preciso todos os sensores são trabalhados com eficiência. A leitura dos dados é precisa de 90 a 95% em que você pode confiar nele em situações de emergência. Ele vem com 100 mods esportivos, todos os tipos de atividades e esportes são cobertos. A experiência em chamar também é muito agradável, o alto -falante e o microfone é uma voz suficientemente decente em interior. Mas a bateria deve ser melhor, é necessário cobrar 1 tempo no dia. Exibição curva em 3D proporciona experiência visual awasne. A qualidade da correia é muito macia e feminino também a usa muito bem. Portanto, no geral, ele possui o melhor smartwatch abaixo da tela, chamadas, sensores, qualidade do bulit, backup de bateria, mods esportivos, impermeabilizados, etc. Você definitivamente deve optar por este. Produto satisfeito. 👍🔥👍, este relógio é muito bom, mas 1 problema estou usando este relógio de 1 semana e alguns dias atrás seus pixels estavam caindo, a tela não estava funcionando corretamente, mas depois de reiniciar, estava funcionando corretamente e a partir de então eu Não, não enfrentou esse problema novamente., bom relógio com boa interface da interface do usuário com o recurso de chamada. Energia repleta de recursos com preço muito baixo. Se você está com orçamento apertado e procurando o smartwatch de calamento, definitivamente deve optar por este., A qualidade de construção é ótima. Recurso da tela, é um pouco laggy. Orçamento e querer chamadas e boa experiência na interface do usuário Você pode comprar este produto</v>
      </c>
    </row>
    <row r="367">
      <c r="A367" s="9" t="s">
        <v>1532</v>
      </c>
      <c r="B367" s="29" t="str">
        <f>VLOOKUP(dados!A367, reviews!A:G, 5, FALSE)</f>
        <v>Worth the price, expecting good performance on extended use,According to this price is value for money Good product,Good budget calling smart watch.,Just Go For It,It's good product in this range,Very Good watch in this price Range,Good Product as per the price charged,Good in budget</v>
      </c>
      <c r="C367" s="29" t="str">
        <f>VLOOKUP(dados!A367, reviews!A:G, 6, FALSE)</f>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v>
      </c>
      <c r="D367" s="29" t="str">
        <f>IFERROR(__xludf.DUMMYFUNCTION("GOOGLETRANSLATE(B367, ""en"", ""pt-br"")"),"Vale o preço, esperando um bom desempenho em uso prolongado, de acordo com esse preço, é um bom produto, bom produto, bom orçamento chamando o relógio inteligente., Basta seguir em frente, é um bom produto nesse intervalo, um bom relógio nessa faixa de pr"&amp;"eço, bom Produto conforme o preço cobrado, bom em orçamento")</f>
        <v>Vale o preço, esperando um bom desempenho em uso prolongado, de acordo com esse preço, é um bom produto, bom produto, bom orçamento chamando o relógio inteligente., Basta seguir em frente, é um bom produto nesse intervalo, um bom relógio nessa faixa de preço, bom Produto conforme o preço cobrado, bom em orçamento</v>
      </c>
      <c r="E367" s="29" t="str">
        <f>IFERROR(__xludf.DUMMYFUNCTION("GOOGLETRANSLATE(C367, ""en"", ""pt-br"")"),"Recebeu o produto hoje. A embalagem estava intacta, embora eu encontrasse o relógio não no seu lugar apropriado. Ele caiu dentro da caixa e encontrou a caixa de retenção interna danificada também. Não esperando nenhum tipo de adulteração, mas que se penso"&amp;"u em compartilhar a embalagem do produto. No geral, bom produto, compartilhará uma revisão detalhada depois de usá -lo por pelo menos por semana., Bom relógio através do fogo 🔥 boulti estou impressionado para este relógio é para que compundaLe e todos A "&amp;"marca é dada a esse recurso, estou feliz por este relógio que você dispara 🔥 boult, prós: o telefone suporta telefone e aplicativos. Tem muito cobrança. Localizador de telefone, o obturador da câmera do telefone são bons recursos. BELO PROCURAÇÃO. CONSEN"&amp;"HO: Não é uma tela cheia, a tela é menor que o relógio. Meu relógio não é alinhado central. Número limitado de rosto de relógio. Às vezes tende a chamar o número recente com um toque falso. A lista telefônica deve ser um pouco maior que 8 números. Acabei "&amp;"de comprar, então minha revisão é basicamente a primeira impressão. Vou escrever uma revisão detalhada após alguns dias de uso. Eu gosto do estilo e parece bom. Até agora, a operação de toque também é boa, é um bom produto nesse intervalo, porque eu tenho"&amp;" mais um relógio inteligente Pebble na mesma faixa de preço, mas depois de usar o Fire Boltt, é melhor. Apenas uma questão que não interrompe o anel de chamada durante o escritório ou o horário da reunião. Gostei de tudo, exceto a precisão do nível de aud"&amp;"itório e O2, mas está próximo dos níveis reais, tão médio a esse respeito. Caso contrário, é uma morte pelo dinheiro !!! Muito bom no geral., O produto é bom de acordo com o preço cobrado. Um feedback para o fornecedor para melhorar o vidro do relógio, há"&amp;" muitos arranhões dentro de um mês após o uso., Tudo é bom. Satisfeito. A seleção automática do modo esportivo não está lá. Você precisa selecionar cada modo esportivo para cada treino")</f>
        <v>Recebeu o produto hoje. A embalagem estava intacta, embora eu encontrasse o relógio não no seu lugar apropriado. Ele caiu dentro da caixa e encontrou a caixa de retenção interna danificada também. Não esperando nenhum tipo de adulteração, mas que se pensou em compartilhar a embalagem do produto. No geral, bom produto, compartilhará uma revisão detalhada depois de usá -lo por pelo menos por semana., Bom relógio através do fogo 🔥 boulti estou impressionado para este relógio é para que compundaLe e todos A marca é dada a esse recurso, estou feliz por este relógio que você dispara 🔥 boult, prós: o telefone suporta telefone e aplicativos. Tem muito cobrança. Localizador de telefone, o obturador da câmera do telefone são bons recursos. BELO PROCURAÇÃO. CONSENHO: Não é uma tela cheia, a tela é menor que o relógio. Meu relógio não é alinhado central. Número limitado de rosto de relógio. Às vezes tende a chamar o número recente com um toque falso. A lista telefônica deve ser um pouco maior que 8 números. Acabei de comprar, então minha revisão é basicamente a primeira impressão. Vou escrever uma revisão detalhada após alguns dias de uso. Eu gosto do estilo e parece bom. Até agora, a operação de toque também é boa, é um bom produto nesse intervalo, porque eu tenho mais um relógio inteligente Pebble na mesma faixa de preço, mas depois de usar o Fire Boltt, é melhor. Apenas uma questão que não interrompe o anel de chamada durante o escritório ou o horário da reunião. Gostei de tudo, exceto a precisão do nível de auditório e O2, mas está próximo dos níveis reais, tão médio a esse respeito. Caso contrário, é uma morte pelo dinheiro !!! Muito bom no geral., O produto é bom de acordo com o preço cobrado. Um feedback para o fornecedor para melhorar o vidro do relógio, há muitos arranhões dentro de um mês após o uso., Tudo é bom. Satisfeito. A seleção automática do modo esportivo não está lá. Você precisa selecionar cada modo esportivo para cada treino</v>
      </c>
    </row>
    <row r="368">
      <c r="A368" s="9" t="s">
        <v>1536</v>
      </c>
      <c r="B368" s="29" t="str">
        <f>VLOOKUP(dados!A368, reviews!A:G, 5, FALSE)</f>
        <v>THE PERFECT PHONE – FOR MY REQUIREMENTS,Galaxy M33 5G a mixed bag of Affordability</v>
      </c>
      <c r="C368" s="29" t="str">
        <f>VLOOKUP(dados!A368, reviews!A:G, 6, FALSE)</f>
        <v>I would not consider buying an i-phone simply because my friend owns two of them –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 but I think of a cellphone as a utility item, not a status symbol. Applying a technocratic approach, I would not choose a costlier option unless I get additional features which suit my requirements.My foremost requirement – which is entirely non-negotiable –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‘immersive listening experience’ and its screen is plain old TFT instead of AMOLED. I am willing to live with these perceived shortcomings, so long as the M33 meets my requirements.I was glad to find that Samsung has taken an environmentally friendly step of offering many models of handsets without chargers –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Samsung’s best-value smartphone yet under 20K segmentPros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 screen recorder, video call effects, Game Launcher, Link to Windows, Dual Messenger, Quick Share, Music Share, and Secure Folder, along with many others. Some of the fancy Android 12 features, like the ability to change the color palette of icons and menus based on the wallpaper and 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v>
      </c>
      <c r="D368" s="29" t="str">
        <f>IFERROR(__xludf.DUMMYFUNCTION("GOOGLETRANSLATE(B368, ""en"", ""pt-br"")"),"O telefone perfeito - para meus requisitos, Galaxy M33 5G um saco misto de acessibilidade")</f>
        <v>O telefone perfeito - para meus requisitos, Galaxy M33 5G um saco misto de acessibilidade</v>
      </c>
      <c r="E368" s="29" t="str">
        <f>IFERROR(__xludf.DUMMYFUNCTION("GOOGLETRANSLATE(C368, ""en"", ""pt-br"")"),"Eu não consideraria comprar um i-phone simplesmente porque meu amigo é dono de dois deles-ou vá para um novo modelo Android sugerido por meu filho ou sobrinho (ambos mais experientes em tecnologia do que eu) porque suas recomendações são obviamente basead"&amp;"as em Suas próprias necessidades e expectativas, que podem diferir dos meus. Sou um engenheiro mecânico antiquado com um entendimento básico de parâmetros como milímetros, megapixels e megabytes-mas penso em um telefone celular como um item de utilitário,"&amp;" não um símbolo de status. Aplicando uma abordagem tecnocrática, eu não escolheria uma opção mais cara, a menos que obtenha recursos adicionais que atendam aos meus requisitos. Meu requisito principal-que é totalmente não negociável-é que meu aparelho dev"&amp;"e ter provisão para dois cartões SIM, pois não quero Para transportar dois aparelhos separados para o meu CUG e números pessoais. Meus outros requisitos não são difíceis de cumprir: uma agenda telefônica com pelo menos 2000 contatos, conectividade líquida"&amp;" básica, uma câmera básica para fotos e vídeos e escopo para baixar alguns aplicativos, como o onipresente whatsapp e meus jogos de palavras favoritos (que não precisam muita memória ou capacidade de processamento). Eu certamente apreciaria recursos práti"&amp;"cos, como alta confiabilidade, atualizações de software e segurança e alta capacidade da bateria (suficientes por 24 horas ou de preferência 48 horas no meu nível normal de uso). Além disso, gostaria de usar um novo aparelho por pelo menos dois anos. . Es"&amp;"tou igualmente claro sobre o que não preciso. Não pretendo usar meu celular para assistir filmes, ler livros, ouvir música ou criar postagens sofisticadas de mídia social. Também não quero um dispositivo para tirar fotos de alta resolução durante as féria"&amp;"s, pois preferiria usar uma câmera. Correndo o risco de parecer irreverente, eu diria que não quero que um dispositivo desbloqueie meu carro ou conte os golpes em um jogo de golfe - principalmente porque não possuo um carro e não jogo golfe! Tendo usado s"&amp;"martphones de Samsung e Motorola fazem nos últimos anos, eu prefiro muito o primeiro. Meu último telefone, que me deu mais de 30 meses de bom serviço, foi um Samsung M30. Como esse modelo está obsoleto agora, concentrei -me em seus primos atualizados: M32"&amp;", M33 e M52. O último foi imediatamente descartado, pois não suporta dois cartões SIM junto com um cartão SD. Depois de estudar as especificações relativas de M32 e M33, concluí que o último oferece melhor valor ao dinheiro. Geralmente, vale a pena ir par"&amp;"a a memória mais alta e as versões mais altas de RAM, pois esses parâmetros afetam o desempenho e a diferença no custo é relativamente pequena. Com essas considerações, reduzi minha escolha ao M33 com 8 GB de RAM e armazenamento de 128 GB (há apenas vinte"&amp;" anos, eu estava usando uma área de trabalho com memória de 2 GB!) Como confirmação para minha escolha, comparei o telefone que selecionei com o OnePlus Nord CE 2 (8 GB de RAM, armazenamento de 128 GB) que meu filho havia recomendado. A especificação do t"&amp;"elefone Samsung foi equivalente ou superior aos principais parâmetros, exceto que a tecnologia da tela de exibição era TFT em vez de AMOLED. Também assisti a alguns vídeos do YouTube sobre esses aparelhos para uma melhor apreciação de seus recursos concor"&amp;"rentes. O fator de conjuração era que o telefone Samsung tinha um preço substancialmente menor que o produto OnePlus. Eu estava pensando que isso seria irrelevante, pois eu uso um caso que envolve completamente o aparelho, mas acabou que a cor do corpo po"&amp;"de ser vislumbrada pelo recorte das câmeras na parte traseira do telefone.Pespese uma forte semelhança familiar com minha velha Um (M30), o novo telefone (M33) oferece especificações decididamente superiores e atende perfeitamente aos meus requisitos. São"&amp;" alguns milímetros por mais tempo e alguns gramas mais pesados ​​que o meu telefone antigo, mas essas diferenças são aceitáveis ​​para mim. Graças à câmera frontal de 50MP e à câmera selfie de 8MP, a qualidade das fotos e vídeos está acima das minhas expe"&amp;"ctativas (veja a foto da amostra tirada à noite a uma distância de cerca de 30 metros do palco). Este telefone oferece dois anos de atualizações do Android e quatro anos de atualizações de patches de segurança, o que reduz as preocupações nessas frentes. "&amp;"Os revisores do YouTube reclamam que o M33 tem aparência clara, é pesado, seu áudio não oferece uma 'experiência de escuta imersiva' e sua tela é antiga TFT simples em vez de AMOLED. Estou disposto a conviver com essas deficiências percebidas, desde que o"&amp;" M33 atenda aos meus requisitos. Fiquei feliz em descobrir que a Samsung deu um passo ecológico para oferecer muitos modelos de aparelhos sem carregadores - porque carregadores antigos, como aparelhos antigos, adicionar para o lixo eletrônico. No entanto,"&amp;" é preciso ter em mente que novos aparelhos exigem carregadores de maior capacidade. O carregador recomendado para o M33 é de 25 watts, mas os carregadores que eu tinha em casa são classificados em 5 ou 10 watts. Depois de usar o novo aparelho por algumas"&amp;" semanas, acho que meu telefone está com uma cobrança de 60 a 70% no final do dia e leva de 30 a 40 minutos para cobrança completa (uma das características úteis do M33 é que Ele mostra o tempo restante para o carregamento completo assim que for conectado"&amp;" para carregar). Acontece que eu poderia ter conseguido com o antigo carregador de 10 watts, exceto que levaria 60-90 minutos para carregar total. Concluo enfatizando que o Samsung Galaxy M33 5G é o telefone perfeito-mas para meus requisitos. Uma palavra "&amp;"de conselho: se você planeja comprar um novo telefone, seria útil se você listar seus requisitos para não acabar pagando pelos recursos que não pretende usar., Com conectividade 5G, um 120Hz Exibição e desempenho sólido, o Galaxy M33 5G é o smartphone de "&amp;"melhor valor da Samsung, mas com menos de 20k segmentpros quase metade do preço do Galaxy A53exynos 1280 é uma sólida exibição de 120Hz de execução de 120Hz com experiência suave no desempenho da Boardhuge Over M32one UI 4.1 baseado em andróide 12 tem ter"&amp;" Toneladas de bons recursos para amar, nenhum dos principais recursos de grau é ignorado aqui (além do modo DEX e dos recursos SPEN), lag zero ou gaguejando no modo 120 Hz com facilidade de uso e comutação de aplicativos sem qualquer acidente ou recarga d"&amp;"e aplicativos , Torna o uso de um prazer de uma interface do usuário de surfar, você obtém recursos como um gravador de tela, efeitos de chamadas de vídeo, lançador de jogos, link para Windows, Dual Messenger, Share Rick Share, Music Share e Secure Pouxer"&amp;", além de muitos outros. Algumas das características sofisticadas do Android 12, como a capacidade de alterar a paleta de cores de ícones e menus com base no papel de parede e diminuir a tela para facilitar a leitura no escuro, também são incluídos. Voice"&amp;" Focus for Chamadas é excelente recurso, qualidade telefônica é realmente bom, mesmo em áreas de nosiy e lotadas, não teve problemas com GPS ou conectividade enquanto usava o Google Maps para navegar, o sinal permanece forte mesmo em áreas rurais, isso é "&amp;"um ponto positivo com boa precisão 4g VoLT O roteador é forte e tem um desempenho mais do que satisfatoriamente com baixa latência A conectividade RESPOSTBLUETOOTH 5.1 é forte e não tem uma boa faixa de desconexão, mesmo que a qualidade de 15 metros de 3,"&amp;"5 mm é excelente em comparação com o Redmi Note 10 Pro, muito mais definido e bem arredondado para Consumo de mídia WideWine L1 Suporte está presente, boa experiência AV em plataformas OTT, não tenho queixas sérias sobre a reprodução de cores em vídeos co"&amp;"nsiderando o TFT LCD Este painel faz um trabalho bom o suficiente. Quase todas as condições, mantém cores próximas à realidade, com uma boa faixa dinâmica e manuseio de exposição com HDR em fotos e vídeos, é capaz de lidar com condições extremamente brilh"&amp;"antes de boas -vindas nas sombras durante o dia, foi capaz de manter bons vídeos estáveis ​​em cores. A gravação de vídeo 1080p4k está disponível em 30 qps está disponível Recursos de câmera legal, possui modo divertido, único tomado, borracha de objetos "&amp;"e vídeo tnr (redução de ruído temporal), o que torna divertido usar a câmera cameraselfie tem boas cores pinceladas, o caminho da cor da Samsung Processando alguns pode gostar, alguns podem não exagerar a duração da bateria, obteve 9 horas de SOT, apesar "&amp;"do uso pesado. Demora cerca de 1,5 horas para ir de 0 a 100 e meia hora de carregamento pode levar a porcentagem da bateria para cerca de 45%, desde que você tenha um tempo de verão de 25 watts Samsung, que o telefone conseguiu ficar relativamente frio, a"&amp;"rquitetura de 5nm, ajudando sua causa Aqui12 5G O slot de cartão SD de bandas 5G é um suporte de carregamento rápido de 25 watts de 25 watts razoável para o segmento de preços, mas vimos velocidades de carregamento mais rápidas com outros OEMspromed 2 pri"&amp;"ncipais atualizações do sistema operacional Android e 4 anos de atualização de segurança é uma grande quantidade acima de seus concorrentes, tornando isso Dispositivo Mais valor para o dinheiro em longas pistas de câmera ultrawida está do lado mais suave,"&amp;" carece de detalhes em comparação com seu sensor primário, mas consegue enquadrar boas fotos que se pode postar nas mídias sociais, a câmera macro é boa com cores e detecção de borda, mas não possui profundidade de campo E detalhes, nota 10 Pro, que é bri"&amp;"lhante nessas fotos de Casenight, está acima da média, principalmente granulada e confusa, mas melhor do que a maioria dos smartphones em seus segmentlacks alguma estabilidade na gravação de vídeo na exibição 4K AMOLED poderia ter feito com que o alto -fa"&amp;"lante estéreo seja necessário, mas a qualidade de áudio em uma única O alto-falante é muito bom instalado, como Moj, DailyHunt, Sharechat, Byju's são leves e desinstaláveis, mas tornam a experiência madura de uma interface do usuário imaturo para fora do "&amp;"dispositivo Boxurly não é ajustado para o desempenho de jogo alto como FPS limitado em jogos populares, como BGMI e Deters Cod Deters Fora de ser um dispositivo amigável para jogadores, mas podemos esperar que o Exynos 1280 se resolva com o tempo e seja m"&amp;"ais otimizado para mais jogos em futuros atualizações de design iluminantemente barato, robusto em tamanho, carrega um pouco de peso, datada dated dollack de carregador na caixa é um chatice, que contribui para a proposta de custo de valor")</f>
        <v>Eu não consideraria comprar um i-phone simplesmente porque meu amigo é dono de dois deles-ou vá para um novo modelo Android sugerido por meu filho ou sobrinho (ambos mais experientes em tecnologia do que eu) porque suas recomendações são obviamente baseadas em Suas próprias necessidades e expectativas, que podem diferir dos meus. Sou um engenheiro mecânico antiquado com um entendimento básico de parâmetros como milímetros, megapixels e megabytes-mas penso em um telefone celular como um item de utilitário, não um símbolo de status. Aplicando uma abordagem tecnocrática, eu não escolheria uma opção mais cara, a menos que obtenha recursos adicionais que atendam aos meus requisitos. Meu requisito principal-que é totalmente não negociável-é que meu aparelho deve ter provisão para dois cartões SIM, pois não quero Para transportar dois aparelhos separados para o meu CUG e números pessoais. Meus outros requisitos não são difíceis de cumprir: uma agenda telefônica com pelo menos 2000 contatos, conectividade líquida básica, uma câmera básica para fotos e vídeos e escopo para baixar alguns aplicativos, como o onipresente whatsapp e meus jogos de palavras favoritos (que não precisam muita memória ou capacidade de processamento). Eu certamente apreciaria recursos práticos, como alta confiabilidade, atualizações de software e segurança e alta capacidade da bateria (suficientes por 24 horas ou de preferência 48 horas no meu nível normal de uso). Além disso, gostaria de usar um novo aparelho por pelo menos dois anos. . Estou igualmente claro sobre o que não preciso. Não pretendo usar meu celular para assistir filmes, ler livros, ouvir música ou criar postagens sofisticadas de mídia social. Também não quero um dispositivo para tirar fotos de alta resolução durante as férias, pois preferiria usar uma câmera. Correndo o risco de parecer irreverente, eu diria que não quero que um dispositivo desbloqueie meu carro ou conte os golpes em um jogo de golfe - principalmente porque não possuo um carro e não jogo golfe! Tendo usado smartphones de Samsung e Motorola fazem nos últimos anos, eu prefiro muito o primeiro. Meu último telefone, que me deu mais de 30 meses de bom serviço, foi um Samsung M30. Como esse modelo está obsoleto agora, concentrei -me em seus primos atualizados: M32, M33 e M52. O último foi imediatamente descartado, pois não suporta dois cartões SIM junto com um cartão SD. Depois de estudar as especificações relativas de M32 e M33, concluí que o último oferece melhor valor ao dinheiro. Geralmente, vale a pena ir para a memória mais alta e as versões mais altas de RAM, pois esses parâmetros afetam o desempenho e a diferença no custo é relativamente pequena. Com essas considerações, reduzi minha escolha ao M33 com 8 GB de RAM e armazenamento de 128 GB (há apenas vinte anos, eu estava usando uma área de trabalho com memória de 2 GB!) Como confirmação para minha escolha, comparei o telefone que selecionei com o OnePlus Nord CE 2 (8 GB de RAM, armazenamento de 128 GB) que meu filho havia recomendado. A especificação do telefone Samsung foi equivalente ou superior aos principais parâmetros, exceto que a tecnologia da tela de exibição era TFT em vez de AMOLED. Também assisti a alguns vídeos do YouTube sobre esses aparelhos para uma melhor apreciação de seus recursos concorrentes. O fator de conjuração era que o telefone Samsung tinha um preço substancialmente menor que o produto OnePlus. Eu estava pensando que isso seria irrelevante, pois eu uso um caso que envolve completamente o aparelho, mas acabou que a cor do corpo pode ser vislumbrada pelo recorte das câmeras na parte traseira do telefone.Pespese uma forte semelhança familiar com minha velha Um (M30), o novo telefone (M33) oferece especificações decididamente superiores e atende perfeitamente aos meus requisitos. São alguns milímetros por mais tempo e alguns gramas mais pesados ​​que o meu telefone antigo, mas essas diferenças são aceitáveis ​​para mim. Graças à câmera frontal de 50MP e à câmera selfie de 8MP, a qualidade das fotos e vídeos está acima das minhas expectativas (veja a foto da amostra tirada à noite a uma distância de cerca de 30 metros do palco). Este telefone oferece dois anos de atualizações do Android e quatro anos de atualizações de patches de segurança, o que reduz as preocupações nessas frentes. Os revisores do YouTube reclamam que o M33 tem aparência clara, é pesado, seu áudio não oferece uma 'experiência de escuta imersiva' e sua tela é antiga TFT simples em vez de AMOLED. Estou disposto a conviver com essas deficiências percebidas, desde que o M33 atenda aos meus requisitos. Fiquei feliz em descobrir que a Samsung deu um passo ecológico para oferecer muitos modelos de aparelhos sem carregadores - porque carregadores antigos, como aparelhos antigos, adicionar para o lixo eletrônico. No entanto, é preciso ter em mente que novos aparelhos exigem carregadores de maior capacidade. O carregador recomendado para o M33 é de 25 watts, mas os carregadores que eu tinha em casa são classificados em 5 ou 10 watts. Depois de usar o novo aparelho por algumas semanas, acho que meu telefone está com uma cobrança de 60 a 70% no final do dia e leva de 30 a 40 minutos para cobrança completa (uma das características úteis do M33 é que Ele mostra o tempo restante para o carregamento completo assim que for conectado para carregar). Acontece que eu poderia ter conseguido com o antigo carregador de 10 watts, exceto que levaria 60-90 minutos para carregar total. Concluo enfatizando que o Samsung Galaxy M33 5G é o telefone perfeito-mas para meus requisitos. Uma palavra de conselho: se você planeja comprar um novo telefone, seria útil se você listar seus requisitos para não acabar pagando pelos recursos que não pretende usar., Com conectividade 5G, um 120Hz Exibição e desempenho sólido, o Galaxy M33 5G é o smartphone de melhor valor da Samsung, mas com menos de 20k segmentpros quase metade do preço do Galaxy A53exynos 1280 é uma sólida exibição de 120Hz de execução de 120Hz com experiência suave no desempenho da Boardhuge Over M32one UI 4.1 baseado em andróide 12 tem ter Toneladas de bons recursos para amar, nenhum dos principais recursos de grau é ignorado aqui (além do modo DEX e dos recursos SPEN), lag zero ou gaguejando no modo 120 Hz com facilidade de uso e comutação de aplicativos sem qualquer acidente ou recarga de aplicativos , Torna o uso de um prazer de uma interface do usuário de surfar, você obtém recursos como um gravador de tela, efeitos de chamadas de vídeo, lançador de jogos, link para Windows, Dual Messenger, Share Rick Share, Music Share e Secure Pouxer, além de muitos outros. Algumas das características sofisticadas do Android 12, como a capacidade de alterar a paleta de cores de ícones e menus com base no papel de parede e diminuir a tela para facilitar a leitura no escuro, também são incluídos. Voice Focus for Chamadas é excelente recurso, qualidade telefônica é realmente bom, mesmo em áreas de nosiy e lotadas, não teve problemas com GPS ou conectividade enquanto usava o Google Maps para navegar, o sinal permanece forte mesmo em áreas rurais, isso é um ponto positivo com boa precisão 4g VoLT O roteador é forte e tem um desempenho mais do que satisfatoriamente com baixa latência A conectividade RESPOSTBLUETOOTH 5.1 é forte e não tem uma boa faixa de desconexão, mesmo que a qualidade de 15 metros de 3,5 mm é excelente em comparação com o Redmi Note 10 Pro, muito mais definido e bem arredondado para Consumo de mídia WideWine L1 Suporte está presente, boa experiência AV em plataformas OTT, não tenho queixas sérias sobre a reprodução de cores em vídeos considerando o TFT LCD Este painel faz um trabalho bom o suficiente. Quase todas as condições, mantém cores próximas à realidade, com uma boa faixa dinâmica e manuseio de exposição com HDR em fotos e vídeos, é capaz de lidar com condições extremamente brilhantes de boas -vindas nas sombras durante o dia, foi capaz de manter bons vídeos estáveis ​​em cores. A gravação de vídeo 1080p4k está disponível em 30 qps está disponível Recursos de câmera legal, possui modo divertido, único tomado, borracha de objetos e vídeo tnr (redução de ruído temporal), o que torna divertido usar a câmera cameraselfie tem boas cores pinceladas, o caminho da cor da Samsung Processando alguns pode gostar, alguns podem não exagerar a duração da bateria, obteve 9 horas de SOT, apesar do uso pesado. Demora cerca de 1,5 horas para ir de 0 a 100 e meia hora de carregamento pode levar a porcentagem da bateria para cerca de 45%, desde que você tenha um tempo de verão de 25 watts Samsung, que o telefone conseguiu ficar relativamente frio, arquitetura de 5nm, ajudando sua causa Aqui12 5G O slot de cartão SD de bandas 5G é um suporte de carregamento rápido de 25 watts de 25 watts razoável para o segmento de preços, mas vimos velocidades de carregamento mais rápidas com outros OEMspromed 2 principais atualizações do sistema operacional Android e 4 anos de atualização de segurança é uma grande quantidade acima de seus concorrentes, tornando isso Dispositivo Mais valor para o dinheiro em longas pistas de câmera ultrawida está do lado mais suave, carece de detalhes em comparação com seu sensor primário, mas consegue enquadrar boas fotos que se pode postar nas mídias sociais, a câmera macro é boa com cores e detecção de borda, mas não possui profundidade de campo E detalhes, nota 10 Pro, que é brilhante nessas fotos de Casenight, está acima da média, principalmente granulada e confusa, mas melhor do que a maioria dos smartphones em seus segmentlacks alguma estabilidade na gravação de vídeo na exibição 4K AMOLED poderia ter feito com que o alto -falante estéreo seja necessário, mas a qualidade de áudio em uma única O alto-falante é muito bom instalado, como Moj, DailyHunt, Sharechat, Byju's são leves e desinstaláveis, mas tornam a experiência madura de uma interface do usuário imaturo para fora do dispositivo Boxurly não é ajustado para o desempenho de jogo alto como FPS limitado em jogos populares, como BGMI e Deters Cod Deters Fora de ser um dispositivo amigável para jogadores, mas podemos esperar que o Exynos 1280 se resolva com o tempo e seja mais otimizado para mais jogos em futuros atualizações de design iluminantemente barato, robusto em tamanho, carrega um pouco de peso, datada dated dollack de carregador na caixa é um chatice, que contribui para a proposta de custo de valor</v>
      </c>
    </row>
    <row r="369">
      <c r="A369" s="9" t="s">
        <v>1540</v>
      </c>
      <c r="B369" s="29" t="str">
        <f>VLOOKUP(dados!A369, reviews!A:G, 5, FALSE)</f>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v>
      </c>
      <c r="C369" s="29" t="str">
        <f>VLOOKUP(dados!A369, reviews!A:G, 6, FALSE)</f>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v>
      </c>
      <c r="D369" s="29" t="str">
        <f>IFERROR(__xludf.DUMMYFUNCTION("GOOGLETRANSLATE(B369, ""en"", ""pt-br"")"),"Ele controla o brilho automaticamente sempre que você vai em lugar escuro ou sob luz solar., Bom em jogos, toque não é bom, bom celular dentro da faixa de preço, ótimo telefone, bom telefone, orçamento mein sabse mast telefone, boa, mas a qualidade da câm"&amp;"era não está de acordo com A qualidade da câmera de expectativas não está à altura das expectativas")</f>
        <v>Ele controla o brilho automaticamente sempre que você vai em lugar escuro ou sob luz solar., Bom em jogos, toque não é bom, bom celular dentro da faixa de preço, ótimo telefone, bom telefone, orçamento mein sabse mast telefone, boa, mas a qualidade da câmera não está de acordo com A qualidade da câmera de expectativas não está à altura das expectativas</v>
      </c>
      <c r="E369" s="29" t="str">
        <f>IFERROR(__xludf.DUMMYFUNCTION("GOOGLETRANSLATE(C369, ""en"", ""pt-br"")"),"Este é o meu primeiro 5G IQOO Mobile comprado em 26 de dezembro na Amazon. Até agora, eu não senti nada de ruim neste celular. Feliz com a compra. A qualidade da câmera é boa. Funciona sem problemas em todas as opções., Este é um bom aparelho de desempenh"&amp;"o, mas a qualidade da câmera não é boa, mesmo que eles tenham dito que é uma câmera de 50 MP que não tem uma foto nítida. Então você não está pensando na câmera, é uma boa escolha para essa quantidade. Ele também tem um problema com a conectividade 5G (JI"&amp;"O)., Touch não é bom, na, bom telefone, mas a qualidade da câmera não é boa o suficiente, mas processor é ótimo, muito bom, com orçamento mencse mast telefone, a qualidade da câmera não está à altura das expectativas")</f>
        <v>Este é o meu primeiro 5G IQOO Mobile comprado em 26 de dezembro na Amazon. Até agora, eu não senti nada de ruim neste celular. Feliz com a compra. A qualidade da câmera é boa. Funciona sem problemas em todas as opções., Este é um bom aparelho de desempenho, mas a qualidade da câmera não é boa, mesmo que eles tenham dito que é uma câmera de 50 MP que não tem uma foto nítida. Então você não está pensando na câmera, é uma boa escolha para essa quantidade. Ele também tem um problema com a conectividade 5G (JIO)., Touch não é bom, na, bom telefone, mas a qualidade da câmera não é boa o suficiente, mas processor é ótimo, muito bom, com orçamento mencse mast telefone, a qualidade da câmera não está à altura das expectativas</v>
      </c>
    </row>
    <row r="370">
      <c r="A370" s="9" t="s">
        <v>1544</v>
      </c>
      <c r="B370" s="29" t="str">
        <f>VLOOKUP(dados!A370, reviews!A:G, 5, FALSE)</f>
        <v>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v>
      </c>
      <c r="C370" s="29" t="str">
        <f>VLOOKUP(dados!A370, reviews!A:G, 6, FALSE)</f>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v>
      </c>
      <c r="D370" s="29" t="str">
        <f>IFERROR(__xludf.DUMMYFUNCTION("GOOGLETRANSLATE(B370, ""en"", ""pt-br"")"),"Vale a pena o dinheiro, bom relógio inteligente, a tela não liga e desligando o toque duplo, pois você deve pressionar o botão., Ui amigável, melhor AllRounder Orçamento Smartwatch sob 2k 🔥, este relógio inteligente é incrível, bom relógio no orçamento, "&amp;"a contagem de etapas não é tão precisa, mas a qualidade da chamada e outras coisas são boas")</f>
        <v>Vale a pena o dinheiro, bom relógio inteligente, a tela não liga e desligando o toque duplo, pois você deve pressionar o botão., Ui amigável, melhor AllRounder Orçamento Smartwatch sob 2k 🔥, este relógio inteligente é incrível, bom relógio no orçamento, a contagem de etapas não é tão precisa, mas a qualidade da chamada e outras coisas são boas</v>
      </c>
      <c r="E370" s="29" t="str">
        <f>IFERROR(__xludf.DUMMYFUNCTION("GOOGLETRANSLATE(C370, ""en"", ""pt-br"")"),"Gostei, vale o dinheiro, leve e confortável em todas as situações. Esse que eu recebi aqui tem uma interface do usuário estável, sem lag, parece premium (principalmente a alça macia e o botão Cool Crown somam muito) .. A principal razão Eu comprei isso po"&amp;"rque traz todas as características que todos precisam hoje com a aparência fora do lado. Porque eu tenho um pulso fino, mas estava bem. minutos para serem totalmente carregados. E a bateria também dura apenas 3-4 dias, só espero que, no futuro, se eu atua"&amp;"lizar o software, a opção de toque duplo virá. diferente de outras pessoas na música tocando no watch speaker.Great Experience.watchfaces A opção é boa. Podemos adicionar face Watchfaces. relógio inteligente. O Ninja Call Pro Plus é lançado recentemente, "&amp;"para que ele vem com recursos e especificações mais recentes. A tela é entalhada superior e o brilho é suficiente para uso no Outdoor. Medida cardíaca e SPO2 é bem preciso todos os sensores são trabalhados com eficiência. A leitura dos dados é precisa de "&amp;"90 a 95% em que você pode confiar nele em situações de emergência. Ele vem com 100 mods esportivos, todos os tipos de atividades e esportes são cobertos. A experiência em chamar também é muito agradável, o alto -falante e o microfone é uma voz suficientem"&amp;"ente decente em interior. Mas a bateria deve ser melhor, é necessário cobrar 1 tempo no dia. Exibição curva em 3D proporciona experiência visual awasne. A qualidade da correia é muito macia e feminino também a usa muito bem. Portanto, no geral, ele possui"&amp;" o melhor smartwatch abaixo da tela, chamadas, sensores, qualidade do bulit, backup de bateria, mods esportivos, impermeabilizados, etc. Você definitivamente deve optar por este. Produto satisfeito. 👍🔥👍, este relógio é muito bom, mas 1 problema estou u"&amp;"sando este relógio de 1 semana e alguns dias atrás seus pixels estavam caindo, a tela não estava funcionando corretamente, mas depois de reiniciar, estava funcionando corretamente e a partir de então eu Não, não enfrentou esse problema novamente., bom rel"&amp;"ógio com boa interface da interface do usuário com o recurso de chamada. Energia repleta de recursos com preço muito baixo. Se você está com orçamento apertado e procurando o smartwatch de calamento, definitivamente deve optar por este., A qualidade de co"&amp;"nstrução é ótima. Recurso da tela, é um pouco laggy. Orçamento e querer chamadas e boa experiência na interface do usuário Você pode comprar este produto")</f>
        <v>Gostei, vale o dinheiro, leve e confortável em todas as situações. Esse que eu recebi aqui tem uma interface do usuário estável, sem lag, parece premium (principalmente a alça macia e o botão Cool Crown somam muito) .. A principal razão Eu comprei isso porque traz todas as características que todos precisam hoje com a aparência fora do lado. Porque eu tenho um pulso fino, mas estava bem. minutos para serem totalmente carregados. E a bateria também dura apenas 3-4 dias, só espero que, no futuro, se eu atualizar o software, a opção de toque duplo virá. diferente de outras pessoas na música tocando no watch speaker.Great Experience.watchfaces A opção é boa. Podemos adicionar face Watchfaces. relógio inteligente. O Ninja Call Pro Plus é lançado recentemente, para que ele vem com recursos e especificações mais recentes. A tela é entalhada superior e o brilho é suficiente para uso no Outdoor. Medida cardíaca e SPO2 é bem preciso todos os sensores são trabalhados com eficiência. A leitura dos dados é precisa de 90 a 95% em que você pode confiar nele em situações de emergência. Ele vem com 100 mods esportivos, todos os tipos de atividades e esportes são cobertos. A experiência em chamar também é muito agradável, o alto -falante e o microfone é uma voz suficientemente decente em interior. Mas a bateria deve ser melhor, é necessário cobrar 1 tempo no dia. Exibição curva em 3D proporciona experiência visual awasne. A qualidade da correia é muito macia e feminino também a usa muito bem. Portanto, no geral, ele possui o melhor smartwatch abaixo da tela, chamadas, sensores, qualidade do bulit, backup de bateria, mods esportivos, impermeabilizados, etc. Você definitivamente deve optar por este. Produto satisfeito. 👍🔥👍, este relógio é muito bom, mas 1 problema estou usando este relógio de 1 semana e alguns dias atrás seus pixels estavam caindo, a tela não estava funcionando corretamente, mas depois de reiniciar, estava funcionando corretamente e a partir de então eu Não, não enfrentou esse problema novamente., bom relógio com boa interface da interface do usuário com o recurso de chamada. Energia repleta de recursos com preço muito baixo. Se você está com orçamento apertado e procurando o smartwatch de calamento, definitivamente deve optar por este., A qualidade de construção é ótima. Recurso da tela, é um pouco laggy. Orçamento e querer chamadas e boa experiência na interface do usuário Você pode comprar este produto</v>
      </c>
    </row>
    <row r="371">
      <c r="A371" s="9" t="s">
        <v>16</v>
      </c>
      <c r="B371" s="29" t="str">
        <f>VLOOKUP(dados!A371, reviews!A:G, 5, FALSE)</f>
        <v>Satisfied,Charging is really fast,Value for money,Product review,Good quality,Good product,Good Product,As of now seems good</v>
      </c>
      <c r="C371" s="29" t="str">
        <f>VLOOKUP(dados!A371, reviews!A:G, 6, FALSE)</f>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v>
      </c>
      <c r="D371" s="29" t="str">
        <f>IFERROR(__xludf.DUMMYFUNCTION("GOOGLETRANSLATE(B371, ""en"", ""pt-br"")"),"Satisfeito, cobrar é muito rápido, valor ao dinheiro, revisão de produtos, boa qualidade, bom produto, bom produto, a partir de agora parece bom")</f>
        <v>Satisfeito, cobrar é muito rápido, valor ao dinheiro, revisão de produtos, boa qualidade, bom produto, bom produto, a partir de agora parece bom</v>
      </c>
      <c r="E371" s="29" t="str">
        <f>IFERROR(__xludf.DUMMYFUNCTION("GOOGLETRANSLATE(C371, ""en"", ""pt-br"")"),"Parece que o carregamento durável é bom que reclama, o carregamento é muito rápido, bom produto., Até agora, satisfeito com a qualidade., Este é um bom produto. A velocidade de carregamento é mais lenta que o cabo original do iPhone, de boa qualidade, rec"&amp;"omendaria https: //m.media-amazon.com/images/w/webp_402378-t1/images/i/81---f1zghl._sy88.jpg , O produto funcionou bem até a data e não estava tendo nenhum problema. A CABLE também é robusta o suficiente ... pediu substituição e a empresa está fazendo o m"&amp;"esmo ..., valor ao dinheiro")</f>
        <v>Parece que o carregamento durável é bom que reclama, o carregamento é muito rápido, bom produto., Até agora, satisfeito com a qualidade., Este é um bom produto. A velocidade de carregamento é mais lenta que o cabo original do iPhone, de boa qualidade, recomendaria https: //m.media-amazon.com/images/w/webp_402378-t1/images/i/81---f1zghl._sy88.jpg , O produto funcionou bem até a data e não estava tendo nenhum problema. A CABLE também é robusta o suficiente ... pediu substituição e a empresa está fazendo o mesmo ..., valor ao dinheiro</v>
      </c>
    </row>
    <row r="372">
      <c r="A372" s="9" t="s">
        <v>1547</v>
      </c>
      <c r="B372" s="29" t="str">
        <f>VLOOKUP(dados!A372, reviews!A:G, 5, FALSE)</f>
        <v>Best phone for below normal use,Good mobile for minimal usage , but technically highly worth,For simple use,Ok,Good quality product,Good unit,Good,Best Budget mobile</v>
      </c>
      <c r="C372" s="29" t="str">
        <f>VLOOKUP(dados!A372, reviews!A:G, 6, FALSE)</f>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v>
      </c>
      <c r="D372" s="29" t="str">
        <f>IFERROR(__xludf.DUMMYFUNCTION("GOOGLETRANSLATE(B372, ""en"", ""pt-br"")"),"Melhor telefone para uso abaixo do normal, bom celular para uso mínimo, mas tecnicamente altamente vale a pena, para uso simples, ok, produto de boa qualidade, boa unidade, bom e melhor orçamento móvel")</f>
        <v>Melhor telefone para uso abaixo do normal, bom celular para uso mínimo, mas tecnicamente altamente vale a pena, para uso simples, ok, produto de boa qualidade, boa unidade, bom e melhor orçamento móvel</v>
      </c>
      <c r="E372" s="29" t="str">
        <f>IFERROR(__xludf.DUMMYFUNCTION("GOOGLETRANSLATE(C372, ""en"", ""pt-br"")"),"Se você deseja um telefone inteligente apenas para o uso de ligar e usar as mídias sociais. Esta é uma opção muito boa para você. Comprei para minha mãe, que disse especificamente que ela só queria um telefone para ligar para fins de chamadas. Isso tem ap"&amp;"enas 2 GB de RAM, então não pense em jogos como BGMI ou asfalto e também não será muito suave em condições acima do normal. Não há sensor de impressão digital e a câmera é lixo. Mas a bateria é de 4000mAh e tem uma duração de bateria consideravelmente alt"&amp;"a. Não há carregamento rápido, apenas o carregador normal é fornecido. Então, na minha opinião, este é um telefone para um usuário abaixo da média que usa o telefone inteligente apenas para ligar ou rolar pelas mídias sociais., Isso vale para preço, tem o"&amp;"s mais recentes softwares técnicos e um bom desempenho para uso mínimo, é claro que ele tem Configuração menos, portanto, não devemos parecer melhor do que essa vida de battery mais do que o esperado, poderíamos comprar para esse intervalo de orçamento, s"&amp;"imples e bom, OK Câmera, OK, produto geral de boa qualidade, boa unidade, bom, bom celular para usuários básicos")</f>
        <v>Se você deseja um telefone inteligente apenas para o uso de ligar e usar as mídias sociais. Esta é uma opção muito boa para você. Comprei para minha mãe, que disse especificamente que ela só queria um telefone para ligar para fins de chamadas. Isso tem apenas 2 GB de RAM, então não pense em jogos como BGMI ou asfalto e também não será muito suave em condições acima do normal. Não há sensor de impressão digital e a câmera é lixo. Mas a bateria é de 4000mAh e tem uma duração de bateria consideravelmente alta. Não há carregamento rápido, apenas o carregador normal é fornecido. Então, na minha opinião, este é um telefone para um usuário abaixo da média que usa o telefone inteligente apenas para ligar ou rolar pelas mídias sociais., Isso vale para preço, tem os mais recentes softwares técnicos e um bom desempenho para uso mínimo, é claro que ele tem Configuração menos, portanto, não devemos parecer melhor do que essa vida de battery mais do que o esperado, poderíamos comprar para esse intervalo de orçamento, simples e bom, OK Câmera, OK, produto geral de boa qualidade, boa unidade, bom, bom celular para usuários básicos</v>
      </c>
    </row>
    <row r="373">
      <c r="A373" s="9" t="s">
        <v>1551</v>
      </c>
      <c r="B373" s="29" t="str">
        <f>VLOOKUP(dados!A373, reviews!A:G, 5, FALSE)</f>
        <v>Best phone for below normal use,Good mobile for minimal usage , but technically highly worth,For simple use,Ok,Good quality product,Good unit,Good,Best Budget mobile</v>
      </c>
      <c r="C373" s="29" t="str">
        <f>VLOOKUP(dados!A373, reviews!A:G, 6, FALSE)</f>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v>
      </c>
      <c r="D373" s="29" t="str">
        <f>IFERROR(__xludf.DUMMYFUNCTION("GOOGLETRANSLATE(B373, ""en"", ""pt-br"")"),"Melhor telefone para uso abaixo do normal, bom celular para uso mínimo, mas tecnicamente altamente vale a pena, para uso simples, ok, produto de boa qualidade, boa unidade, bom e melhor orçamento móvel")</f>
        <v>Melhor telefone para uso abaixo do normal, bom celular para uso mínimo, mas tecnicamente altamente vale a pena, para uso simples, ok, produto de boa qualidade, boa unidade, bom e melhor orçamento móvel</v>
      </c>
      <c r="E373" s="29" t="str">
        <f>IFERROR(__xludf.DUMMYFUNCTION("GOOGLETRANSLATE(C373, ""en"", ""pt-br"")"),"Se você deseja um telefone inteligente apenas para o uso de ligar e usar as mídias sociais. Esta é uma opção muito boa para você. Comprei para minha mãe, que disse especificamente que ela só queria um telefone para ligar para fins de chamadas. Isso tem ap"&amp;"enas 2 GB de RAM, então não pense em jogos como BGMI ou asfalto e também não será muito suave em condições acima do normal. Não há sensor de impressão digital e a câmera é lixo. Mas a bateria é de 4000mAh e tem uma duração de bateria consideravelmente alt"&amp;"a. Não há carregamento rápido, apenas o carregador normal é fornecido. Então, na minha opinião, este é um telefone para um usuário abaixo da média que usa o telefone inteligente apenas para ligar ou rolar pelas mídias sociais., Isso vale para preço, tem o"&amp;"s mais recentes softwares técnicos e um bom desempenho para uso mínimo, é claro que ele tem Configuração menos, portanto, não devemos parecer melhor do que essa vida de battery mais do que o esperado, poderíamos comprar para esse intervalo de orçamento, s"&amp;"imples e bom, OK Câmera, OK, produto geral de boa qualidade, boa unidade, bom, bom celular para usuários básicos")</f>
        <v>Se você deseja um telefone inteligente apenas para o uso de ligar e usar as mídias sociais. Esta é uma opção muito boa para você. Comprei para minha mãe, que disse especificamente que ela só queria um telefone para ligar para fins de chamadas. Isso tem apenas 2 GB de RAM, então não pense em jogos como BGMI ou asfalto e também não será muito suave em condições acima do normal. Não há sensor de impressão digital e a câmera é lixo. Mas a bateria é de 4000mAh e tem uma duração de bateria consideravelmente alta. Não há carregamento rápido, apenas o carregador normal é fornecido. Então, na minha opinião, este é um telefone para um usuário abaixo da média que usa o telefone inteligente apenas para ligar ou rolar pelas mídias sociais., Isso vale para preço, tem os mais recentes softwares técnicos e um bom desempenho para uso mínimo, é claro que ele tem Configuração menos, portanto, não devemos parecer melhor do que essa vida de battery mais do que o esperado, poderíamos comprar para esse intervalo de orçamento, simples e bom, OK Câmera, OK, produto geral de boa qualidade, boa unidade, bom, bom celular para usuários básicos</v>
      </c>
    </row>
    <row r="374">
      <c r="A374" s="9" t="s">
        <v>1555</v>
      </c>
      <c r="B374" s="29" t="str">
        <f>VLOOKUP(dados!A374, reviews!A:G, 5, FALSE)</f>
        <v>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v>
      </c>
      <c r="C374" s="29" t="str">
        <f>VLOOKUP(dados!A374, reviews!A:G, 6, FALSE)</f>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v>
      </c>
      <c r="D374" s="29" t="str">
        <f>IFERROR(__xludf.DUMMYFUNCTION("GOOGLETRANSLATE(B374, ""en"", ""pt-br"")"),"Vale a pena o dinheiro, bom relógio inteligente, a tela não liga e desligando o toque duplo, pois você deve pressionar o botão., Ui amigável, melhor AllRounder Orçamento Smartwatch sob 2k 🔥, este relógio inteligente é incrível, bom relógio no orçamento, "&amp;"a contagem de etapas não é tão precisa, mas a qualidade da chamada e outras coisas são boas")</f>
        <v>Vale a pena o dinheiro, bom relógio inteligente, a tela não liga e desligando o toque duplo, pois você deve pressionar o botão., Ui amigável, melhor AllRounder Orçamento Smartwatch sob 2k 🔥, este relógio inteligente é incrível, bom relógio no orçamento, a contagem de etapas não é tão precisa, mas a qualidade da chamada e outras coisas são boas</v>
      </c>
      <c r="E374" s="29" t="str">
        <f>IFERROR(__xludf.DUMMYFUNCTION("GOOGLETRANSLATE(C374, ""en"", ""pt-br"")"),"Gostei, vale o dinheiro, leve e confortável em todas as situações. Esse que eu recebi aqui tem uma interface do usuário estável, sem lag, parece premium (principalmente a alça macia e o botão Cool Crown somam muito) .. A principal razão Eu comprei isso po"&amp;"rque traz todas as características que todos precisam hoje com a aparência fora do lado. Porque eu tenho um pulso fino, mas estava bem. minutos para serem totalmente carregados. E a bateria também dura apenas 3-4 dias, só espero que, no futuro, se eu atua"&amp;"lizar o software, a opção de toque duplo virá. diferente de outras pessoas na música tocando no watch speaker.Great Experience.watchfaces A opção é boa. Podemos adicionar face Watchfaces. relógio inteligente. O Ninja Call Pro Plus é lançado recentemente, "&amp;"para que ele vem com recursos e especificações mais recentes. A tela é entalhada superior e o brilho é suficiente para uso no Outdoor. Medida cardíaca e SPO2 é bem preciso todos os sensores são trabalhados com eficiência. A leitura dos dados é precisa de "&amp;"90 a 95% em que você pode confiar nele em situações de emergência. Ele vem com 100 mods esportivos, todos os tipos de atividades e esportes são cobertos. A experiência em chamar também é muito agradável, o alto -falante e o microfone é uma voz suficientem"&amp;"ente decente em interior. Mas a bateria deve ser melhor, é necessário cobrar 1 tempo no dia. Exibição curva em 3D proporciona experiência visual awasne. A qualidade da correia é muito macia e feminino também a usa muito bem. Portanto, no geral, ele possui"&amp;" o melhor smartwatch abaixo da tela, chamadas, sensores, qualidade do bulit, backup de bateria, mods esportivos, impermeabilizados, etc. Você definitivamente deve optar por este. Produto satisfeito. 👍🔥👍, este relógio é muito bom, mas 1 problema estou u"&amp;"sando este relógio de 1 semana e alguns dias atrás seus pixels estavam caindo, a tela não estava funcionando corretamente, mas depois de reiniciar, estava funcionando corretamente e a partir de então eu Não, não enfrentou esse problema novamente., bom rel"&amp;"ógio com boa interface da interface do usuário com o recurso de chamada. Energia repleta de recursos com preço muito baixo. Se você está com orçamento apertado e procurando o smartwatch de calamento, definitivamente deve optar por este., A qualidade de co"&amp;"nstrução é ótima. Recurso da tela, é um pouco laggy. Orçamento e querer chamadas e boa experiência na interface do usuário Você pode comprar este produto")</f>
        <v>Gostei, vale o dinheiro, leve e confortável em todas as situações. Esse que eu recebi aqui tem uma interface do usuário estável, sem lag, parece premium (principalmente a alça macia e o botão Cool Crown somam muito) .. A principal razão Eu comprei isso porque traz todas as características que todos precisam hoje com a aparência fora do lado. Porque eu tenho um pulso fino, mas estava bem. minutos para serem totalmente carregados. E a bateria também dura apenas 3-4 dias, só espero que, no futuro, se eu atualizar o software, a opção de toque duplo virá. diferente de outras pessoas na música tocando no watch speaker.Great Experience.watchfaces A opção é boa. Podemos adicionar face Watchfaces. relógio inteligente. O Ninja Call Pro Plus é lançado recentemente, para que ele vem com recursos e especificações mais recentes. A tela é entalhada superior e o brilho é suficiente para uso no Outdoor. Medida cardíaca e SPO2 é bem preciso todos os sensores são trabalhados com eficiência. A leitura dos dados é precisa de 90 a 95% em que você pode confiar nele em situações de emergência. Ele vem com 100 mods esportivos, todos os tipos de atividades e esportes são cobertos. A experiência em chamar também é muito agradável, o alto -falante e o microfone é uma voz suficientemente decente em interior. Mas a bateria deve ser melhor, é necessário cobrar 1 tempo no dia. Exibição curva em 3D proporciona experiência visual awasne. A qualidade da correia é muito macia e feminino também a usa muito bem. Portanto, no geral, ele possui o melhor smartwatch abaixo da tela, chamadas, sensores, qualidade do bulit, backup de bateria, mods esportivos, impermeabilizados, etc. Você definitivamente deve optar por este. Produto satisfeito. 👍🔥👍, este relógio é muito bom, mas 1 problema estou usando este relógio de 1 semana e alguns dias atrás seus pixels estavam caindo, a tela não estava funcionando corretamente, mas depois de reiniciar, estava funcionando corretamente e a partir de então eu Não, não enfrentou esse problema novamente., bom relógio com boa interface da interface do usuário com o recurso de chamada. Energia repleta de recursos com preço muito baixo. Se você está com orçamento apertado e procurando o smartwatch de calamento, definitivamente deve optar por este., A qualidade de construção é ótima. Recurso da tela, é um pouco laggy. Orçamento e querer chamadas e boa experiência na interface do usuário Você pode comprar este produto</v>
      </c>
    </row>
    <row r="375">
      <c r="A375" s="9" t="s">
        <v>1558</v>
      </c>
      <c r="B375" s="29" t="str">
        <f>VLOOKUP(dados!A375, reviews!A:G, 5, FALSE)</f>
        <v>Good.,Best at the price,Good phone,NICE,Value for money,ठीक-ठाक hai ☺️,Overall review,Good</v>
      </c>
      <c r="C375" s="29" t="str">
        <f>VLOOKUP(dados!A375, reviews!A:G, 6, FALSE)</f>
        <v>Camera and display is very poor quality and battery 🔋 is very good nothing bad,Nice phone at reasonable price.,Good,NICE,Value for money,Theek hai 🥰,Not bad,Good</v>
      </c>
      <c r="D375" s="29" t="str">
        <f>IFERROR(__xludf.DUMMYFUNCTION("GOOGLETRANSLATE(B375, ""en"", ""pt-br"")"),"Bom., Melhor pelo preço, bom telefone, bom, valor pelo dinheiro, ठीक-ठाक hai ☺️, revisão geral, bom")</f>
        <v>Bom., Melhor pelo preço, bom telefone, bom, valor pelo dinheiro, ठीक-ठाक hai ☺️, revisão geral, bom</v>
      </c>
      <c r="E375" s="29" t="str">
        <f>IFERROR(__xludf.DUMMYFUNCTION("GOOGLETRANSLATE(C375, ""en"", ""pt-br"")"),"Câmera e exibição são muito baixa qualidade e bateria 🔋 é muito bom nada ruim, bom telefone a um preço razoável., Bom, bom, valor por dinheiro, o hai 🥰, nada ruim, bom")</f>
        <v>Câmera e exibição são muito baixa qualidade e bateria 🔋 é muito bom nada ruim, bom telefone a um preço razoável., Bom, bom, valor por dinheiro, o hai 🥰, nada ruim, bom</v>
      </c>
    </row>
    <row r="376">
      <c r="A376" s="9" t="s">
        <v>1561</v>
      </c>
      <c r="B376" s="29" t="str">
        <f>VLOOKUP(dados!A376, reviews!A:G, 5, FALSE)</f>
        <v>Very good quality.,Nice product,Not a fast charger....,nice,A Good Type C adapter,Nice product,Value for money and easy to use.,Good</v>
      </c>
      <c r="C376" s="29" t="str">
        <f>VLOOKUP(dados!A376, reviews!A:G, 6, FALSE)</f>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v>
      </c>
      <c r="D376" s="29" t="str">
        <f>IFERROR(__xludf.DUMMYFUNCTION("GOOGLETRANSLATE(B376, ""en"", ""pt-br"")"),"Muito boa qualidade., Bom produto, não um carregador rápido ...., bom, um bom adaptador do tipo C, bom produto, valor para dinheiro e fácil de usar., Bom")</f>
        <v>Muito boa qualidade., Bom produto, não um carregador rápido ...., bom, um bom adaptador do tipo C, bom produto, valor para dinheiro e fácil de usar., Bom</v>
      </c>
      <c r="E376" s="29" t="str">
        <f>IFERROR(__xludf.DUMMYFUNCTION("GOOGLETRANSLATE(C376, ""en"", ""pt-br"")"),"Como: Transferência rápida de dados, antipatia: obtendo o hot -se em 2 minutos e deixe outros pêndrives ficarem quentes também., Produto, qualidade construída, velocidade de transferência tudo de bom. Pequeno tamanho tão fácil e transporta para qualquer l"&amp;"ugar. Mas a conta que recebi nada é visível., Não cobra rápido ... não parece um carregador de 20W .. CABLE É BOM, bem, eu o comprei para copiar coisas do meu telefone para USB e vice -versa. Funciona bem para esse fim. O encaixe é perfeito e sem problema"&amp;"s de conexão., Https: //m.media-amazon.com/images/i/71jnasjtmul._sy88.jpg,Good Product., Trabalhando bem")</f>
        <v>Como: Transferência rápida de dados, antipatia: obtendo o hot -se em 2 minutos e deixe outros pêndrives ficarem quentes também., Produto, qualidade construída, velocidade de transferência tudo de bom. Pequeno tamanho tão fácil e transporta para qualquer lugar. Mas a conta que recebi nada é visível., Não cobra rápido ... não parece um carregador de 20W .. CABLE É BOM, bem, eu o comprei para copiar coisas do meu telefone para USB e vice -versa. Funciona bem para esse fim. O encaixe é perfeito e sem problemas de conexão., Https: //m.media-amazon.com/images/i/71jnasjtmul._sy88.jpg,Good Product., Trabalhando bem</v>
      </c>
    </row>
    <row r="377">
      <c r="A377" s="9" t="s">
        <v>1568</v>
      </c>
      <c r="B377" s="29" t="str">
        <f>VLOOKUP(dados!A377, reviews!A:G, 5, FALSE)</f>
        <v>Nice watch but some cons,Great device for the budget !! And amazing amazon service!!,Good watch in this price,Watch faces could have been better,Amoled Screen &amp; Touch, Average Wrist Band.</v>
      </c>
      <c r="C377" s="29" t="str">
        <f>VLOOKUP(dados!A377, reviews!A:G, 6, FALSE)</f>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v>
      </c>
      <c r="D377" s="29" t="str">
        <f>IFERROR(__xludf.DUMMYFUNCTION("GOOGLETRANSLATE(B377, ""en"", ""pt-br"")"),"Bom relógio, mas alguns contras, ótimo dispositivo para o orçamento !! E o incrível serviço da Amazon !!, bom relógio neste preço, os rostos do relógio poderiam ter sido melhores, tela e toque de amold, faixa de pulso comum.")</f>
        <v>Bom relógio, mas alguns contras, ótimo dispositivo para o orçamento !! E o incrível serviço da Amazon !!, bom relógio neste preço, os rostos do relógio poderiam ter sido melhores, tela e toque de amold, faixa de pulso comum.</v>
      </c>
      <c r="E377" s="29" t="str">
        <f>IFERROR(__xludf.DUMMYFUNCTION("GOOGLETRANSLATE(C377, ""en"", ""pt-br"")"),"Hoje só eu recebi este relógio em primeira instância, ele ganhou meu coração ... Eu estava usando um dia inteiro e encontrei alguns prós e contras desta exibição WatchPros# AMOLED é muito brilhante e agradável# look and design é premium# bluetooth Chamar "&amp;"é incrível, o alto -falante é alto e claro. Até minha voz está alcançando a festa oposta com muita clareza enquanto liga com o relógio. Armazenamento interno, embora seja apenas 128 MB, mas suficiente para armazenar cerca de 10 músicas aprox. Claro por qu"&amp;"e aconteceu, pois eu verifiquei apenas por um dia# as impressões digitais são claramente visíveis no vidro da tela. Anexei a foto para ele# Health Tracker está perto de precisos, mas nunca depende do smartwatch nessa faixa de preço. BP com este relógio e "&amp;"com a máquina BP Ambos os resultados são diferentes ... 70-80% apenas precisa ..# Ai Voice Assistant não é muito útil, pois só funciona para o celular quando pressiono o botão de assistente de voz no relógio .. como se se Eu dou o comando para definir ala"&amp;"rme no relógio, defina um alarme no celular, então basicamente apenas um botão para acordar o assistente do Google para o celular. Orador .. que é bastante irritante ... isso deve estar correto por atualizações de firmware que eu o comprei por Rs.3420/- i"&amp;"ncluindo oferta bancária. Para essa faixa de preço, em geral, é um relógio bom e premium. Do lado esquerdo .. mas rapidamente recebeu a substituição no dia seguinte .... a substituição foi boa ... A Amazon prestou ótima serviço e entregue a substituição e"&amp;"m apenas 16 horas ... Tão ótimo trabalho Amazon ... também moro em Bangalore. . Portanto, a experiência pode variar de um lugar para outro. Refrondo leituras UIFAirly Excverty o suficiente em toda a qualidade da qualidade da BP e Spo2Call é ótima para o p"&amp;"reço .. bons alto -falantes e bom microfone ... você pode controlar o Spotify e o Soundcloud Music também do relógio .e use TWS para ouvir o Spotify enquanto controla o relógio ... e é perfeito ... a tela é ótima. Chega ... A qualidade de construção é boa"&amp;", mas não parece muito premium. Parece um relógio abaixo de 5k ... para que você não possa enganar ninguém que este seja um Apple Watch 😂 Strap não é muito longo, pois todas as mencionadas pela revisão .. A cinta é boa o suficiente ... não muito confortá"&amp;"vel ... eu pedi uma pulseira de metal da Amazon para o meu relógio e é incrível ... Ui parece muito melhor pessoalmente do que as críticas .. UI é suave e parece boa ... não como Bom como Realme Watch 3 Pro .. mas ainda é bom para o preço. No geral, é um "&amp;"bom relógio pelo preço de cerca de 3,5k -3.9kanymore e não vale a pena o Priquerealme Watch 3Pro é o melhor por esse preço .. então Se você conseguir isso em estoque e abaixo de 4K, obtenha o RealMe Watch 3 Pro ... ou mais para este segmento de preços Fir"&amp;"ebolt Visionário é o melhor relógio em geral em comparação com todos os outros relógios sob 4KConsCall quando recebidos no relógio não permanece no TWS, ele troca para assistir por algum motivo ... o que é oneSeSeps é um pouco impreciso e lê etapas, mesmo"&amp;" que não esteja andando ... então não confie na vida útil da contratem Durante 5 dias. A faixa BLUTOOTH não é muito boa .. e varia de relógio para assistir .. e também telefone para telefone. Recebo uma faixa decente de Bluetooth de cerca de 20 pés. Mas i"&amp;"sso é mais de fato do que um golpe. ., Escrevo esta resenha após uma semana de uso deste relógio, BP, BPM, SPO2 Running e Sleep Rastrening Funções estão funcionando bem, o Watch Speaker também é alto e claro para você e os outros chamadores. O único golpe"&amp;" é quando você deseja ouvir músicas através de um relógio de um celular, seu Bluetooth se desconecta automaticamente repetidamente, pois esse fundo não é útil para mim, então ignore -o, no geral, é um bom relógio., Tudo é absolutamente greta nisso SmartWa"&amp;"tch.A mas essas coisas poderiam ter sido melhores:. Assista Faces-você deve ter a opção de adicionar até 3-4 rostos de relógio imediatamente do aplicativo, em vez de um de cada vez e 10 pré-instalados. UI do aplicativo poderia ter sido melhor. Modo DND au"&amp;"sente. Nenhuma opção de alternar o Bluetooth (sempre ativado), antes da revisão, gostaria de apreciar essa ótima estratégia para derramar críticas honestas dos usuários, dando -lhes voucher de bookmyshow. de relógio premium. A banda do relógio é médio e n"&amp;"ão parece premium e eu pedi separadamente uma banda de metal. Estou esperando a melhoria do aplicativo móvel da Fireboltt, pois não acho bom o suficiente se comparar com o aplicativo de barcos para seus relógios (como possuo um smartwatch de barco). O Vis"&amp;"ionário Rest é uma boa compra e vale o dinheiro. A única coisa que fisicamente não é atraente é a qualidade média da banda.")</f>
        <v>Hoje só eu recebi este relógio em primeira instância, ele ganhou meu coração ... Eu estava usando um dia inteiro e encontrei alguns prós e contras desta exibição WatchPros# AMOLED é muito brilhante e agradável# look and design é premium# bluetooth Chamar é incrível, o alto -falante é alto e claro. Até minha voz está alcançando a festa oposta com muita clareza enquanto liga com o relógio. Armazenamento interno, embora seja apenas 128 MB, mas suficiente para armazenar cerca de 10 músicas aprox. Claro por que aconteceu, pois eu verifiquei apenas por um dia# as impressões digitais são claramente visíveis no vidro da tela. Anexei a foto para ele# Health Tracker está perto de precisos, mas nunca depende do smartwatch nessa faixa de preço. BP com este relógio e com a máquina BP Ambos os resultados são diferentes ... 70-80% apenas precisa ..# Ai Voice Assistant não é muito útil, pois só funciona para o celular quando pressiono o botão de assistente de voz no relógio .. como se se Eu dou o comando para definir alarme no relógio, defina um alarme no celular, então basicamente apenas um botão para acordar o assistente do Google para o celular. Orador .. que é bastante irritante ... isso deve estar correto por atualizações de firmware que eu o comprei por Rs.3420/- incluindo oferta bancária. Para essa faixa de preço, em geral, é um relógio bom e premium. Do lado esquerdo .. mas rapidamente recebeu a substituição no dia seguinte .... a substituição foi boa ... A Amazon prestou ótima serviço e entregue a substituição em apenas 16 horas ... Tão ótimo trabalho Amazon ... também moro em Bangalore. . Portanto, a experiência pode variar de um lugar para outro. Refrondo leituras UIFAirly Excverty o suficiente em toda a qualidade da qualidade da BP e Spo2Call é ótima para o preço .. bons alto -falantes e bom microfone ... você pode controlar o Spotify e o Soundcloud Music também do relógio .e use TWS para ouvir o Spotify enquanto controla o relógio ... e é perfeito ... a tela é ótima. Chega ... A qualidade de construção é boa, mas não parece muito premium. Parece um relógio abaixo de 5k ... para que você não possa enganar ninguém que este seja um Apple Watch 😂 Strap não é muito longo, pois todas as mencionadas pela revisão .. A cinta é boa o suficiente ... não muito confortável ... eu pedi uma pulseira de metal da Amazon para o meu relógio e é incrível ... Ui parece muito melhor pessoalmente do que as críticas .. UI é suave e parece boa ... não como Bom como Realme Watch 3 Pro .. mas ainda é bom para o preço. No geral, é um bom relógio pelo preço de cerca de 3,5k -3.9kanymore e não vale a pena o Priquerealme Watch 3Pro é o melhor por esse preço .. então Se você conseguir isso em estoque e abaixo de 4K, obtenha o RealMe Watch 3 Pro ... ou mais para este segmento de preços Firebolt Visionário é o melhor relógio em geral em comparação com todos os outros relógios sob 4KConsCall quando recebidos no relógio não permanece no TWS, ele troca para assistir por algum motivo ... o que é oneSeSeps é um pouco impreciso e lê etapas, mesmo que não esteja andando ... então não confie na vida útil da contratem Durante 5 dias. A faixa BLUTOOTH não é muito boa .. e varia de relógio para assistir .. e também telefone para telefone. Recebo uma faixa decente de Bluetooth de cerca de 20 pés. Mas isso é mais de fato do que um golpe. ., Escrevo esta resenha após uma semana de uso deste relógio, BP, BPM, SPO2 Running e Sleep Rastrening Funções estão funcionando bem, o Watch Speaker também é alto e claro para você e os outros chamadores. O único golpe é quando você deseja ouvir músicas através de um relógio de um celular, seu Bluetooth se desconecta automaticamente repetidamente, pois esse fundo não é útil para mim, então ignore -o, no geral, é um bom relógio., Tudo é absolutamente greta nisso SmartWatch.A mas essas coisas poderiam ter sido melhores:. Assista Faces-você deve ter a opção de adicionar até 3-4 rostos de relógio imediatamente do aplicativo, em vez de um de cada vez e 10 pré-instalados. UI do aplicativo poderia ter sido melhor. Modo DND ausente. Nenhuma opção de alternar o Bluetooth (sempre ativado), antes da revisão, gostaria de apreciar essa ótima estratégia para derramar críticas honestas dos usuários, dando -lhes voucher de bookmyshow. de relógio premium. A banda do relógio é médio e não parece premium e eu pedi separadamente uma banda de metal. Estou esperando a melhoria do aplicativo móvel da Fireboltt, pois não acho bom o suficiente se comparar com o aplicativo de barcos para seus relógios (como possuo um smartwatch de barco). O Visionário Rest é uma boa compra e vale o dinheiro. A única coisa que fisicamente não é atraente é a qualidade média da banda.</v>
      </c>
    </row>
    <row r="378">
      <c r="A378" s="9" t="s">
        <v>1572</v>
      </c>
      <c r="B378" s="29" t="str">
        <f>VLOOKUP(dados!A378, reviews!A:G, 5, FALSE)</f>
        <v>Some improvement required,Not best for tracking sleep, calories burnt of heart rate.,Noise,Noise watch is good,NOISE,Noises,Bluetooth calling,Noise</v>
      </c>
      <c r="C378" s="29" t="str">
        <f>VLOOKUP(dados!A378, reviews!A:G, 6, FALSE)</f>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1½ hour every night when I am not also the heart rate is generally higher than what it actually is and the calories burnt are lower, the pedometer is more or less accurate,Nice one. Only Bp monitor is missing.,I like this product,I liked the watch very much,I m happy,Good features,Good</v>
      </c>
      <c r="D378" s="29" t="str">
        <f>IFERROR(__xludf.DUMMYFUNCTION("GOOGLETRANSLATE(B378, ""en"", ""pt-br"")"),"Alguma melhoria necessária, não é melhor para rastrear o sono, calorias queimadas de freqüência cardíaca., Ruído, relógio de ruído é bom, ruído, ruídos, chamadas bluetooth, ruído")</f>
        <v>Alguma melhoria necessária, não é melhor para rastrear o sono, calorias queimadas de freqüência cardíaca., Ruído, relógio de ruído é bom, ruído, ruídos, chamadas bluetooth, ruído</v>
      </c>
      <c r="E378" s="29" t="str">
        <f>IFERROR(__xludf.DUMMYFUNCTION("GOOGLETRANSLATE(C378, ""en"", ""pt-br"")"),"1. Adicione a Galeria de App quando fizermos a troca da direita para a esquerda na tela inicial. Porque a troca direita para esquerda ou a troca da esquerda para a direita tem as mesmas páginas. Ele deve tocar em vez de vibrar em alarme ou você pode dar -"&amp;"lhe opcional depende do usuário.3. A temperatura não sincroniza rapidamente, tenho que ir no aplicativo de ruído de novo e de novo e fazer isso em ambientes climáticos para sincronizar parece Jugad. Todas essas coisas podem ser corrigidas a partir de atua"&amp;"lizações, para que, por favor, tente fazê -lo, o relógio parece legal e funciona muito bem, mas os sensores não são os mais precisos. Isso mostra que estou subindo 1 a 1 ½ horas todas as noites, quando também não sou a frequência cardíaca geralmente é mai"&amp;"or do que é realmente e as calorias queimadas são mais baixas, o pedômetro é mais ou menos preciso, agradável. Somente o monitor da BP está faltando., Gosto deste produto, gostei muito do relógio, estou feliz, bons recursos, bom")</f>
        <v>1. Adicione a Galeria de App quando fizermos a troca da direita para a esquerda na tela inicial. Porque a troca direita para esquerda ou a troca da esquerda para a direita tem as mesmas páginas. Ele deve tocar em vez de vibrar em alarme ou você pode dar -lhe opcional depende do usuário.3. A temperatura não sincroniza rapidamente, tenho que ir no aplicativo de ruído de novo e de novo e fazer isso em ambientes climáticos para sincronizar parece Jugad. Todas essas coisas podem ser corrigidas a partir de atualizações, para que, por favor, tente fazê -lo, o relógio parece legal e funciona muito bem, mas os sensores não são os mais precisos. Isso mostra que estou subindo 1 a 1 ½ horas todas as noites, quando também não sou a frequência cardíaca geralmente é maior do que é realmente e as calorias queimadas são mais baixas, o pedômetro é mais ou menos preciso, agradável. Somente o monitor da BP está faltando., Gosto deste produto, gostei muito do relógio, estou feliz, bons recursos, bom</v>
      </c>
    </row>
    <row r="379">
      <c r="A379" s="9" t="s">
        <v>26</v>
      </c>
      <c r="B379" s="29" t="str">
        <f>VLOOKUP(dados!A379, reviews!A:G, 5, FALSE)</f>
        <v>A Good Braided Cable for Your Type C Device,Good quality product from ambrane,Super cable,As,Good quality,Good product,its good,Good quality for the price but one issue with my unit</v>
      </c>
      <c r="C379" s="29" t="str">
        <f>VLOOKUP(dados!A379, reviews!A:G, 6, FALSE)</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c r="D379" s="29" t="str">
        <f>IFERROR(__xludf.DUMMYFUNCTION("GOOGLETRANSLATE(B379, ""en"", ""pt-br"")"),"Um bom cabo trançado para o seu dispositivo Tipo C, produto de boa qualidade da Ambrane, Super Cable, como, boa qualidade, bom produto, é boa, boa qualidade para o preço, mas um problema com minha unidade")</f>
        <v>Um bom cabo trançado para o seu dispositivo Tipo C, produto de boa qualidade da Ambrane, Super Cable, como, boa qualidade, bom produto, é boa, boa qualidade para o preço, mas um problema com minha unidade</v>
      </c>
      <c r="E379" s="29" t="str">
        <f>IFERROR(__xludf.DUMMYFUNCTION("GOOGLETRANSLATE(C379, ""en"", ""pt-br"")"),"Encomendei este cabo para conectar meu telefone ao Android Auto of Car. O cabo é realmente forte e as portas de conexão são muito bem feitas. Eu já tenho um cabo micro USB da Ambrane e ainda está em boa forma. Conectei meu telefone ao carro usando o cabo "&amp;"e ele foi conectado bem e sem problemas. Eu também o conectei à porta de carregamento e sim, ele tem suporte de carregamento rápido. A qualidade de TI é boa nesse preço e o principal é que eu nunca pensei que esse cabo seria tão longo que é bom e o poder "&amp;"de carregamento é Muito bom e também suporta carregamento rápido, valor ao dinheiro, com comprimento extra👍, bom, funcionando bem, a qualidade do produto é boa, boa, muito boa, comprada para o telefone antigo da minha filha. e solicitado para substituiçã"&amp;"o. Verifiquei novamente e havia uma pasta/fungo de cor verde dentro do conector micro USB. Limpei com um alcoólatra e comecei a trabalhar novamente. Chequei a ampere de velocidade de carregamento obteve cerca de 1400mA -1500mA - não é ruim, veio com um ca"&amp;"bo trançado de 1,5 m de comprimento, bastante impressionante pelo preço. Não posso culpar o fabricante. Mas os problemas de qualidade por O distribuidor, eles podem ter armazenado em um lugar muito úmido.")</f>
        <v>Encomendei este cabo para conectar meu telefone ao Android Auto of Car. O cabo é realmente forte e as portas de conexão são muito bem feitas. Eu já tenho um cabo micro USB da Ambrane e ainda está em boa forma. Conectei meu telefone ao carro usando o cabo e ele foi conectado bem e sem problemas. Eu também o conectei à porta de carregamento e sim, ele tem suporte de carregamento rápido. A qualidade de TI é boa nesse preço e o principal é que eu nunca pensei que esse cabo seria tão longo que é bom e o poder de carregamento é Muito bom e também suporta carregamento rápido, valor ao dinheiro, com comprimento extra👍, bom, funcionando bem, a qualidade do produto é boa, boa, muito boa, comprada para o telefone antigo da minha filha. e solicitado para substituição. Verifiquei novamente e havia uma pasta/fungo de cor verde dentro do conector micro USB. Limpei com um alcoólatra e comecei a trabalhar novamente. Chequei a ampere de velocidade de carregamento obteve cerca de 1400mA -1500mA - não é ruim, veio com um cabo trançado de 1,5 m de comprimento, bastante impressionante pelo preço. Não posso culpar o fabricante. Mas os problemas de qualidade por O distribuidor, eles podem ter armazenado em um lugar muito úmido.</v>
      </c>
    </row>
    <row r="380">
      <c r="A380" s="9" t="s">
        <v>1577</v>
      </c>
      <c r="B380" s="29" t="str">
        <f>VLOOKUP(dados!A380, reviews!A:G, 5, FALSE)</f>
        <v>Above average phone,Worth For The Money 💰,Okie,Phone is excellent,Purchased in good budget at 12k,It can fulfill basic needs in affordable price range,Nice,About features</v>
      </c>
      <c r="C380" s="29" t="str">
        <f>VLOOKUP(dados!A380, reviews!A:G, 6, FALSE)</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c r="D380" s="29" t="str">
        <f>IFERROR(__xludf.DUMMYFUNCTION("GOOGLETRANSLATE(B380, ""en"", ""pt-br"")"),"Telefone acima da média, que vale o dinheiro 💰, okie, o telefone é excelente, comprado com bom orçamento a 12k, pode atender às necessidades básicas em faixa de preço acessível, agradável, sobre recursos")</f>
        <v>Telefone acima da média, que vale o dinheiro 💰, okie, o telefone é excelente, comprado com bom orçamento a 12k, pode atender às necessidades básicas em faixa de preço acessível, agradável, sobre recursos</v>
      </c>
      <c r="E380" s="29" t="str">
        <f>IFERROR(__xludf.DUMMYFUNCTION("GOOGLETRANSLATE(C380, ""en"", ""pt-br"")"),"Comprei a variante de 6/128 GB. Para resumir para prós e contras. A qualidade da tela é boa com pouco tom de cor impulsionado. O novo processador é muito suave e responsivo. A qualidade do alto -falante é boa sem muito agudo. A câmera é boa para selfie e "&amp;"o desempenho da câmera principal está acima da média com menos ruído. A câmera na frente é pequena, portanto o entalhe não é distraído ao reproduzir vídeos.CONS: -1.Main Camera lutas após o zoom 3x. E a performance de vídeo da câmera frontal é inferior ao"&amp;" estoque de fotos de selfie.2. O carregador de 18 watts levou 1HR30 minutos para cobrar 80% do telefone. A velocidade de carregamento não é economizando tempo para esta grande bateria., Bom sob esse preço ..! Um dos melhores telefones Android da Vivo 💚, "&amp;"é super bom para uso normal, a câmera é boa para o normal, está funcionando bem e sem problemas. IQOO, fornecendo dispositivos de qualidade em comparação com outras marcas, a qualidade da câmera não é tão alta, uma relação custo / benefício, o telefone é "&amp;"muito útil e a bateria também é boa. A qualidade do telefone é boa.")</f>
        <v>Comprei a variante de 6/128 GB. Para resumir para prós e contras. A qualidade da tela é boa com pouco tom de cor impulsionado. O novo processador é muito suave e responsivo. A qualidade do alto -falante é boa sem muito agudo. A câmera é boa para selfie e o desempenho da câmera principal está acima da média com menos ruído. A câmera na frente é pequena, portanto o entalhe não é distraído ao reproduzir vídeos.CONS: -1.Main Camera lutas após o zoom 3x. E a performance de vídeo da câmera frontal é inferior ao estoque de fotos de selfie.2. O carregador de 18 watts levou 1HR30 minutos para cobrar 80% do telefone. A velocidade de carregamento não é economizando tempo para esta grande bateria., Bom sob esse preço ..! Um dos melhores telefones Android da Vivo 💚, é super bom para uso normal, a câmera é boa para o normal, está funcionando bem e sem problemas. IQOO, fornecendo dispositivos de qualidade em comparação com outras marcas, a qualidade da câmera não é tão alta, uma relação custo / benefício, o telefone é muito útil e a bateria também é boa. A qualidade do telefone é boa.</v>
      </c>
    </row>
    <row r="381">
      <c r="A381" s="9" t="s">
        <v>30</v>
      </c>
      <c r="B381" s="29" t="str">
        <f>VLOOKUP(dados!A381, reviews!A:G, 5, FALSE)</f>
        <v>Good speed for earlier versions,Good Product,Working good,Good for the price,Good,Worth for money,Working nice,it's a really nice product</v>
      </c>
      <c r="C381" s="29" t="str">
        <f>VLOOKUP(dados!A381, reviews!A:G, 6, FALSE)</f>
        <v>Not quite durable and sturdy,https://m.media-amazon.com/images/W/WEBP_402378-T1/images/I/71rIggrbUCL._SY88.jpg,Working good,https://m.media-amazon.com/images/W/WEBP_402378-T1/images/I/61bKp9YO6wL._SY88.jpg,Product,Very nice product,Working well,It's a really nice product</v>
      </c>
      <c r="D381" s="29" t="str">
        <f>IFERROR(__xludf.DUMMYFUNCTION("GOOGLETRANSLATE(B381, ""en"", ""pt-br"")"),"Boa velocidade para versões anteriores, bom produto, funcionando bem, bom para o preço, bom, valor por dinheiro, funcionando bem, é um produto muito bom")</f>
        <v>Boa velocidade para versões anteriores, bom produto, funcionando bem, bom para o preço, bom, valor por dinheiro, funcionando bem, é um produto muito bom</v>
      </c>
      <c r="E381" s="29" t="str">
        <f>IFERROR(__xludf.DUMMYFUNCTION("GOOGLETRANSLATE(C381, ""en"", ""pt-br"")"),"Não é muito durável e resistente, https: //m.media-amazon.com/images/w/webp_402378-t1/images/i/71riggrbucl._sy88.jpg.working Good, https: //m.media-amazon.com.com /images/w/webp_402378-t1/images/i/61bkp9yo6wl._sy88.jpg.product, um produto legal, funcionan"&amp;"do bem, é um produto muito bom")</f>
        <v>Não é muito durável e resistente, https: //m.media-amazon.com/images/w/webp_402378-t1/images/i/71riggrbucl._sy88.jpg.working Good, https: //m.media-amazon.com.com /images/w/webp_402378-t1/images/i/61bkp9yo6wl._sy88.jpg.product, um produto legal, funcionando bem, é um produto muito bom</v>
      </c>
    </row>
    <row r="382">
      <c r="A382" s="9" t="s">
        <v>1583</v>
      </c>
      <c r="B382" s="29" t="str">
        <f>VLOOKUP(dados!A382, reviews!A:G, 5, FALSE)</f>
        <v>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v>
      </c>
      <c r="C382" s="29" t="str">
        <f>VLOOKUP(dados!A382, reviews!A:G, 6, FALSE)</f>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v>
      </c>
      <c r="D382" s="29" t="str">
        <f>IFERROR(__xludf.DUMMYFUNCTION("GOOGLETRANSLATE(B382, ""en"", ""pt-br"")"),"Vale a pena o dinheiro, bom relógio inteligente, a tela não liga e desligando o toque duplo, pois você deve pressionar o botão., Ui amigável, melhor AllRounder Orçamento Smartwatch sob 2k 🔥, este relógio inteligente é incrível, bom relógio no orçamento, "&amp;"a contagem de etapas não é tão precisa, mas a qualidade da chamada e outras coisas são boas")</f>
        <v>Vale a pena o dinheiro, bom relógio inteligente, a tela não liga e desligando o toque duplo, pois você deve pressionar o botão., Ui amigável, melhor AllRounder Orçamento Smartwatch sob 2k 🔥, este relógio inteligente é incrível, bom relógio no orçamento, a contagem de etapas não é tão precisa, mas a qualidade da chamada e outras coisas são boas</v>
      </c>
      <c r="E382" s="29" t="str">
        <f>IFERROR(__xludf.DUMMYFUNCTION("GOOGLETRANSLATE(C382, ""en"", ""pt-br"")"),"Gostei, vale o dinheiro, leve e confortável em todas as situações. Esse que eu recebi aqui tem uma interface do usuário estável, sem lag, parece premium (principalmente a alça macia e o botão Cool Crown somam muito) .. A principal razão Eu comprei isso po"&amp;"rque traz todas as características que todos precisam hoje com a aparência fora do lado. Porque eu tenho um pulso fino, mas estava bem. minutos para serem totalmente carregados. E a bateria também dura apenas 3-4 dias, só espero que, no futuro, se eu atua"&amp;"lizar o software, a opção de toque duplo virá. diferente de outras pessoas na música tocando no watch speaker.Great Experience.watchfaces A opção é boa. Podemos adicionar face Watchfaces. relógio inteligente. O Ninja Call Pro Plus é lançado recentemente, "&amp;"para que ele vem com recursos e especificações mais recentes. A tela é entalhada superior e o brilho é suficiente para uso no Outdoor. Medida cardíaca e SPO2 é bem preciso todos os sensores são trabalhados com eficiência. A leitura dos dados é precisa de "&amp;"90 a 95% em que você pode confiar nele em situações de emergência. Ele vem com 100 mods esportivos, todos os tipos de atividades e esportes são cobertos. A experiência em chamar também é muito agradável, o alto -falante e o microfone é uma voz suficientem"&amp;"ente decente em interior. Mas a bateria deve ser melhor, é necessário cobrar 1 tempo no dia. Exibição curva em 3D proporciona experiência visual awasne. A qualidade da correia é muito macia e feminino também a usa muito bem. Portanto, no geral, ele possui"&amp;" o melhor smartwatch abaixo da tela, chamadas, sensores, qualidade do bulit, backup de bateria, mods esportivos, impermeabilizados, etc. Você definitivamente deve optar por este. Produto satisfeito. 👍🔥👍, este relógio é muito bom, mas 1 problema estou u"&amp;"sando este relógio de 1 semana e alguns dias atrás seus pixels estavam caindo, a tela não estava funcionando corretamente, mas depois de reiniciar, estava funcionando corretamente e a partir de então eu Não, não enfrentou esse problema novamente., bom rel"&amp;"ógio com boa interface da interface do usuário com o recurso de chamada. Energia repleta de recursos com preço muito baixo. Se você está com orçamento apertado e procurando o smartwatch de calamento, definitivamente deve optar por este., A qualidade de co"&amp;"nstrução é ótima. Recurso da tela, é um pouco laggy. Orçamento e querer chamadas e boa experiência na interface do usuário Você pode comprar este produto")</f>
        <v>Gostei, vale o dinheiro, leve e confortável em todas as situações. Esse que eu recebi aqui tem uma interface do usuário estável, sem lag, parece premium (principalmente a alça macia e o botão Cool Crown somam muito) .. A principal razão Eu comprei isso porque traz todas as características que todos precisam hoje com a aparência fora do lado. Porque eu tenho um pulso fino, mas estava bem. minutos para serem totalmente carregados. E a bateria também dura apenas 3-4 dias, só espero que, no futuro, se eu atualizar o software, a opção de toque duplo virá. diferente de outras pessoas na música tocando no watch speaker.Great Experience.watchfaces A opção é boa. Podemos adicionar face Watchfaces. relógio inteligente. O Ninja Call Pro Plus é lançado recentemente, para que ele vem com recursos e especificações mais recentes. A tela é entalhada superior e o brilho é suficiente para uso no Outdoor. Medida cardíaca e SPO2 é bem preciso todos os sensores são trabalhados com eficiência. A leitura dos dados é precisa de 90 a 95% em que você pode confiar nele em situações de emergência. Ele vem com 100 mods esportivos, todos os tipos de atividades e esportes são cobertos. A experiência em chamar também é muito agradável, o alto -falante e o microfone é uma voz suficientemente decente em interior. Mas a bateria deve ser melhor, é necessário cobrar 1 tempo no dia. Exibição curva em 3D proporciona experiência visual awasne. A qualidade da correia é muito macia e feminino também a usa muito bem. Portanto, no geral, ele possui o melhor smartwatch abaixo da tela, chamadas, sensores, qualidade do bulit, backup de bateria, mods esportivos, impermeabilizados, etc. Você definitivamente deve optar por este. Produto satisfeito. 👍🔥👍, este relógio é muito bom, mas 1 problema estou usando este relógio de 1 semana e alguns dias atrás seus pixels estavam caindo, a tela não estava funcionando corretamente, mas depois de reiniciar, estava funcionando corretamente e a partir de então eu Não, não enfrentou esse problema novamente., bom relógio com boa interface da interface do usuário com o recurso de chamada. Energia repleta de recursos com preço muito baixo. Se você está com orçamento apertado e procurando o smartwatch de calamento, definitivamente deve optar por este., A qualidade de construção é ótima. Recurso da tela, é um pouco laggy. Orçamento e querer chamadas e boa experiência na interface do usuário Você pode comprar este produto</v>
      </c>
    </row>
    <row r="383">
      <c r="A383" s="9" t="s">
        <v>1585</v>
      </c>
      <c r="B383" s="29" t="str">
        <f>VLOOKUP(dados!A383, reviews!A:G, 5, FALSE)</f>
        <v>Good.,Best at the price,Good phone,NICE,Value for money,ठीक-ठाक hai ☺️,Overall review,Good</v>
      </c>
      <c r="C383" s="29" t="str">
        <f>VLOOKUP(dados!A383, reviews!A:G, 6, FALSE)</f>
        <v>Camera and display is very poor quality and battery 🔋 is very good nothing bad,Nice phone at reasonable price.,Good,NICE,Value for money,Theek hai 🥰,Not bad,Good</v>
      </c>
      <c r="D383" s="29" t="str">
        <f>IFERROR(__xludf.DUMMYFUNCTION("GOOGLETRANSLATE(B383, ""en"", ""pt-br"")"),"Bom., Melhor pelo preço, bom telefone, bom, valor pelo dinheiro, ठीक-ठाक hai ☺️, revisão geral, bom")</f>
        <v>Bom., Melhor pelo preço, bom telefone, bom, valor pelo dinheiro, ठीक-ठाक hai ☺️, revisão geral, bom</v>
      </c>
      <c r="E383" s="29" t="str">
        <f>IFERROR(__xludf.DUMMYFUNCTION("GOOGLETRANSLATE(C383, ""en"", ""pt-br"")"),"Câmera e exibição são muito baixa qualidade e bateria 🔋 é muito bom nada ruim, bom telefone a um preço razoável., Bom, bom, valor por dinheiro, o hai 🥰, nada ruim, bom")</f>
        <v>Câmera e exibição são muito baixa qualidade e bateria 🔋 é muito bom nada ruim, bom telefone a um preço razoável., Bom, bom, valor por dinheiro, o hai 🥰, nada ruim, bom</v>
      </c>
    </row>
    <row r="384">
      <c r="A384" s="9" t="s">
        <v>1588</v>
      </c>
      <c r="B384" s="29" t="str">
        <f>VLOOKUP(dados!A384, reviews!A:G, 5, FALSE)</f>
        <v>Not that faster.....,Good quality product,Nice product.,Beauty and the beast,♥️👌Super fast charging, 1 hour main full charge, dono mobile hi fast charge hote hai.,Nice product,Super fast charger,Very Good!!</v>
      </c>
      <c r="C384" s="29" t="str">
        <f>VLOOKUP(dados!A384, reviews!A:G, 6, FALSE)</f>
        <v>Kk,Good quality product and best fitted into my car.,This is a good charger. Charging time 1 hour to full for iPhone 6. It’s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v>
      </c>
      <c r="D384" s="29" t="str">
        <f>IFERROR(__xludf.DUMMYFUNCTION("GOOGLETRANSLATE(B384, ""en"", ""pt-br"")"),"Não é tão rápido ....., produto de boa qualidade, bom produto., Beauty and the Beast, ♥ amor carregamento rápido, 1 hora de carga principal, Dono Mobile Hi Fast Charge Hai. Muito bom!!")</f>
        <v>Não é tão rápido ....., produto de boa qualidade, bom produto., Beauty and the Beast, ♥ amor carregamento rápido, 1 hora de carga principal, Dono Mobile Hi Fast Charge Hai. Muito bom!!</v>
      </c>
      <c r="E384" s="29" t="str">
        <f>IFERROR(__xludf.DUMMYFUNCTION("GOOGLETRANSLATE(C384, ""en"", ""pt-br"")"),"KK, produto de boa qualidade e melhor instalado no meu carro., Este é um bom carregador. Tempo de carregamento 1 hora para o iPhone 6. É muito melhor do que o carregador fornecido com o iPhone., Boa aparência, carregamento rápido e portas duplas. hai ...."&amp;" ek port super carregamento rápido ... 10 minutos principal de 0 a 20% carregando hoti hai .... sem problemas de aquecimento ... indicador de luz principal do carregador bhi hai ... deve comprar, bom produto, muito rápido carregador para carro, muito boa "&amp;"qualidade, por favor, tente este para carregar telefone de atendimento ..")</f>
        <v>KK, produto de boa qualidade e melhor instalado no meu carro., Este é um bom carregador. Tempo de carregamento 1 hora para o iPhone 6. É muito melhor do que o carregador fornecido com o iPhone., Boa aparência, carregamento rápido e portas duplas. hai .... ek port super carregamento rápido ... 10 minutos principal de 0 a 20% carregando hoti hai .... sem problemas de aquecimento ... indicador de luz principal do carregador bhi hai ... deve comprar, bom produto, muito rápido carregador para carro, muito boa qualidade, por favor, tente este para carregar telefone de atendimento ..</v>
      </c>
    </row>
    <row r="385">
      <c r="A385" s="9" t="s">
        <v>1592</v>
      </c>
      <c r="B385" s="29" t="str">
        <f>VLOOKUP(dados!A385, reviews!A:G, 5, FALSE)</f>
        <v>Cons that most youtubers won't tell you,It's good,Battery is normal,Good celphone,Nice phone,Phone is good at the price range,Affordable,Multi featured mobile at economical price.</v>
      </c>
      <c r="C385" s="29" t="str">
        <f>VLOOKUP(dados!A385, reviews!A:G, 6, FALSE)</f>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v>
      </c>
      <c r="D385" s="29" t="str">
        <f>IFERROR(__xludf.DUMMYFUNCTION("GOOGLETRANSLATE(B385, ""en"", ""pt-br"")"),"Contras que a maioria dos YouTubers não lhe diz, é bom, a bateria é normal, o bom celular, o telefone agradável, o telefone é bom na faixa de preço, móvel acessível e multi -destaque a um preço econômico.")</f>
        <v>Contras que a maioria dos YouTubers não lhe diz, é bom, a bateria é normal, o bom celular, o telefone agradável, o telefone é bom na faixa de preço, móvel acessível e multi -destaque a um preço econômico.</v>
      </c>
      <c r="E385" s="29" t="str">
        <f>IFERROR(__xludf.DUMMYFUNCTION("GOOGLETRANSLATE(C385, ""en"", ""pt-br"")"),"Depois de usar o telefone por um dia, sinto que os cantos foram cortados em várias áreas: o sensor JN1 não é tão bom com pouca luz. A cor é o estilo típico da Samsung com verduras excessivamente saturadas. Interessante notar que o JN1 também está sendo us"&amp;"ado no novo gerenciamento F23. Térmico da Samsung é muito ruim. O dispositivo aquece no uso normal em minutos se o brilho da tela estiver alto. O mesmo acontece quando o aplicativo da câmera é aberto/jogos simples no Flipkart Gamezone são jogados. Há rela"&amp;"tos no YouTube da câmera de Narzo50 desligando em dias quentes. Cenários acima da taxa de atualização adaptativa de 120Hz também drenam a bateria como louca. O falante e o fone de ouvido não têm crocância (agudos superiores), em vez disso, soa como ruído "&amp;"branco. O volume do fone de ouvido é baixo. O mesmo acontece com o volume do alto -falante quando está de acordo. Por outro lado, o volume do alto -falante é decente ao reproduzir vídeos. FLASHLIGHT É MEIO BRILHO COMO Smartphones normais. Eu realmente não"&amp;" sei se a empresa custou o corte aqui, ou é um bug de software. O aplicativo da galeria não é tão bom quanto o MIUI, exigindo mais torneiras para operações básicas, como visualizar a pasta do WhatsApp. A tela LCD é fantástica e muito bem calibrada com pon"&amp;"to branco relativamente mais frio, em oposição ao Super AMOLED de 5500-6500k amarelado. Não havia tonalidade verde ou roxa. A resposta do toque foi excelente. Protetor de tela, caixa, carregador rápido, cabo USB C estavam presentes. O telefone parece muit"&amp;"o mais fino que o meu volumoso F22 devido ao seu corpo fino, 10 GM menos peso e gabinete elegante. O aplicativo de câmera tem o modo manual de pleno direito, algo ausente do f22.Disclimer da Samsung: acima da impressão foi feita após o uso de 4 smartphone"&amp;"s nos últimos 8 anos: Asus Zenfone 5, Redmi 4, Redmi 7a, Samsung F22.Setly Considere outras alternativas atuais também, Assim como o Redmi Note 11, Poco M4 Pro, Poco M4 Pro 5G, Redmi Note 10T 5G, Samsung F22, Samsung F23, Moto G42 antes de comprar Narzo 5"&amp;"0.Ma informação: Não caia em bloatwares como Glance ao montar o telefone. Verifique o máximo possível de caixas de seleção antes de clicar cegamente 'eu concordo'. Desligue a recomendação do conteúdo indo para as configurações -&gt; Configurações adicionais "&amp;"-&gt; Recomendações e desligue a alternância verde. Para remover o Bloatwares que não pode ser desinstalado de maneira usual, siga o excelente guia do YouTuber 'Tech Office' mencionando todos os nomes de aplicativos do Realme necessários para os comandos do "&amp;"ADB. Consegui desinstalar aplicativos/jogos quentes desta maneira. Balanço de Branco, que resulta em céus mais azuis, mas verdeias sem vida, mesmo em 'horas douradas'. No entanto, as cores Narzos se tornam mais 'tonalidade precisa' depois de escolher 6000"&amp;"-6500k Point branco no 'modo de especialista', enquanto que a Samsung ainda oferece cores azuladas de folhagem verde no equilíbrio de branco nublado. Estranhamente, Narzo faz um HDR automático fraco, mesmo no 'modo de especialista', mas a Samsung o deslig"&amp;"a totalmente no 'modo profissional', resultando em fotos inutilizáveis. No entanto, ao usar o modo noturno, as fotos de Narzo parecem mais limpas, mas menos saturadas à noite. O GCAM 8.5 para Narzo não é otimizado corretamente e oferece fotos noturnas bar"&amp;"ulhentas com elenco esverdeado e sombras esmagadas, muito pior do que o modo noturno do RealMe. Por outro lado, não é um suporte GCAM e nenhum camera2API para F22. À noite, você pode tirar fotos de exposição longa (até 8/16/32s) através do 'Modo de Especi"&amp;"alista' escolhendo manualmente a velocidade do obturador em Narzo, algo que você não pode fazer no F22. No entanto, isso requer suporte de tripé e, sempre que feito corretamente, os resultados são muito bons. Você tem o modo de 'filme' manual em Narzo, en"&amp;"quanto você nem consegue definir manualmente o equilíbrio branco no modo de vídeo da F22, pois as galáxias de ponta inferior da Samsung não têm Modo 'Pro Video'., Este celular é adequado para todos os bons Camara, https: //m.media-amazon.com/images/i/719p"&amp;"usga96l._sy88.jpg, boa qualidade, muito bom. Feliz com isso enquanto estiver usando. Obrigado, Amaon., Eu havia comprado este telefone em 10k e este telefone é realmente brilhante nessa faixa de preço, a câmera é boa, o sensor de impressão digital é bom, "&amp;"o painel traseiro é bom (comprei um preto), não Espere, mas há um pequeno problema de que a bateria drena um pouco mais rápido e, quando você clica no botão Home, o Google Assistant aparece na maioria das vezes, o que às vezes é bastante irritante, no ger"&amp;"al, estou feliz com o telefone. Eu queria um telefone acessível; Isso se encaixa perfeitamente na conta., leitor de dedos fantástico, sustentabilidade da bateria por um longo tempo de uso e fotografias naturais de qualidade em HD. Produto incrível a um pr"&amp;"eço impressionante.")</f>
        <v>Depois de usar o telefone por um dia, sinto que os cantos foram cortados em várias áreas: o sensor JN1 não é tão bom com pouca luz. A cor é o estilo típico da Samsung com verduras excessivamente saturadas. Interessante notar que o JN1 também está sendo usado no novo gerenciamento F23. Térmico da Samsung é muito ruim. O dispositivo aquece no uso normal em minutos se o brilho da tela estiver alto. O mesmo acontece quando o aplicativo da câmera é aberto/jogos simples no Flipkart Gamezone são jogados. Há relatos no YouTube da câmera de Narzo50 desligando em dias quentes. Cenários acima da taxa de atualização adaptativa de 120Hz também drenam a bateria como louca. O falante e o fone de ouvido não têm crocância (agudos superiores), em vez disso, soa como ruído branco. O volume do fone de ouvido é baixo. O mesmo acontece com o volume do alto -falante quando está de acordo. Por outro lado, o volume do alto -falante é decente ao reproduzir vídeos. FLASHLIGHT É MEIO BRILHO COMO Smartphones normais. Eu realmente não sei se a empresa custou o corte aqui, ou é um bug de software. O aplicativo da galeria não é tão bom quanto o MIUI, exigindo mais torneiras para operações básicas, como visualizar a pasta do WhatsApp. A tela LCD é fantástica e muito bem calibrada com ponto branco relativamente mais frio, em oposição ao Super AMOLED de 5500-6500k amarelado. Não havia tonalidade verde ou roxa. A resposta do toque foi excelente. Protetor de tela, caixa, carregador rápido, cabo USB C estavam presentes. O telefone parece muito mais fino que o meu volumoso F22 devido ao seu corpo fino, 10 GM menos peso e gabinete elegante. O aplicativo de câmera tem o modo manual de pleno direito, algo ausente do f22.Disclimer da Samsung: acima da impressão foi feita após o uso de 4 smartphones nos últimos 8 anos: Asus Zenfone 5, Redmi 4, Redmi 7a, Samsung F22.Setly Considere outras alternativas atuais também, Assim como o Redmi Note 11, Poco M4 Pro, Poco M4 Pro 5G, Redmi Note 10T 5G, Samsung F22, Samsung F23, Moto G42 antes de comprar Narzo 50.Ma informação: Não caia em bloatwares como Glance ao montar o telefone. Verifique o máximo possível de caixas de seleção antes de clicar cegamente 'eu concordo'. Desligue a recomendação do conteúdo indo para as configurações -&gt; Configurações adicionais -&gt; Recomendações e desligue a alternância verde. Para remover o Bloatwares que não pode ser desinstalado de maneira usual, siga o excelente guia do YouTuber 'Tech Office' mencionando todos os nomes de aplicativos do Realme necessários para os comandos do ADB. Consegui desinstalar aplicativos/jogos quentes desta maneira. Balanço de Branco, que resulta em céus mais azuis, mas verdeias sem vida, mesmo em 'horas douradas'. No entanto, as cores Narzos se tornam mais 'tonalidade precisa' depois de escolher 6000-6500k Point branco no 'modo de especialista', enquanto que a Samsung ainda oferece cores azuladas de folhagem verde no equilíbrio de branco nublado. Estranhamente, Narzo faz um HDR automático fraco, mesmo no 'modo de especialista', mas a Samsung o desliga totalmente no 'modo profissional', resultando em fotos inutilizáveis. No entanto, ao usar o modo noturno, as fotos de Narzo parecem mais limpas, mas menos saturadas à noite. O GCAM 8.5 para Narzo não é otimizado corretamente e oferece fotos noturnas barulhentas com elenco esverdeado e sombras esmagadas, muito pior do que o modo noturno do RealMe. Por outro lado, não é um suporte GCAM e nenhum camera2API para F22. À noite, você pode tirar fotos de exposição longa (até 8/16/32s) através do 'Modo de Especialista' escolhendo manualmente a velocidade do obturador em Narzo, algo que você não pode fazer no F22. No entanto, isso requer suporte de tripé e, sempre que feito corretamente, os resultados são muito bons. Você tem o modo de 'filme' manual em Narzo, enquanto você nem consegue definir manualmente o equilíbrio branco no modo de vídeo da F22, pois as galáxias de ponta inferior da Samsung não têm Modo 'Pro Video'., Este celular é adequado para todos os bons Camara, https: //m.media-amazon.com/images/i/719pusga96l._sy88.jpg, boa qualidade, muito bom. Feliz com isso enquanto estiver usando. Obrigado, Amaon., Eu havia comprado este telefone em 10k e este telefone é realmente brilhante nessa faixa de preço, a câmera é boa, o sensor de impressão digital é bom, o painel traseiro é bom (comprei um preto), não Espere, mas há um pequeno problema de que a bateria drena um pouco mais rápido e, quando você clica no botão Home, o Google Assistant aparece na maioria das vezes, o que às vezes é bastante irritante, no geral, estou feliz com o telefone. Eu queria um telefone acessível; Isso se encaixa perfeitamente na conta., leitor de dedos fantástico, sustentabilidade da bateria por um longo tempo de uso e fotografias naturais de qualidade em HD. Produto incrível a um preço impressionante.</v>
      </c>
    </row>
    <row r="386">
      <c r="A386" s="9" t="s">
        <v>1596</v>
      </c>
      <c r="B386" s="29" t="str">
        <f>VLOOKUP(dados!A386, reviews!A:G, 5, FALSE)</f>
        <v>Do not waste your money!,stable only till half opening, battery cost is very high (2 batteries cost the same as selfie stick),light weight and useful gadget for a family to have cool pictures,The length of the selfie stick should be more.,Good,Superb,Nice product,Good product</v>
      </c>
      <c r="C386" s="29" t="str">
        <f>VLOOKUP(dados!A386, reviews!A:G, 6, FALSE)</f>
        <v>I bought this product with the hope that it would be a good and stable selfie stick. But it didn’t help at all. .It is not suitable for large phones like IPhone 11 Pro Max . . Very clumsy and the tripod doesn’t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v>
      </c>
      <c r="D386" s="29" t="str">
        <f>IFERROR(__xludf.DUMMYFUNCTION("GOOGLETRANSLATE(B386, ""en"", ""pt-br"")"),"Não desperdice seu dinheiro!, Estável apenas até a metade da abertura, o custo da bateria é muito alto (2 baterias custam o mesmo que o bastão de selfie), o peso leve e o gadget útil para uma família ter fotos legais, o comprimento do bastão de selfie dev"&amp;"e ser mais., bom, excelente, bom produto, bom produto")</f>
        <v>Não desperdice seu dinheiro!, Estável apenas até a metade da abertura, o custo da bateria é muito alto (2 baterias custam o mesmo que o bastão de selfie), o peso leve e o gadget útil para uma família ter fotos legais, o comprimento do bastão de selfie deve ser mais., bom, excelente, bom produto, bom produto</v>
      </c>
      <c r="E386" s="29" t="str">
        <f>IFERROR(__xludf.DUMMYFUNCTION("GOOGLETRANSLATE(C386, ""en"", ""pt-br"")"),"Comprei este produto com a esperança de que fosse um bastão de selfie bom e estável. Mas isso não ajudou nada. . Não é adequado para telefones grandes como o iPhone 11 Pro Max. . Muito desajeitado e o tripé não permanece nada. . Continua deslizando. .S um"&amp;" momento muito difícil de montar o bastão de selfie. ., Prós: 1. Stick útil - estável apenas até o meio comprimento, depois disso treme como CRAP2. O remoto Bluetooth é dado que é muito útil (de fato necessário, eu diria) contras: 1. Useful apenas até a m"&amp;"etade aberta - depois disso, ele treme como qualquer coisa.2.. O maior custo: o custo de 2 baterias é mais do que o próprio bastão de selfie. Agora, pois não tenho dinheiro para ir para um gimble, estou usando isso e comprei 2 baterias sobressalentes (me "&amp;"custou 500 rúpias para 2 baterias). Embora eu deva dizer que você pode encontrar a bateria CR1632 - 3V (a usada neste) - muito mais barata do que o que eu paguei no site da ECOM local ou nas lojas locais., É preciso ter esse tripé para obter a qualidade d"&amp;"a família completa é Até o Markand, ele está fortemente com o peso do controle do telefone é rápido e claro, se você estiver tirando fotos com sua família em casa, é bom. Mas se você é um único piloto e andar solo, seu comprimento é normal. Você receberá "&amp;"apenas metade da sua foto. Deve ser de tal comprimento que o cavaleiro possa tirar uma foto completa com seus equipamentos de pilotagem. Então é bom para os pilotos. Minha sugestão é que ela deve ter mais comprimento., Tudo é perfeito, exceto se você puxa"&amp;"r o tripé para um longo, excelente, bom, bom., Eu não usei muito, o produto é bom. Seu remoto limpo e limpo funciona bem. A parte em que o telefone mantém isso é muito difícil de abrir e precisa ser mais resistente.")</f>
        <v>Comprei este produto com a esperança de que fosse um bastão de selfie bom e estável. Mas isso não ajudou nada. . Não é adequado para telefones grandes como o iPhone 11 Pro Max. . Muito desajeitado e o tripé não permanece nada. . Continua deslizando. .S um momento muito difícil de montar o bastão de selfie. ., Prós: 1. Stick útil - estável apenas até o meio comprimento, depois disso treme como CRAP2. O remoto Bluetooth é dado que é muito útil (de fato necessário, eu diria) contras: 1. Useful apenas até a metade aberta - depois disso, ele treme como qualquer coisa.2.. O maior custo: o custo de 2 baterias é mais do que o próprio bastão de selfie. Agora, pois não tenho dinheiro para ir para um gimble, estou usando isso e comprei 2 baterias sobressalentes (me custou 500 rúpias para 2 baterias). Embora eu deva dizer que você pode encontrar a bateria CR1632 - 3V (a usada neste) - muito mais barata do que o que eu paguei no site da ECOM local ou nas lojas locais., É preciso ter esse tripé para obter a qualidade da família completa é Até o Markand, ele está fortemente com o peso do controle do telefone é rápido e claro, se você estiver tirando fotos com sua família em casa, é bom. Mas se você é um único piloto e andar solo, seu comprimento é normal. Você receberá apenas metade da sua foto. Deve ser de tal comprimento que o cavaleiro possa tirar uma foto completa com seus equipamentos de pilotagem. Então é bom para os pilotos. Minha sugestão é que ela deve ter mais comprimento., Tudo é perfeito, exceto se você puxar o tripé para um longo, excelente, bom, bom., Eu não usei muito, o produto é bom. Seu remoto limpo e limpo funciona bem. A parte em que o telefone mantém isso é muito difícil de abrir e precisa ser mais resistente.</v>
      </c>
    </row>
    <row r="387">
      <c r="A387" s="9" t="s">
        <v>1603</v>
      </c>
      <c r="B387" s="29" t="str">
        <f>VLOOKUP(dados!A387, reviews!A:G, 5, FALSE)</f>
        <v>7-8/10, Decent, good for day to day use,Good choice under budget of Rs2000,Average product.,Budget friendly,Overall it's a good watch,Good product,Best in design, accuracy and looks fancy. A must buy for every person who is watch enthusiast.,Having a great experience</v>
      </c>
      <c r="C387" s="29" t="str">
        <f>VLOOKUP(dados!A387, reviews!A:G, 6, FALSE)</f>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v>
      </c>
      <c r="D387" s="29" t="str">
        <f>IFERROR(__xludf.DUMMYFUNCTION("GOOGLETRANSLATE(B387, ""en"", ""pt-br"")"),"7-8/10, decente, bom para uso diário, boa escolha sob orçamento de Rs2000, produto médio., Friendia ao orçamento, no geral é um bom relógio, bom produto, melhor em design, precisão e parece chique. Um deve comprar para cada pessoa que está assistindo entu"&amp;"siasta., Ter uma ótima experiência")</f>
        <v>7-8/10, decente, bom para uso diário, boa escolha sob orçamento de Rs2000, produto médio., Friendia ao orçamento, no geral é um bom relógio, bom produto, melhor em design, precisão e parece chique. Um deve comprar para cada pessoa que está assistindo entusiasta., Ter uma ótima experiência</v>
      </c>
      <c r="E387" s="29" t="str">
        <f>IFERROR(__xludf.DUMMYFUNCTION("GOOGLETRANSLATE(C387, ""en"", ""pt-br"")"),"REVISÃO DE 2 MESES- Está funcionando bem, não há problema a partir de agora .. Algumas coisas- o rastreamento de etapas inteiras, eu comprei por esse motivo, isso basicamente não me satisfaz com esse nível com isso, mas isso Conta as etapas com precisão n"&amp;"o modo de caminhada (atividade), ela tem alguns arranhões. Só podemos ter 2, 1 personalização e 1 download do aplicativo (que tem opções limitadas), os outros fundos são apenas .. eh ... os looks, eu vou dar 9/10, é uma tela de toque diferente de boa apar"&amp;"ência é boa O rastreamento do sono também é meio preciso (eu ainda não entendi tão bem lol) A duração da bateria é Muah, eu a uso sem Bluetooth e ele sobrevive facilmente por 6-7 diasspo2 e freqüência cardíaca, eu apenas acredito no que diz que posso Não "&amp;"verifique se isso está correto. , estou bastante satisfeito com isso como meu primeiro relógio inteligente 😗, usei este produto por 4 dias e vou classificar os vários recursos e diferentes aspectos deste smartwatch, que podem ajudar os clientes aqui -ent"&amp;"ão, Bluetooth Chamando (4/5) - O microfone embutido deste relógio é excelente e a voz chega ao outro lado sem qualquer perturbação, o relógio se conecta sem problemas com o celular e não se desconecte automaticamente até fazer isso por meio de relógio ou "&amp;"telefone . Somente o golpe é que você não pode silenciar a chamada que é irritante em algum momento, espero que eles o corram com uma atualização. A melhor coisa é que também parece bom nos pulsos magros (pobre em mim, com pulso de 5,6 polegadas). Somente"&amp;" o golpe é que você pode fazer arranhões em exibição, portanto, proteja com ela algum tipo de tela de tela. Aposto que você não terá nenhuma experiência lenta. Conte etapas com precisão decente também. A precisão do sono também é aceitável. excelente. A v"&amp;"oz chega ao outro lado sem nenhum distúrbio. A qualidade de construção é boa sobre os pulsos, mas você pode fazer arranhões na tela; portanto, proteja -o com algum guarda de tela. Você deve ir para este relógio, se quiser um smartwatch para o orçamento ab"&amp;"aixo de 2000., é um bom relógio, mas eu enfrentei dois problemas, o primeiro é que não há nenhum recurso de aumento para acordar e o segundo é que não há não haver Opção para silenciar quando alguém te ligar ... acho que você deve comprá -lo se, na futura"&amp;" empresa, adicionar esses dois recursos ..., eu comprei recentemente o relógio Fire Boltt Phoenix e estou muito feliz com minha compra. O relógio é bastante elegante, e eu recebo elogios toda vez que o uso. O relógio também é bastante confortável de usar,"&amp;" e a alça é ajustável para caber em qualquer tamanho de pulso. O relógio também tem uma ótima duração da bateria, e eu posso passar dias sem ter que carregá -lo. O relógio também possui vários recursos, incluindo um contador de etapas, monitor de freqüênc"&amp;"ia cardíaca e rastreador de sono. Todos esses recursos são muito úteis e facilitam o rastreamento da minha atividade e da saúde. No geral, estou muito satisfeito com minha compra e recomendo o relógio Fire Boltt Phoenix para quem procura um relógio elegan"&amp;"te e funcional., Este relógio é absolutamente impressionante e de ótimo valor para o dinheiro. Realmente satisfeito com o design e a forma do relógio, definitivamente uma compra obrigatória para todas as pessoas. Louse a cor, a durabilidade e a precisão é"&amp;" super 👍. Basta ir em frente., Gostei do produto, ele possui muitos recursos como rastreamento de sono, SP02, medição de freqüência cardíaca, tocador de música, verificador de temperatura, meu único nitpick seria que ele só tem 2 jogos e, em segundo luga"&amp;"r, tem bons papéis de parede, mas um ben 10 Papel de parede Omnitrix daria uma aparência ainda mais incrível")</f>
        <v>REVISÃO DE 2 MESES- Está funcionando bem, não há problema a partir de agora .. Algumas coisas- o rastreamento de etapas inteiras, eu comprei por esse motivo, isso basicamente não me satisfaz com esse nível com isso, mas isso Conta as etapas com precisão no modo de caminhada (atividade), ela tem alguns arranhões. Só podemos ter 2, 1 personalização e 1 download do aplicativo (que tem opções limitadas), os outros fundos são apenas .. eh ... os looks, eu vou dar 9/10, é uma tela de toque diferente de boa aparência é boa O rastreamento do sono também é meio preciso (eu ainda não entendi tão bem lol) A duração da bateria é Muah, eu a uso sem Bluetooth e ele sobrevive facilmente por 6-7 diasspo2 e freqüência cardíaca, eu apenas acredito no que diz que posso Não verifique se isso está correto. , estou bastante satisfeito com isso como meu primeiro relógio inteligente 😗, usei este produto por 4 dias e vou classificar os vários recursos e diferentes aspectos deste smartwatch, que podem ajudar os clientes aqui -então, Bluetooth Chamando (4/5) - O microfone embutido deste relógio é excelente e a voz chega ao outro lado sem qualquer perturbação, o relógio se conecta sem problemas com o celular e não se desconecte automaticamente até fazer isso por meio de relógio ou telefone . Somente o golpe é que você não pode silenciar a chamada que é irritante em algum momento, espero que eles o corram com uma atualização. A melhor coisa é que também parece bom nos pulsos magros (pobre em mim, com pulso de 5,6 polegadas). Somente o golpe é que você pode fazer arranhões em exibição, portanto, proteja com ela algum tipo de tela de tela. Aposto que você não terá nenhuma experiência lenta. Conte etapas com precisão decente também. A precisão do sono também é aceitável. excelente. A voz chega ao outro lado sem nenhum distúrbio. A qualidade de construção é boa sobre os pulsos, mas você pode fazer arranhões na tela; portanto, proteja -o com algum guarda de tela. Você deve ir para este relógio, se quiser um smartwatch para o orçamento abaixo de 2000., é um bom relógio, mas eu enfrentei dois problemas, o primeiro é que não há nenhum recurso de aumento para acordar e o segundo é que não há não haver Opção para silenciar quando alguém te ligar ... acho que você deve comprá -lo se, na futura empresa, adicionar esses dois recursos ..., eu comprei recentemente o relógio Fire Boltt Phoenix e estou muito feliz com minha compra. O relógio é bastante elegante, e eu recebo elogios toda vez que o uso. O relógio também é bastante confortável de usar, e a alça é ajustável para caber em qualquer tamanho de pulso. O relógio também tem uma ótima duração da bateria, e eu posso passar dias sem ter que carregá -lo. O relógio também possui vários recursos, incluindo um contador de etapas, monitor de freqüência cardíaca e rastreador de sono. Todos esses recursos são muito úteis e facilitam o rastreamento da minha atividade e da saúde. No geral, estou muito satisfeito com minha compra e recomendo o relógio Fire Boltt Phoenix para quem procura um relógio elegante e funcional., Este relógio é absolutamente impressionante e de ótimo valor para o dinheiro. Realmente satisfeito com o design e a forma do relógio, definitivamente uma compra obrigatória para todas as pessoas. Louse a cor, a durabilidade e a precisão é super 👍. Basta ir em frente., Gostei do produto, ele possui muitos recursos como rastreamento de sono, SP02, medição de freqüência cardíaca, tocador de música, verificador de temperatura, meu único nitpick seria que ele só tem 2 jogos e, em segundo lugar, tem bons papéis de parede, mas um ben 10 Papel de parede Omnitrix daria uma aparência ainda mais incrível</v>
      </c>
    </row>
    <row r="388">
      <c r="A388" s="9" t="s">
        <v>1606</v>
      </c>
      <c r="B388" s="29" t="str">
        <f>VLOOKUP(dados!A388, reviews!A:G, 5, FALSE)</f>
        <v>Good,Amazing phone,Nice mobile ... But Amazon very low service.. every product,Value for money,Good prpduct,Good,Overal a good product,Best phone in this range</v>
      </c>
      <c r="C388" s="29" t="str">
        <f>VLOOKUP(dados!A388, reviews!A:G, 6, FALSE)</f>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v>
      </c>
      <c r="D388" s="29" t="str">
        <f>IFERROR(__xludf.DUMMYFUNCTION("GOOGLETRANSLATE(B388, ""en"", ""pt-br"")"),"Bom, telefone incrível, bom celular ... mas Amazon muito baixo.")</f>
        <v>Bom, telefone incrível, bom celular ... mas Amazon muito baixo.</v>
      </c>
      <c r="E388" s="29" t="str">
        <f>IFERROR(__xludf.DUMMYFUNCTION("GOOGLETRANSLATE(C388, ""en"", ""pt-br"")"),"Eu gosto, ótimo telefone em menor quantidade, essas câmera são incríveis e exibem muito bem, o celular é bom .. mas a Amazon muito baixo serviço muito produto .., valor ao dinheiro, https: //m.media-amazon.com/images /I/61bpp86a3rl._sy88.jpg, bom produto "&amp;"muito agradável, às vezes o sensor de impressão digital não está funcionando corretamente, a qualidade da câmera é boa, a vida útil da bateria é melhor ... no geral, é um bom produto. Revisão adicionada após 1 mês de uso, melhor Telefone nesse intervalo, "&amp;"exceto a duração da bateria.")</f>
        <v>Eu gosto, ótimo telefone em menor quantidade, essas câmera são incríveis e exibem muito bem, o celular é bom .. mas a Amazon muito baixo serviço muito produto .., valor ao dinheiro, https: //m.media-amazon.com/images /I/61bpp86a3rl._sy88.jpg, bom produto muito agradável, às vezes o sensor de impressão digital não está funcionando corretamente, a qualidade da câmera é boa, a vida útil da bateria é melhor ... no geral, é um bom produto. Revisão adicionada após 1 mês de uso, melhor Telefone nesse intervalo, exceto a duração da bateria.</v>
      </c>
    </row>
    <row r="389">
      <c r="A389" s="9" t="s">
        <v>1610</v>
      </c>
      <c r="B389" s="29" t="str">
        <f>VLOOKUP(dados!A389, reviews!A:G, 5, FALSE)</f>
        <v>Solid phone, worth considering,Good Phone,Overall decent product,Apart from the camera everything is fine,Product is good,Honest Review after 14 days usage,Superb but need improvement in camera,Best camera</v>
      </c>
      <c r="C389" s="29" t="str">
        <f>VLOOKUP(dados!A389, reviews!A:G, 6, FALSE)</f>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v>
      </c>
      <c r="D389" s="29" t="str">
        <f>IFERROR(__xludf.DUMMYFUNCTION("GOOGLETRANSLATE(B389, ""en"", ""pt-br"")"),"Telefone sólido, vale a pena considerar, bom telefone, produto decente geral, além da câmera, está tudo bem, o produto é bom, revisão honesta após 14 dias de uso, excelente, mas precisa de melhorias na câmera, melhor câmera")</f>
        <v>Telefone sólido, vale a pena considerar, bom telefone, produto decente geral, além da câmera, está tudo bem, o produto é bom, revisão honesta após 14 dias de uso, excelente, mas precisa de melhorias na câmera, melhor câmera</v>
      </c>
      <c r="E389" s="29" t="str">
        <f>IFERROR(__xludf.DUMMYFUNCTION("GOOGLETRANSLATE(C389, ""en"", ""pt-br"")"),"Comprei este telefone após toneladas de pesquisa e assistindo e lendo vários vídeos do YouTube e críticas de blog de vários telefones. Meu orçamento era de cerca de 20 mil no máximo, e este de alguma forma se encaixa de todas as maneiras. Eu quase tinha f"&amp;"inalizado um mais Nord CE, mas mudei de idéia no último momento e não me arrependo. Eu já usei telefones Redmi antes, por isso estou ciente da robustez e do valor pelo dinheiro que eles oferecem. Peguei isso por 13k com quase 6k+ troca no meu telefone Tec"&amp;"no Spark 7 de um ano (um dos piores telefones que já usei, consulte minha revisão do Tecno Spark 7 para isso). Aqui está minha revisão deste telefone com base em 2 meses de uso: Prós: 1. A qualidade de construção é boa. Terminando e parece ser elegante e "&amp;"bastante confortável na mão. A câmera traseira é muito boa, melhor com a câmera da IA. O 108 MP fornece boas imagens, embora não seja comparável à qualidade do iPhone ou Google Pixel, mas para a faixa de preço não é ruim. O modo retrato fornece ótimas ima"&amp;"gens em condições bem iluminadas, decentes com pouca luz com o modo noturno.3. O carregador 67W é muito eficiente. O telefone é totalmente carregado dentro de 40-45 minutos abaixo dos níveis de bateria abaixo de 10%. O backup da bateria é decente, com a c"&amp;"arga de uso normal facilmente dura um dia e meio ou mais.4. Dolby Atmos Dual Alto -falantes são realmente bons! Você pode estar assistindo filmes nisso e sentir o som surround através dos alto -falantes. Muito alto também. Sem atraso e toque suave, a taxa"&amp;" de atualização é muito boa. Ao contrário de alguns dos telefones Redmi anteriores ou telefones chineses em geral, existem instanturas automáticas insignificantes. O desempenho do Android 11 até agora tem sido satisfatório. Uso de Hasslefree em geral, alg"&amp;"o com o qual lutei muito com meu telefone Spark techno anterior para funcionalidades básicas. A câmera frontal poderia ter sido muito melhor. Nas condições do dia, as cores da imagem não são vibrantes o suficiente e, com pouca luz, as imagens são granulad"&amp;"as. Insatisfeito com isso. A tela AMOLED não é tão boa quanto eu esperava, especialmente fica evidente quando a luz reflete na tela enquanto você está assistindo a algo. Nada mais vale a pena mencionar que eu posso pensar agora. Pode atualizar esta revisã"&amp;"o se algo encontrado. Corpo e boa velocidade do processo ... A qualidade da câmera não é boa o suficiente ... mas em geral .. bom orçamento. Bug Se você estiver procurando uma boa câmera, este não é o único., O preço do produto é maior no momento do lança"&amp;"mento. Dentro de 1 mês, caiu 3k. O preço do QTY está ok. Alguns recursos estão faltando que estão disponíveis no modelo de make chineses., Pros1. Exibir (Super AMOLED) 2. Vida da bateria (uso moderado de 24 horas) 3. Carregamento rápido4. Taxa de atualiza"&amp;"ção de 120 Hz Trabalho perfeitamente de1. MIUI (muitos aplicativos desnecessários) 2.Processador (SD 695 é muito velho) 3.Main Câmera não está à altura do MarkOverall, eu só quero dizer se você está procurando um telefone para assistir filmes e séries e j"&amp;"ogos casuais vão para isso . (PUBG, COD se sente fantástico nisso sem atraso) Se estiver procurando por jogos pesados ​​ou procurar um telefone de câmera, este não é para você irmão., Bom telefone precisa de melhorias na câmera, este celular tem a melhor "&amp;"câmera em comparação com outros modelos")</f>
        <v>Comprei este telefone após toneladas de pesquisa e assistindo e lendo vários vídeos do YouTube e críticas de blog de vários telefones. Meu orçamento era de cerca de 20 mil no máximo, e este de alguma forma se encaixa de todas as maneiras. Eu quase tinha finalizado um mais Nord CE, mas mudei de idéia no último momento e não me arrependo. Eu já usei telefones Redmi antes, por isso estou ciente da robustez e do valor pelo dinheiro que eles oferecem. Peguei isso por 13k com quase 6k+ troca no meu telefone Tecno Spark 7 de um ano (um dos piores telefones que já usei, consulte minha revisão do Tecno Spark 7 para isso). Aqui está minha revisão deste telefone com base em 2 meses de uso: Prós: 1. A qualidade de construção é boa. Terminando e parece ser elegante e bastante confortável na mão. A câmera traseira é muito boa, melhor com a câmera da IA. O 108 MP fornece boas imagens, embora não seja comparável à qualidade do iPhone ou Google Pixel, mas para a faixa de preço não é ruim. O modo retrato fornece ótimas imagens em condições bem iluminadas, decentes com pouca luz com o modo noturno.3. O carregador 67W é muito eficiente. O telefone é totalmente carregado dentro de 40-45 minutos abaixo dos níveis de bateria abaixo de 10%. O backup da bateria é decente, com a carga de uso normal facilmente dura um dia e meio ou mais.4. Dolby Atmos Dual Alto -falantes são realmente bons! Você pode estar assistindo filmes nisso e sentir o som surround através dos alto -falantes. Muito alto também. Sem atraso e toque suave, a taxa de atualização é muito boa. Ao contrário de alguns dos telefones Redmi anteriores ou telefones chineses em geral, existem instanturas automáticas insignificantes. O desempenho do Android 11 até agora tem sido satisfatório. Uso de Hasslefree em geral, algo com o qual lutei muito com meu telefone Spark techno anterior para funcionalidades básicas. A câmera frontal poderia ter sido muito melhor. Nas condições do dia, as cores da imagem não são vibrantes o suficiente e, com pouca luz, as imagens são granuladas. Insatisfeito com isso. A tela AMOLED não é tão boa quanto eu esperava, especialmente fica evidente quando a luz reflete na tela enquanto você está assistindo a algo. Nada mais vale a pena mencionar que eu posso pensar agora. Pode atualizar esta revisão se algo encontrado. Corpo e boa velocidade do processo ... A qualidade da câmera não é boa o suficiente ... mas em geral .. bom orçamento. Bug Se você estiver procurando uma boa câmera, este não é o único., O preço do produto é maior no momento do lançamento. Dentro de 1 mês, caiu 3k. O preço do QTY está ok. Alguns recursos estão faltando que estão disponíveis no modelo de make chineses., Pros1. Exibir (Super AMOLED) 2. Vida da bateria (uso moderado de 24 horas) 3. Carregamento rápido4. Taxa de atualização de 120 Hz Trabalho perfeitamente de1. MIUI (muitos aplicativos desnecessários) 2.Processador (SD 695 é muito velho) 3.Main Câmera não está à altura do MarkOverall, eu só quero dizer se você está procurando um telefone para assistir filmes e séries e jogos casuais vão para isso . (PUBG, COD se sente fantástico nisso sem atraso) Se estiver procurando por jogos pesados ​​ou procurar um telefone de câmera, este não é para você irmão., Bom telefone precisa de melhorias na câmera, este celular tem a melhor câmera em comparação com outros modelos</v>
      </c>
    </row>
    <row r="390">
      <c r="A390" s="9" t="s">
        <v>1614</v>
      </c>
      <c r="B390" s="29" t="str">
        <f>VLOOKUP(dados!A390, reviews!A:G, 5, FALSE)</f>
        <v>Not same as original!,Good product,Original charger,Good,Good indeed,Good item,Authentic Samsung 25W type C fast charger,Good product</v>
      </c>
      <c r="C390" s="29" t="str">
        <f>VLOOKUP(dados!A390, reviews!A:G, 6, FALSE)</f>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v>
      </c>
      <c r="D390" s="29" t="str">
        <f>IFERROR(__xludf.DUMMYFUNCTION("GOOGLETRANSLATE(B390, ""en"", ""pt-br"")"),"Não é o mesmo que original!, Bom produto, carregador original, bom, bom de fato, bom item, autêntico carregador Samsung 25w Tipo C rápido, bom produto")</f>
        <v>Não é o mesmo que original!, Bom produto, carregador original, bom, bom de fato, bom item, autêntico carregador Samsung 25w Tipo C rápido, bom produto</v>
      </c>
      <c r="E390" s="29" t="str">
        <f>IFERROR(__xludf.DUMMYFUNCTION("GOOGLETRANSLATE(C390, ""en"", ""pt-br"")"),"Não cobrar como original, meu irmão tem o mesmo carregador que vem com a nota 10 Caixa sua carga de carregador sem aquecimento e rápido e isso não está cobrando como original, obteve um ótimo produto de desconto, por favor, esteja ciente ao comprar o carr"&amp;"egador Samsung 25W original. Existem muitos vendedores neste link que vendem um FALSE. PLS Check e compra do varejo de aparições para o melhor produto. Pls Veja a foto, à direita é o mesmo produto de outro vendedor por 100/- menor. O pacote foi danificado"&amp;" e aberto. O carregador cobra apenas como ""carregamento rápido"" e não um carregamento super rápido. A impressão no adaptador deve estar na fonte de ouro (original). O texto de embalagem etc é quase exato. Carrega super rápida conforme indicado. Bom carr"&amp;"egador e confiável ..., bom, funciona bem. A solidez vale a pena. Eu satisfeito, carregando rápido, como mencionado., Estou feliz com a compra. Observe que esta cabeça do carregador não vem com o cabo. O cabo precisa ser comprado separadamente. Eu já tinh"&amp;"a um cabo compatível, então comprei apenas a cabeça do carregador., Valor do dinheiro")</f>
        <v>Não cobrar como original, meu irmão tem o mesmo carregador que vem com a nota 10 Caixa sua carga de carregador sem aquecimento e rápido e isso não está cobrando como original, obteve um ótimo produto de desconto, por favor, esteja ciente ao comprar o carregador Samsung 25W original. Existem muitos vendedores neste link que vendem um FALSE. PLS Check e compra do varejo de aparições para o melhor produto. Pls Veja a foto, à direita é o mesmo produto de outro vendedor por 100/- menor. O pacote foi danificado e aberto. O carregador cobra apenas como "carregamento rápido" e não um carregamento super rápido. A impressão no adaptador deve estar na fonte de ouro (original). O texto de embalagem etc é quase exato. Carrega super rápida conforme indicado. Bom carregador e confiável ..., bom, funciona bem. A solidez vale a pena. Eu satisfeito, carregando rápido, como mencionado., Estou feliz com a compra. Observe que esta cabeça do carregador não vem com o cabo. O cabo precisa ser comprado separadamente. Eu já tinha um cabo compatível, então comprei apenas a cabeça do carregador., Valor do dinheiro</v>
      </c>
    </row>
    <row r="391">
      <c r="A391" s="9" t="s">
        <v>1618</v>
      </c>
      <c r="B391" s="29" t="str">
        <f>VLOOKUP(dados!A391, reviews!A:G, 5, FALSE)</f>
        <v>Value-for-money,Worth to buy,Good product bass bhi achha hai,This is AWESOME,Nice earphone, India should also make like this,Good earphone comfortable feel, microphones, sound, calling.,It’s good build quality,I just love this. Amezing sound quality</v>
      </c>
      <c r="C391" s="29" t="str">
        <f>VLOOKUP(dados!A391, reviews!A:G, 6, FALSE)</f>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👌,Sound quality is goodCalling is also niceBut i like most of this earphone, it's softness 👌,,Thanks to realme and AmazoneIt was good and delivered at the time,Highly recommended</v>
      </c>
      <c r="D391" s="29" t="str">
        <f>IFERROR(__xludf.DUMMYFUNCTION("GOOGLETRANSLATE(B391, ""en"", ""pt-br"")"),"Valor por dinheiro, vale a pena comprar, bom produto Bass Bhi Achha Hai, isso é incrível, fone de ouvido bom, a Índia também deve fazer assim, boa sensação confortável de fones de ouvido, microfones, som, chamado., É boa qualidade de construção, eu apenas"&amp;" amo isso. Qualidade do som amezante")</f>
        <v>Valor por dinheiro, vale a pena comprar, bom produto Bass Bhi Achha Hai, isso é incrível, fone de ouvido bom, a Índia também deve fazer assim, boa sensação confortável de fones de ouvido, microfones, som, chamado., É boa qualidade de construção, eu apenas amo isso. Qualidade do som amezante</v>
      </c>
      <c r="E391" s="29" t="str">
        <f>IFERROR(__xludf.DUMMYFUNCTION("GOOGLETRANSLATE(C391, ""en"", ""pt-br"")"),"Apesar de serem acessíveis, esses fones de ouvido são muito bons. Eu os uso principalmente para falar ao telefone. A qualidade do som é nítida e clara, embora para ouvir música séria, eu acho, outros fones de ouvido mais caros serão melhores., I/61Eznrj0d"&amp;"wl._sy88.jpg, a entrega foi tão rápida que os fones de ouvido são incríveis 👌, a qualidade do som é boa, também é agradável, mas eu gosto da maior parte desse fone de ouvido, sua suavidade 👌 ,, graças ao RealMe e AmazOneit foi bom e entregue no momento "&amp;",Altamente recomendado")</f>
        <v>Apesar de serem acessíveis, esses fones de ouvido são muito bons. Eu os uso principalmente para falar ao telefone. A qualidade do som é nítida e clara, embora para ouvir música séria, eu acho, outros fones de ouvido mais caros serão melhores., I/61Eznrj0dwl._sy88.jpg, a entrega foi tão rápida que os fones de ouvido são incríveis 👌, a qualidade do som é boa, também é agradável, mas eu gosto da maior parte desse fone de ouvido, sua suavidade 👌 ,, graças ao RealMe e AmazOneit foi bom e entregue no momento ,Altamente recomendado</v>
      </c>
    </row>
    <row r="392">
      <c r="A392" s="9" t="s">
        <v>1622</v>
      </c>
      <c r="B392" s="29" t="str">
        <f>VLOOKUP(dados!A392, reviews!A:G, 5, FALSE)</f>
        <v>Ranjitha,Good one,Best One!!!,Good and average usage,IT'S BEEN GOOD,Good,Noise,Overall good product</v>
      </c>
      <c r="C392" s="29" t="str">
        <f>VLOOKUP(dados!A392, reviews!A:G, 6, FALSE)</f>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product,Good nice,Overall good product to buy</v>
      </c>
      <c r="D392" s="29" t="str">
        <f>IFERROR(__xludf.DUMMYFUNCTION("GOOGLETRANSLATE(B392, ""en"", ""pt-br"")"),"Ranjitha, bom, melhor !!!, bom e médio de uso, tem sido bom, bom, ruído, bom produto geral")</f>
        <v>Ranjitha, bom, melhor !!!, bom e médio de uso, tem sido bom, bom, ruído, bom produto geral</v>
      </c>
      <c r="E392" s="29" t="str">
        <f>IFERROR(__xludf.DUMMYFUNCTION("GOOGLETRANSLATE(C392, ""en"", ""pt-br"")"),"A duração da bateria é baixa, vale a pena comprar, bom desempenho nessa faixa de preço, um produto econômico para comprar para o uso médio de tempo de verificação, monitoramento do coração, pista de etapas, etc. Use e exibir., Antes de tudo, este relógio "&amp;"é amigável para o orçamento. , a experiência é muito boa. Mas, mas a duração da bateria não é tão boa apenas 4 dias de backup da bateria., bom produto, bom bom, bom produto geral para comprar")</f>
        <v>A duração da bateria é baixa, vale a pena comprar, bom desempenho nessa faixa de preço, um produto econômico para comprar para o uso médio de tempo de verificação, monitoramento do coração, pista de etapas, etc. Use e exibir., Antes de tudo, este relógio é amigável para o orçamento. , a experiência é muito boa. Mas, mas a duração da bateria não é tão boa apenas 4 dias de backup da bateria., bom produto, bom bom, bom produto geral para comprar</v>
      </c>
    </row>
    <row r="393">
      <c r="A393" s="9" t="s">
        <v>1626</v>
      </c>
      <c r="B393" s="29" t="str">
        <f>VLOOKUP(dados!A393, reviews!A:G, 5, FALSE)</f>
        <v>Not Polished Enough. (Improving with updates),Best for the budget 👍,Value of money,nice product,Good product,Super value for money,Awesome product,Product itv</v>
      </c>
      <c r="C393" s="29" t="str">
        <f>VLOOKUP(dados!A393, reviews!A:G, 6, FALSE)</f>
        <v>[Update: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v>
      </c>
      <c r="D393" s="29" t="str">
        <f>IFERROR(__xludf.DUMMYFUNCTION("GOOGLETRANSLATE(B393, ""en"", ""pt-br"")"),"Não polido o suficiente. (Melhorando com atualizações), melhor para o orçamento 👍, valor do dinheiro, bom produto, bom produto, super valor ao dinheiro, produto incrível, produto ITV")</f>
        <v>Não polido o suficiente. (Melhorando com atualizações), melhor para o orçamento 👍, valor do dinheiro, bom produto, bom produto, super valor ao dinheiro, produto incrível, produto ITV</v>
      </c>
      <c r="E393" s="29" t="str">
        <f>IFERROR(__xludf.DUMMYFUNCTION("GOOGLETRANSLATE(C393, ""en"", ""pt-br"")"),"[Atualização: 29 de setembro] O barco parece ter ouvido o feedback 😀 e atualizado os rostos do relógio. Agora, existem alguns bons para escolher, mas uma ligeira melhora em relação àqueles que o relógio já teve. Um pouco impressionado. Adicionou uma estr"&amp;"ela para isso. Não é um produto muito polido. As fontes são brega e parecem feias no texto do texto do texto e do nome do nome do chamador. Os rostos do relógio são um trabalho de design preguiçoso. Não faz sentido ter 150 rostos de relógio se apenas 10-2"&amp;"0 forem bons ou utilizáveis. REST é inútil. [Atualização: 11 de outubro] O barco parece estar em uma onda de lançamento do Smartwatch. E graças a isso, eles estão constantemente atualizando o aplicativo de telefone e os rostos do relógio. Agora você tem m"&amp;"uitos rostos de relógio de boa aparência para escolher. Então, no geral, ainda a interface do usuário do SmartWatch precisa de trabalho. Mas pelo menos você tem um bom relógio faces. Eles poderiam ter tentado fazer alguma reforma no software chinês. Mas é"&amp;" um trabalho claramente preguiçoso da equipe de tecnologia. Um trabalho de cola de cópia para ser preciso para obter um software terceirizado e rebocar-o com logotipos de marca. Novamente, um trabalho da equipe de design / tecnologia / UI. O barco não pos"&amp;"sui uma boa equipe de designers e caras da interface do usuário para realmente oferecer recursos de software simples, porém bons, como bons rostos de relógio e bom relógio. Mesmo intervalo. Ruído colorfit pulse go buzz é mais barato e melhor alternativa +"&amp;" tem melhor relógio rostos e interface de usuário e resposta rápida às notificações e chama as opções de silêncio e mudo para preços mais baixos que este relógio claramente perdeu. Você pode optar por chamada de onda de barco - ele não é Um relógio ruim, "&amp;"mas há melhores opções disponíveis para o preço. Seus produtos são bons, mas a interface do usuário e o design são o que as pessoas veem e é isso que as faz se sentir bem com seus produtos. Você tem realmente uma interface do usuário médio., O relógio de "&amp;"chamada de ondas de barco é o melhor para o orçamento. peso. Touch é suave. Todos os recursos são 90-95% precisos., Um bom produto nessa faixa de preço deve comprar a qualidade da Itgood, boa qualidade, o bom produto é MST H, média para chamar de boa apar"&amp;"ência, estou muito feliz em comprar este relógio! É muito acessível ter tantos recursos. O recurso de chamada funciona muito bem! No geral, se você estiver com uma marca tão boa e bons recursos, vá para isso .., o produto não vira o retorno, retorne o ite"&amp;"m. Por favor.")</f>
        <v>[Atualização: 29 de setembro] O barco parece ter ouvido o feedback 😀 e atualizado os rostos do relógio. Agora, existem alguns bons para escolher, mas uma ligeira melhora em relação àqueles que o relógio já teve. Um pouco impressionado. Adicionou uma estrela para isso. Não é um produto muito polido. As fontes são brega e parecem feias no texto do texto do texto e do nome do nome do chamador. Os rostos do relógio são um trabalho de design preguiçoso. Não faz sentido ter 150 rostos de relógio se apenas 10-20 forem bons ou utilizáveis. REST é inútil. [Atualização: 11 de outubro] O barco parece estar em uma onda de lançamento do Smartwatch. E graças a isso, eles estão constantemente atualizando o aplicativo de telefone e os rostos do relógio. Agora você tem muitos rostos de relógio de boa aparência para escolher. Então, no geral, ainda a interface do usuário do SmartWatch precisa de trabalho. Mas pelo menos você tem um bom relógio faces. Eles poderiam ter tentado fazer alguma reforma no software chinês. Mas é um trabalho claramente preguiçoso da equipe de tecnologia. Um trabalho de cola de cópia para ser preciso para obter um software terceirizado e rebocar-o com logotipos de marca. Novamente, um trabalho da equipe de design / tecnologia / UI. O barco não possui uma boa equipe de designers e caras da interface do usuário para realmente oferecer recursos de software simples, porém bons, como bons rostos de relógio e bom relógio. Mesmo intervalo. Ruído colorfit pulse go buzz é mais barato e melhor alternativa + tem melhor relógio rostos e interface de usuário e resposta rápida às notificações e chama as opções de silêncio e mudo para preços mais baixos que este relógio claramente perdeu. Você pode optar por chamada de onda de barco - ele não é Um relógio ruim, mas há melhores opções disponíveis para o preço. Seus produtos são bons, mas a interface do usuário e o design são o que as pessoas veem e é isso que as faz se sentir bem com seus produtos. Você tem realmente uma interface do usuário médio., O relógio de chamada de ondas de barco é o melhor para o orçamento. peso. Touch é suave. Todos os recursos são 90-95% precisos., Um bom produto nessa faixa de preço deve comprar a qualidade da Itgood, boa qualidade, o bom produto é MST H, média para chamar de boa aparência, estou muito feliz em comprar este relógio! É muito acessível ter tantos recursos. O recurso de chamada funciona muito bem! No geral, se você estiver com uma marca tão boa e bons recursos, vá para isso .., o produto não vira o retorno, retorne o item. Por favor.</v>
      </c>
    </row>
    <row r="394">
      <c r="A394" s="9" t="s">
        <v>34</v>
      </c>
      <c r="B394" s="29" t="str">
        <f>VLOOKUP(dados!A394, reviews!A:G, 5, FALSE)</f>
        <v>Good product,Good one,Nice,Really nice product,Very first time change,Good,Fine product but could be better,Very nice it's charging like jet</v>
      </c>
      <c r="C394" s="29" t="str">
        <f>VLOOKUP(dados!A394, reviews!A:G, 6, FALSE)</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c r="D394" s="29" t="str">
        <f>IFERROR(__xludf.DUMMYFUNCTION("GOOGLETRANSLATE(B394, ""en"", ""pt-br"")"),"Bom produto, bom, bom, muito bom produto, mudança de primeira vez, bom, bom produto, mas pode ser melhor, muito bom, está cobrando como jato")</f>
        <v>Bom produto, bom, bom, muito bom produto, mudança de primeira vez, bom, bom produto, mas pode ser melhor, muito bom, está cobrando como jato</v>
      </c>
      <c r="E394" s="29" t="str">
        <f>IFERROR(__xludf.DUMMYFUNCTION("GOOGLETRANSLATE(C394, ""en"", ""pt-br"")"),"Bom produto, fio longo, carrega bom, legal, comprei este cabo para um produto digno de Rs.339 por esse preço, testei em vários adaptadores de carregador 33W e 18W, ele também suporta carregamento rápido. Isso a um bom preço à venda na Amazon e o produto é"&amp;" útil na garantia, mas para a garantia você precisa ir muito longe, não é prático por esse custo e meu micro para o conector do tipo C parou de funcionar após alguns dias., Gosto deste produto")</f>
        <v>Bom produto, fio longo, carrega bom, legal, comprei este cabo para um produto digno de Rs.339 por esse preço, testei em vários adaptadores de carregador 33W e 18W, ele também suporta carregamento rápido. Isso a um bom preço à venda na Amazon e o produto é útil na garantia, mas para a garantia você precisa ir muito longe, não é prático por esse custo e meu micro para o conector do tipo C parou de funcionar após alguns dias., Gosto deste produto</v>
      </c>
    </row>
    <row r="395">
      <c r="A395" s="9" t="s">
        <v>38</v>
      </c>
      <c r="B395" s="29" t="str">
        <f>VLOOKUP(dados!A395, reviews!A:G, 5, FALSE)</f>
        <v>As good as original,Decent,Good one for secondary use,Best quality,GOOD,Amazing product at a mind blowing price!,Nice Quality,Good product</v>
      </c>
      <c r="C395" s="29" t="str">
        <f>VLOOKUP(dados!A395, reviews!A:G, 6, FALSE)</f>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wasn’t sure if it would work well with my iPhone 12 or whether it would impact my iPhone’s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doesn’t tangle easily and can withstand day-to-day usage.L-Shaped pin:This is very innovative by Portronics and it makes sure the cable doesn’t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v>
      </c>
      <c r="D395" s="29" t="str">
        <f>IFERROR(__xludf.DUMMYFUNCTION("GOOGLETRANSLATE(B395, ""en"", ""pt-br"")"),"Tão bom quanto original, decente, bom para uso secundário, melhor qualidade, bom e incrível produto a um preço de sopro mental!, Boa qualidade, bom produto")</f>
        <v>Tão bom quanto original, decente, bom para uso secundário, melhor qualidade, bom e incrível produto a um preço de sopro mental!, Boa qualidade, bom produto</v>
      </c>
      <c r="E395" s="29" t="str">
        <f>IFERROR(__xludf.DUMMYFUNCTION("GOOGLETRANSLATE(C395, ""en"", ""pt-br"")"),"Comprei isso em vez da Apple original, faz o trabalho por 150rs, não tão rápido quanto o Apple Charger, mas é uma boa opção se você quiser um produto barato e bom, comprou -o para iPad Pro 10.5 e está funcionando perfeitamente, a qualidade de construção é"&amp;" OK, não é Como se eu fosse pendurar minhas roupas e eu quero um cabo muito forte, mesmo uma parada de cabo trançado para funcionar depois de um ano, eu usei o Cabo Stradesado Anker e Apple Store, todos eles param de funcionar depois de um ano, então, por"&amp;" favor, não Compre cabos de ponta apenas para isso, em vez disso, escolha um este e, mesmo que pare de trabalhar com um ano, você perde apenas 150rs se compara a 2000rs.Update ------------------------ ----------- ,,É bom. Não tenho certeza sobre a durabil"&amp;"idade, pois a área do pino parece um pouco frágil, não suporta o Apple CarPlayso ficou um pouco decepcionado com o que outro do que esse cabo é composto de muito boa qualidade, melhor comprar, 100% não Padful, escrevendo esta resenha postagem de 10 meses "&amp;"e 3 ordens do mesmo produto. A retratação de Konnect L Lightning Cable funciona como mágica com o tijolo de carregamento da Apple original. Veja o preço do cabo que eu hesitei inicialmente com a compra e era tão baixo quanto ₹ 99/- com as ofertas e, assim"&amp;", eu não fui É certo se funcionaria bem com o meu iPhone 12 ou se isso afetaria a saúde da bateria do meu iPhone, porque todas as outras marcas de cabo de raios estavam custando mais de ₹ 350/- como Wayona, Amazon Basics, etc.Earlier, eu estava usando o W"&amp;"ayona Brand Lightning cabo com eventualmente desgastado e parou de funcionar. Velocidade de carregamento: carrega meu iPhone rápido o suficiente quase semelhante em comparação com o nível original do cabo quando usado com o adaptador de potência Apple ori"&amp;"ginal de 12W. Profundação e durabilidade: Cabo trançado de ótima qualidade e não se enrola facilmente e pode suportar Uso do dia-a-dia. : Eu usei esse cabo apenas com o tijolo de carregamento de maçã original e extremamente satisfeito com seu desempenho.,"&amp;" Melhor do que espero o produto que gosto dessa qualidade e pretendo comprar o mesmo tipo de cabo vêm com USB C para o cabo de iluminação para fins de emergência que muito eu amo este cabo. Compre para este cabo apenas emergency usa apenas desde o bom, bo"&amp;"m produto e valor para o dinheiro")</f>
        <v>Comprei isso em vez da Apple original, faz o trabalho por 150rs, não tão rápido quanto o Apple Charger, mas é uma boa opção se você quiser um produto barato e bom, comprou -o para iPad Pro 10.5 e está funcionando perfeitamente, a qualidade de construção é OK, não é Como se eu fosse pendurar minhas roupas e eu quero um cabo muito forte, mesmo uma parada de cabo trançado para funcionar depois de um ano, eu usei o Cabo Stradesado Anker e Apple Store, todos eles param de funcionar depois de um ano, então, por favor, não Compre cabos de ponta apenas para isso, em vez disso, escolha um este e, mesmo que pare de trabalhar com um ano, você perde apenas 150rs se compara a 2000rs.Update ------------------------ ----------- ,,É bom. Não tenho certeza sobre a durabilidade, pois a área do pino parece um pouco frágil, não suporta o Apple CarPlayso ficou um pouco decepcionado com o que outro do que esse cabo é composto de muito boa qualidade, melhor comprar, 100% não Padful, escrevendo esta resenha postagem de 10 meses e 3 ordens do mesmo produto. A retratação de Konnect L Lightning Cable funciona como mágica com o tijolo de carregamento da Apple original. Veja o preço do cabo que eu hesitei inicialmente com a compra e era tão baixo quanto ₹ 99/- com as ofertas e, assim, eu não fui É certo se funcionaria bem com o meu iPhone 12 ou se isso afetaria a saúde da bateria do meu iPhone, porque todas as outras marcas de cabo de raios estavam custando mais de ₹ 350/- como Wayona, Amazon Basics, etc.Earlier, eu estava usando o Wayona Brand Lightning cabo com eventualmente desgastado e parou de funcionar. Velocidade de carregamento: carrega meu iPhone rápido o suficiente quase semelhante em comparação com o nível original do cabo quando usado com o adaptador de potência Apple original de 12W. Profundação e durabilidade: Cabo trançado de ótima qualidade e não se enrola facilmente e pode suportar Uso do dia-a-dia. : Eu usei esse cabo apenas com o tijolo de carregamento de maçã original e extremamente satisfeito com seu desempenho., Melhor do que espero o produto que gosto dessa qualidade e pretendo comprar o mesmo tipo de cabo vêm com USB C para o cabo de iluminação para fins de emergência que muito eu amo este cabo. Compre para este cabo apenas emergency usa apenas desde o bom, bom produto e valor para o dinheiro</v>
      </c>
    </row>
    <row r="396">
      <c r="A396" s="9" t="s">
        <v>1631</v>
      </c>
      <c r="B396" s="29" t="str">
        <f>VLOOKUP(dados!A396, reviews!A:G, 5, FALSE)</f>
        <v>Let's bust some myth,IQOO Neo 6 5G – A midrange model that offers virtually everything I want</v>
      </c>
      <c r="C396" s="29" t="str">
        <f>VLOOKUP(dados!A396, reviews!A:G, 6, FALSE)</f>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Let’s dig into it!THE GOOD# Price. After discounts, I got a phone with practically all the features I wanted.# IQOO is basically from Vivo, an internationally recognized brand. Hopefully, I don’t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“Turn off on…” (the next day for which the alarm is active), “Do not repeat any more”, or “Cancel”.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v>
      </c>
      <c r="D396" s="29" t="str">
        <f>IFERROR(__xludf.DUMMYFUNCTION("GOOGLETRANSLATE(B396, ""en"", ""pt-br"")"),"Vamos acabar com um pouco de mito, iqoo neo 6 5g - um modelo de médio porte que oferece praticamente tudo o que eu quero")</f>
        <v>Vamos acabar com um pouco de mito, iqoo neo 6 5g - um modelo de médio porte que oferece praticamente tudo o que eu quero</v>
      </c>
      <c r="E396" s="29" t="str">
        <f>IFERROR(__xludf.DUMMYFUNCTION("GOOGLETRANSLATE(C396, ""en"", ""pt-br"")"),"Encomendei este telefone com base nas especificações que estava fornecendo, mais tarde vi inundação de críticas negativas chegando à Amazon, o que me fez testar poucas coisas mencionadas, se fosse verdade.1. Chamadas sendo desconectadas - eu tinha ligado "&amp;"com meu irmão ontem à noite e conversamos por 50 minutos e ligue não desconectou no meio.2. Problema de aquecimento - enquanto, no dia a dia, o uso nunca enfrentou um problema de aquecimento, mas fica um pouco quente durante o carregamento, posso entender"&amp;" por causa de um carregamento rápido maciço, o que é compreensível. Cada telefone com carregamento rápido aquece um pouco. Qualidade da câmera - possui um módulo decente da câmera Samsung de 64 MP, que é justificado pelo preço que vem. Você pode julgar a "&amp;"câmera com base em quão bem ela funciona com condições de iluminação artificial e isso fez o bem. Foto em anexo de bolo, que cliquei em interno, apenas a fonte de luz brilhante era vela. Ele teve um bom desempenho, posso dizer. (Para pessoas que reclamam "&amp;"sobre a câmera - simplesmente não posso esperar clareza de imagens dos dispositivos de ponta da Apple ou da Samsung, tenho que definir minhas expectativas corretas para o preço que pagamos) 4. Antutu Benchmark Score - Enquanto a reivindicação da empresa d"&amp;"e 740000+ enquanto eu testava, obtive uma pontuação de mais de 700000. Novamente, não posso reclamar aqui porque não sei quais foram as condições de teste e os critérios que a empresa seguiu durante o teste. 700000+ é uma pontuação bastante decente, posso"&amp;" dizer5. LAG do telefone - Em dois dias de teste, ele não está atrasado. Com vários aplicativos de segundo plano em execução. Dreno da bateria - Revise poucas das configurações no seu dispositivo, como animação, efeito de transição etc. para obter mais da"&amp;" bateria. Se a sua massa estiver definida do modo Monstor, defina -o como economizador normal ou de bateria para fazer a maioria. Novamente, a bateria depende do uso do indivíduo e não posso culpar a empresa. Enquanto eu comecei a escrever esta revisão, m"&amp;"eu telefone celular estava em 100%. Agora, está quase 25 minutos digitando até agora que agora está mostrando 99%, eu coloquei minha tela com brilho total, caí decente. Também testou a velocidade de carregamento de 0 a 50 em 12,03 min.7. Qualidade de cons"&amp;"trução - é usado plástico resistente e decente. Posso dizer que, neste preço, eles deveriam ter fornecido compilação de vidro, mas novamente considerando todos os benefícios de preço que você recebeu ao comprar este telefone sem reclamação (desconto de ca"&amp;"rtão + benefício de troca etc.). Ainda assim, tiraria 1 estrela aqui. Black Color Issue - não enfrentou nenhum problema com vazamento de tela ou cor preta. É uma tela AMOLED. O preto é destaque do AMOLED. Caso você estivesse usando o painel IPS / FHD no t"&amp;"elefone anterior, terá problemas para distinguir. Eu tenho o Samsung M51 como dispositivo secundário e vejo preto semelhante em ambos. BGMI - Joguei poucas rodadas ontem e não enfrentei nenhuma queda ou atraso na estrutura. Garantia de dois anos - eles ca"&amp;"lam para fornecer garantia de dois anos neste dispositivo, mas durante o registro mostra apenas 1 ano. Pessoalmente, escrevi para a equipe do IQOO e a equipe da Amazon buscando uma resposta, com capturas de tela aguardando a resposta. A maioria dos fabric"&amp;"antes de telefones fornece apenas uma garantia de 1 ano, até o iPhone. Aqui eu diria lutar por você justiça e procurar a resposta da equipe do IQOO ou da Amazon.11. Lag de videochamada - não enfrentou nenhum, várias chamadas de vídeo ontem com pessoas dif"&amp;"erentes, não obtive nenhuma reclamação sobre o meu lag de vídeo. Para todos eles, meu vídeo apareceu instantâneo. No geral, eu diria que tinha uma ótima compra e posso recomendar este dispositivo a outras pessoas, para todas as pessoas bombardeando crític"&amp;"as negativas, eu diria que primeiro definiu suas expectativas corretamente e você ficará satisfeito. No caso de você estar enfrentando problemas, você tem todo o direito de reclamar e obter justiça. No geral, dou a este dispositivo uma estrela de 4 agora,"&amp;" já que ainda estou para testar este dispositivo a longo prazo como 3 ou 4 meses.*Por favor, desculpe quaisquer erros de digitação ou erros gramaticais, se houver. A revisão inteira foi digitada no meu telefone IQOO NEO 6., eu uso um Realme 3 do telefone "&amp;"orçamentário desde 2019 (Dynamic Black, 3 GB/64 GB). Isso me serviu bem, mas estava na hora de uma atualização. Desta vez, eu estava procurando um modelo de médio porte que teria quase tudo o que eu queria dentro do meu orçamento. Eu consegui um? Vamos ca"&amp;"var isso! O bom# preço. Após os descontos, recebi um telefone com praticamente todos os recursos que eu queria.# Iqoo é basicamente da Vivo, uma marca reconhecida internacionalmente. Felizmente, não preciso me preocupar com atualizações de software por pe"&amp;"lo menos 3 anos. O IQOO já está indo bem, pois recebi 3 atualizações de segurança até agora para o Android 12 que saiu da caixa. Vou ficar de olho nas atualizações de segurança e atualizações do sistema operacional, pois isso me fará decidir se deve busca"&amp;"r o Vivo/iqoo para o meu próximo telefone.# Suporte duplo 5G SIM, o que é futurista. Com o 4G, a qualidade da chamada foi excelente até agora.# E4 AMOLED 120 Hz 1300 NITS (pico) 1080x2400 pixels Display com taxa de amostragem de toque 6000000: 1, taxa de "&amp;"amostragem de toque de 360 ​​Hz e HDR10+ (Netflix HDR suportado). Uma enorme atualização do meu telefone anterior. As fotos, os filmes OTT parecem bons demais. Mais fácil de ler conteúdos como mensagens, e -mails ou documentos.# 64 MP CAM PRINCIPAL COM OI"&amp;"S. Ois era um recurso obrigatório para mim, pois eu poderia tirar muitas fotos com pouca luz. Bateria# 4700 mAh com tecnologia flashcharge de 80W; 50% em 12 min, 100% em 32 min. Funciona conforme reivindicado. A duração da bateria tem sido satisfatória.# "&amp;"SD 870 CPU. Hoje, não é um dos principais processadores, mas altamente capaz e fantástico a esse preço. A inclusão de 12 GB de RAM tornou este telefone um suavor amanteigado para executar aplicativos (o Android é um sistema operacional bastante dependente"&amp;" de RAM, diferentemente do iOS). Até 4 GB de armazenamento de telefone podem ser usados ​​para RAM estendida. Atualmente, tenho mais de 100 aplicativos instalados (principalmente aplicativos de produtividade, mas sem aplicativos de jogo). O sistema de res"&amp;"friamento em cascata parece estar funcionando.# 256 GB ROM com o UFS 3.1. Como os telefones hoje em dia tendem a abandonar um slot microSDXC dedicado, e este telefone não é exceção, eu não queria a variante de 128 GB. Uma ROM interna rápida e grande é mel"&amp;"hor que um cartão externo, pois o último carrega os aplicativos, os arquivos mais lentos.# O leitor de impressão digital no display funciona bem.# Os alto-falantes estéreo são razoavelmente bons.# Porta infravermelha (IR Blaster). Eu não tentei usá-lo com"&amp;"o um controle remoto, mas um deve tentar.# Porta USB-C com o cabo de dados USB-C para USB-A que se conecta ao carregador de telefone. Alguns de nós preferem um cabo de dados USB-C ao USB-C, pois é mais amigável para os dispositivos modernos, mas posso ver"&amp;" por que o IQOO decidiu fornecer um USB-C ao USB-A. A maioria dos laptops ainda vem com as portas USB-A (até meu recente laptop HP 250 G8 da empresa em que trabalho tem uma porta USB-C sem entrega de energia e duas portas USB-A!). Meus PowerBanks também n"&amp;"ão possuem portas USB-C.# Capturas de tela, bloquear os botões virtuais da tela. Deve, como usar os botões físicos com frequência para essas funções, pode potencialmente danificar os botões. O backup ruim do Google. UMA FALHA. Como eu não tinha um cabo US"&amp;"B-C para USB-C, tive que escolher a opção de transferência de dados Wi-Fi do meu telefone antigo para este. Embora eu tenha selecionado todos os arquivos, o Google não transferiu muitos arquivos, especialmente os PDFs. Caro Google, isso é inaceitável.# Ma"&amp;"nuseio de spam. Meu Realme 3 me permite bloquear qualquer SMS que eu queira, mas este não. Na minha opinião, todo telefone moderno deve ter um aplicativo nativo que possa identificar o chamador e ajudar a bloquear um número ou um SMS, conforme necessário."&amp;" Parei de usar um aplicativo de terceiros como Truecaller, que se tornou um aplicativo verdadeiramente desonesto. Usb-C a 3,5 mm adaptador na caixa.# A ausência de proteção de vidro de gorilla não é uma coisa boa, mas não me importo como eu mal solto meu "&amp;"telefone, e o telefone veio com um protetor de tela de vidro temperado já aplicado, e uma tampa traseira transparente. Realmente apreciado. O corpo plástico não me incomoda; Além disso, a cor da nova escura parece legal. YMMV.# No meu RealMe 3 (e não no m"&amp;"eu Realme C2, o que significa que é um recurso personalizado do RealMe para versões específicas do sistema operacional), se eu tentar desligar o alarme diário de despertar, ele me dá opções como “Desligue… ”(No dia seguinte, para o qual o alarme está ativ"&amp;"o),“ Não repita mais ”ou“ Cancelar ”. Este é um recurso fabuloso, pois me permite desligar o alarme para um dia específico (por exemplo, uma próxima licença ou feriado) sem desligá -lo nos dias seguintes! Infelizmente, essa inteligência artificial não est"&amp;"á disponível no meu IQOO NEO 6 5G.TAYS Compre um modelo lançado recentemente se você estiver buscando um telefone Android. Isso garantirá que você obtenha suporte de software por tempo suficiente. Além disso, evite comprar a variante com a menor RAM/ROM. "&amp;"E, o carregamento rápido é uma necessidade, pois você vê que está conectado ao seu telefone o tempo todo. Eu uso este telefone há ~ 2 meses e atualizarei esta revisão enquanto eu o uso. Até a data, estou bastante satisfeito com o IQOO NEO 6 5G (também gos"&amp;"tei do FuNoTouch OS) e o recomendo a qualquer pessoa que tenha necessidades como eu.")</f>
        <v>Encomendei este telefone com base nas especificações que estava fornecendo, mais tarde vi inundação de críticas negativas chegando à Amazon, o que me fez testar poucas coisas mencionadas, se fosse verdade.1. Chamadas sendo desconectadas - eu tinha ligado com meu irmão ontem à noite e conversamos por 50 minutos e ligue não desconectou no meio.2. Problema de aquecimento - enquanto, no dia a dia, o uso nunca enfrentou um problema de aquecimento, mas fica um pouco quente durante o carregamento, posso entender por causa de um carregamento rápido maciço, o que é compreensível. Cada telefone com carregamento rápido aquece um pouco. Qualidade da câmera - possui um módulo decente da câmera Samsung de 64 MP, que é justificado pelo preço que vem. Você pode julgar a câmera com base em quão bem ela funciona com condições de iluminação artificial e isso fez o bem. Foto em anexo de bolo, que cliquei em interno, apenas a fonte de luz brilhante era vela. Ele teve um bom desempenho, posso dizer. (Para pessoas que reclamam sobre a câmera - simplesmente não posso esperar clareza de imagens dos dispositivos de ponta da Apple ou da Samsung, tenho que definir minhas expectativas corretas para o preço que pagamos) 4. Antutu Benchmark Score - Enquanto a reivindicação da empresa de 740000+ enquanto eu testava, obtive uma pontuação de mais de 700000. Novamente, não posso reclamar aqui porque não sei quais foram as condições de teste e os critérios que a empresa seguiu durante o teste. 700000+ é uma pontuação bastante decente, posso dizer5. LAG do telefone - Em dois dias de teste, ele não está atrasado. Com vários aplicativos de segundo plano em execução. Dreno da bateria - Revise poucas das configurações no seu dispositivo, como animação, efeito de transição etc. para obter mais da bateria. Se a sua massa estiver definida do modo Monstor, defina -o como economizador normal ou de bateria para fazer a maioria. Novamente, a bateria depende do uso do indivíduo e não posso culpar a empresa. Enquanto eu comecei a escrever esta revisão, meu telefone celular estava em 100%. Agora, está quase 25 minutos digitando até agora que agora está mostrando 99%, eu coloquei minha tela com brilho total, caí decente. Também testou a velocidade de carregamento de 0 a 50 em 12,03 min.7. Qualidade de construção - é usado plástico resistente e decente. Posso dizer que, neste preço, eles deveriam ter fornecido compilação de vidro, mas novamente considerando todos os benefícios de preço que você recebeu ao comprar este telefone sem reclamação (desconto de cartão + benefício de troca etc.). Ainda assim, tiraria 1 estrela aqui. Black Color Issue - não enfrentou nenhum problema com vazamento de tela ou cor preta. É uma tela AMOLED. O preto é destaque do AMOLED. Caso você estivesse usando o painel IPS / FHD no telefone anterior, terá problemas para distinguir. Eu tenho o Samsung M51 como dispositivo secundário e vejo preto semelhante em ambos. BGMI - Joguei poucas rodadas ontem e não enfrentei nenhuma queda ou atraso na estrutura. Garantia de dois anos - eles calam para fornecer garantia de dois anos neste dispositivo, mas durante o registro mostra apenas 1 ano. Pessoalmente, escrevi para a equipe do IQOO e a equipe da Amazon buscando uma resposta, com capturas de tela aguardando a resposta. A maioria dos fabricantes de telefones fornece apenas uma garantia de 1 ano, até o iPhone. Aqui eu diria lutar por você justiça e procurar a resposta da equipe do IQOO ou da Amazon.11. Lag de videochamada - não enfrentou nenhum, várias chamadas de vídeo ontem com pessoas diferentes, não obtive nenhuma reclamação sobre o meu lag de vídeo. Para todos eles, meu vídeo apareceu instantâneo. No geral, eu diria que tinha uma ótima compra e posso recomendar este dispositivo a outras pessoas, para todas as pessoas bombardeando críticas negativas, eu diria que primeiro definiu suas expectativas corretamente e você ficará satisfeito. No caso de você estar enfrentando problemas, você tem todo o direito de reclamar e obter justiça. No geral, dou a este dispositivo uma estrela de 4 agora, já que ainda estou para testar este dispositivo a longo prazo como 3 ou 4 meses.*Por favor, desculpe quaisquer erros de digitação ou erros gramaticais, se houver. A revisão inteira foi digitada no meu telefone IQOO NEO 6., eu uso um Realme 3 do telefone orçamentário desde 2019 (Dynamic Black, 3 GB/64 GB). Isso me serviu bem, mas estava na hora de uma atualização. Desta vez, eu estava procurando um modelo de médio porte que teria quase tudo o que eu queria dentro do meu orçamento. Eu consegui um? Vamos cavar isso! O bom# preço. Após os descontos, recebi um telefone com praticamente todos os recursos que eu queria.# Iqoo é basicamente da Vivo, uma marca reconhecida internacionalmente. Felizmente, não preciso me preocupar com atualizações de software por pelo menos 3 anos. O IQOO já está indo bem, pois recebi 3 atualizações de segurança até agora para o Android 12 que saiu da caixa. Vou ficar de olho nas atualizações de segurança e atualizações do sistema operacional, pois isso me fará decidir se deve buscar o Vivo/iqoo para o meu próximo telefone.# Suporte duplo 5G SIM, o que é futurista. Com o 4G, a qualidade da chamada foi excelente até agora.# E4 AMOLED 120 Hz 1300 NITS (pico) 1080x2400 pixels Display com taxa de amostragem de toque 6000000: 1, taxa de amostragem de toque de 360 ​​Hz e HDR10+ (Netflix HDR suportado). Uma enorme atualização do meu telefone anterior. As fotos, os filmes OTT parecem bons demais. Mais fácil de ler conteúdos como mensagens, e -mails ou documentos.# 64 MP CAM PRINCIPAL COM OIS. Ois era um recurso obrigatório para mim, pois eu poderia tirar muitas fotos com pouca luz. Bateria# 4700 mAh com tecnologia flashcharge de 80W; 50% em 12 min, 100% em 32 min. Funciona conforme reivindicado. A duração da bateria tem sido satisfatória.# SD 870 CPU. Hoje, não é um dos principais processadores, mas altamente capaz e fantástico a esse preço. A inclusão de 12 GB de RAM tornou este telefone um suavor amanteigado para executar aplicativos (o Android é um sistema operacional bastante dependente de RAM, diferentemente do iOS). Até 4 GB de armazenamento de telefone podem ser usados ​​para RAM estendida. Atualmente, tenho mais de 100 aplicativos instalados (principalmente aplicativos de produtividade, mas sem aplicativos de jogo). O sistema de resfriamento em cascata parece estar funcionando.# 256 GB ROM com o UFS 3.1. Como os telefones hoje em dia tendem a abandonar um slot microSDXC dedicado, e este telefone não é exceção, eu não queria a variante de 128 GB. Uma ROM interna rápida e grande é melhor que um cartão externo, pois o último carrega os aplicativos, os arquivos mais lentos.# O leitor de impressão digital no display funciona bem.# Os alto-falantes estéreo são razoavelmente bons.# Porta infravermelha (IR Blaster). Eu não tentei usá-lo como um controle remoto, mas um deve tentar.# Porta USB-C com o cabo de dados USB-C para USB-A que se conecta ao carregador de telefone. Alguns de nós preferem um cabo de dados USB-C ao USB-C, pois é mais amigável para os dispositivos modernos, mas posso ver por que o IQOO decidiu fornecer um USB-C ao USB-A. A maioria dos laptops ainda vem com as portas USB-A (até meu recente laptop HP 250 G8 da empresa em que trabalho tem uma porta USB-C sem entrega de energia e duas portas USB-A!). Meus PowerBanks também não possuem portas USB-C.# Capturas de tela, bloquear os botões virtuais da tela. Deve, como usar os botões físicos com frequência para essas funções, pode potencialmente danificar os botões. O backup ruim do Google. UMA FALHA. Como eu não tinha um cabo USB-C para USB-C, tive que escolher a opção de transferência de dados Wi-Fi do meu telefone antigo para este. Embora eu tenha selecionado todos os arquivos, o Google não transferiu muitos arquivos, especialmente os PDFs. Caro Google, isso é inaceitável.# Manuseio de spam. Meu Realme 3 me permite bloquear qualquer SMS que eu queira, mas este não. Na minha opinião, todo telefone moderno deve ter um aplicativo nativo que possa identificar o chamador e ajudar a bloquear um número ou um SMS, conforme necessário. Parei de usar um aplicativo de terceiros como Truecaller, que se tornou um aplicativo verdadeiramente desonesto. Usb-C a 3,5 mm adaptador na caixa.# A ausência de proteção de vidro de gorilla não é uma coisa boa, mas não me importo como eu mal solto meu telefone, e o telefone veio com um protetor de tela de vidro temperado já aplicado, e uma tampa traseira transparente. Realmente apreciado. O corpo plástico não me incomoda; Além disso, a cor da nova escura parece legal. YMMV.# No meu RealMe 3 (e não no meu Realme C2, o que significa que é um recurso personalizado do RealMe para versões específicas do sistema operacional), se eu tentar desligar o alarme diário de despertar, ele me dá opções como “Desligue… ”(No dia seguinte, para o qual o alarme está ativo),“ Não repita mais ”ou“ Cancelar ”. Este é um recurso fabuloso, pois me permite desligar o alarme para um dia específico (por exemplo, uma próxima licença ou feriado) sem desligá -lo nos dias seguintes! Infelizmente, essa inteligência artificial não está disponível no meu IQOO NEO 6 5G.TAYS Compre um modelo lançado recentemente se você estiver buscando um telefone Android. Isso garantirá que você obtenha suporte de software por tempo suficiente. Além disso, evite comprar a variante com a menor RAM/ROM. E, o carregamento rápido é uma necessidade, pois você vê que está conectado ao seu telefone o tempo todo. Eu uso este telefone há ~ 2 meses e atualizarei esta revisão enquanto eu o uso. Até a data, estou bastante satisfeito com o IQOO NEO 6 5G (também gostei do FuNoTouch OS) e o recomendo a qualquer pessoa que tenha necessidades como eu.</v>
      </c>
    </row>
    <row r="397">
      <c r="A397" s="9" t="s">
        <v>1635</v>
      </c>
      <c r="B397" s="29" t="str">
        <f>VLOOKUP(dados!A397, reviews!A:G, 5, FALSE)</f>
        <v>Best Budget watch,MERA WAQT BADAL KE RAKH DIYA!!,Nice product and user friendly compare to other smart watch,Nice watch...,Vikas,Nice,Not worth it,Grt</v>
      </c>
      <c r="C397" s="29" t="str">
        <f>VLOOKUP(dados!A397, reviews!A:G, 6, FALSE)</f>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v>
      </c>
      <c r="D397" s="29" t="str">
        <f>IFERROR(__xludf.DUMMYFUNCTION("GOOGLETRANSLATE(B397, ""en"", ""pt-br"")"),"Melhor relógio de orçamento, Mera Waqt Badal Ke Rakh Diya !!, bom produto e amigável para usar outro relógio inteligente, bom relógio ..., vikas, bom, não vale a pena, grt")</f>
        <v>Melhor relógio de orçamento, Mera Waqt Badal Ke Rakh Diya !!, bom produto e amigável para usar outro relógio inteligente, bom relógio ..., vikas, bom, não vale a pena, grt</v>
      </c>
      <c r="E397" s="29" t="str">
        <f>IFERROR(__xludf.DUMMYFUNCTION("GOOGLETRANSLATE(C397, ""en"", ""pt-br"")"),",Uau!!! Apenas Uau!!! Como um belo produto como esse pode existir a um preço tão acessível?! Quero dizer, estou simplesmente impressionado com este relógio. Kya dikhti hai yaar aur kya waqt dikhati hai yaar. Yeh Ghadi Tik-Tik Toh Nahin Chalti, mas isso fe"&amp;"z minha vida rastrear a THEK-THEEK, com certeza desde o dia em que está comigo. Eu amo este relógio. A precisão, a cor (preta), o peso, a aparância etc. são tão incríveis. Dá 4 estrelas porque seu aplicativo móvel é uma merda de verdade. A conectividade m"&amp;"óvel tem muito a ser improvisada. Poderia ter sido até o Agar Ghadi Banane Pe Itna Kharcha Kar Hi Diya Hai Toh :(, bom produto e um uso fácil de usar com outro relógio inteligente., Bom relógio, barulho é melhor ... É um produto muito útil, eu gosto, Após"&amp;" 6 meses a cobrança não está funcionando, o bom produto HV usou este produto desde 1 ano")</f>
        <v>,Uau!!! Apenas Uau!!! Como um belo produto como esse pode existir a um preço tão acessível?! Quero dizer, estou simplesmente impressionado com este relógio. Kya dikhti hai yaar aur kya waqt dikhati hai yaar. Yeh Ghadi Tik-Tik Toh Nahin Chalti, mas isso fez minha vida rastrear a THEK-THEEK, com certeza desde o dia em que está comigo. Eu amo este relógio. A precisão, a cor (preta), o peso, a aparância etc. são tão incríveis. Dá 4 estrelas porque seu aplicativo móvel é uma merda de verdade. A conectividade móvel tem muito a ser improvisada. Poderia ter sido até o Agar Ghadi Banane Pe Itna Kharcha Kar Hi Diya Hai Toh :(, bom produto e um uso fácil de usar com outro relógio inteligente., Bom relógio, barulho é melhor ... É um produto muito útil, eu gosto, Após 6 meses a cobrança não está funcionando, o bom produto HV usou este produto desde 1 ano</v>
      </c>
    </row>
    <row r="398">
      <c r="A398" s="9" t="s">
        <v>1639</v>
      </c>
      <c r="B398" s="29" t="str">
        <f>VLOOKUP(dados!A398, reviews!A:G, 5, FALSE)</f>
        <v>Value for Money,After 1 month usage review,Good product,Product is good and light weight.,Good product,Nice product.Bluetooth option Is good,Can go for it, not much stable but a decent product,Seems to be a good product by first use</v>
      </c>
      <c r="C398" s="29" t="str">
        <f>VLOOKUP(dados!A398, reviews!A:G, 6, FALSE)</f>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v>
      </c>
      <c r="D398" s="29" t="str">
        <f>IFERROR(__xludf.DUMMYFUNCTION("GOOGLETRANSLATE(B398, ""en"", ""pt-br"")"),"Valor pelo dinheiro, após 1 mês de revisão de uso, bom produto, produto é bom e leve., Bom produto, bom produto. A opção Bluetooth é boa, pode seguir em frente, não muito estável, mas um produto decente, parece ser um bom Produto por primeiro uso")</f>
        <v>Valor pelo dinheiro, após 1 mês de revisão de uso, bom produto, produto é bom e leve., Bom produto, bom produto. A opção Bluetooth é boa, pode seguir em frente, não muito estável, mas um produto decente, parece ser um bom Produto por primeiro uso</v>
      </c>
      <c r="E398" s="29" t="str">
        <f>IFERROR(__xludf.DUMMYFUNCTION("GOOGLETRANSLATE(C398, ""en"", ""pt-br"")"),"O bastão de selfie é composto de plástico de qualidade barato. No entanto, a estrutura construída do bastão de selfie é estável e até o suporte do tripé fornecerá amplo suporte para fazer um lapso de tempo de vídeo ou uma selfie de retrato. Recompensado a"&amp;" todos os blogueiros de vídeo que acabaram Iniciou seus canais no YouTube ou em qualquer outro sites. É bom, mas eu sempre tinha medo de que fosse cair do estande. O titular é mal -humorado, não pode segurá -lo mais apertado. Precisa de outra pessoa ajuda"&amp;" para inserir o telefone no estande ou precisar sentar e esticar o porta -telefone para inserir o telefone. Talvez não valha 399 ₹. Deixe -me saber se você tiver outras dúvidas, é amigável, o produto é bom e leve. ,Bom produto")</f>
        <v>O bastão de selfie é composto de plástico de qualidade barato. No entanto, a estrutura construída do bastão de selfie é estável e até o suporte do tripé fornecerá amplo suporte para fazer um lapso de tempo de vídeo ou uma selfie de retrato. Recompensado a todos os blogueiros de vídeo que acabaram Iniciou seus canais no YouTube ou em qualquer outro sites. É bom, mas eu sempre tinha medo de que fosse cair do estande. O titular é mal -humorado, não pode segurá -lo mais apertado. Precisa de outra pessoa ajuda para inserir o telefone no estande ou precisar sentar e esticar o porta -telefone para inserir o telefone. Talvez não valha 399 ₹. Deixe -me saber se você tiver outras dúvidas, é amigável, o produto é bom e leve. ,Bom produto</v>
      </c>
    </row>
    <row r="399">
      <c r="A399" s="9" t="s">
        <v>1645</v>
      </c>
      <c r="B399" s="29" t="str">
        <f>VLOOKUP(dados!A399, reviews!A:G, 5, FALSE)</f>
        <v>Good deal,Looking is fake product... Storage capacity 58gb.. Menstion64gb.,A nice gadget.,Nice and good,Trusted brand,with adapter!,I liked it's performance and quality.,Good quality,Worth it</v>
      </c>
      <c r="C399" s="29" t="str">
        <f>VLOOKUP(dados!A399, reviews!A:G, 6, FALSE)</f>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size,Best</v>
      </c>
      <c r="D399" s="29" t="str">
        <f>IFERROR(__xludf.DUMMYFUNCTION("GOOGLETRANSLATE(B399, ""en"", ""pt-br"")"),"Bom negócio, procurar um produto falso ... Capacidade de armazenamento 58 GB .. Menstion64GB., Um gadget bonito., Branda agradável e boa e confiável, com adaptador!, Gostei de seu desempenho e qualidade., Boa qualidade, vale a pena")</f>
        <v>Bom negócio, procurar um produto falso ... Capacidade de armazenamento 58 GB .. Menstion64GB., Um gadget bonito., Branda agradável e boa e confiável, com adaptador!, Gostei de seu desempenho e qualidade., Boa qualidade, vale a pena</v>
      </c>
      <c r="E399" s="29" t="str">
        <f>IFERROR(__xludf.DUMMYFUNCTION("GOOGLETRANSLATE(C399, ""en"", ""pt-br"")"),"É um bom negócio obter o cartão SD nesse preço, mas foi ainda menos na Reliance Digital. Mas como eu precisava em 1 dia, é bom encomendar., Produto de aparência ou falso ..., o armazenamento é perfeito, a qualidade do pacote não é boa, a instalação foi fá"&amp;"cil. Finalize esta mina porque é s6lite.free spce mostrado como 119 GB .. já tem apenas dois dias. Não é o problema. Nas duas primeiras vezes, eles entregaram um cartão SD falso com a mesma marca Samsung, mas graças à Amazon por aceitar a solicitação de r"&amp;"etorno. Na terceira vez, recebi este genuíno Samsung Evo Plus SD Card 64 GB. Eu comprei este cartão em Rs. 599. Você também pode obter isso a menos preço durante a temporada de ofertas. O menor preço que eu vi é Rs. 539. O desempenho é quase bom como eu e"&amp;"sperava. A velocidade do escrito é de cerca de 17 a 25 Mbps e a velocidade de leitura é de cerca de 35 a 45 Mbps. Mas não testei muito a velocidade da leitura. Pode ser que você terá melhor velocidade de leitura. O adaptador também é de boa qualidade e te"&amp;"m um bom desempenho.")</f>
        <v>É um bom negócio obter o cartão SD nesse preço, mas foi ainda menos na Reliance Digital. Mas como eu precisava em 1 dia, é bom encomendar., Produto de aparência ou falso ..., o armazenamento é perfeito, a qualidade do pacote não é boa, a instalação foi fácil. Finalize esta mina porque é s6lite.free spce mostrado como 119 GB .. já tem apenas dois dias. Não é o problema. Nas duas primeiras vezes, eles entregaram um cartão SD falso com a mesma marca Samsung, mas graças à Amazon por aceitar a solicitação de retorno. Na terceira vez, recebi este genuíno Samsung Evo Plus SD Card 64 GB. Eu comprei este cartão em Rs. 599. Você também pode obter isso a menos preço durante a temporada de ofertas. O menor preço que eu vi é Rs. 539. O desempenho é quase bom como eu esperava. A velocidade do escrito é de cerca de 17 a 25 Mbps e a velocidade de leitura é de cerca de 35 a 45 Mbps. Mas não testei muito a velocidade da leitura. Pode ser que você terá melhor velocidade de leitura. O adaptador também é de boa qualidade e tem um bom desempenho.</v>
      </c>
    </row>
    <row r="400">
      <c r="A400" s="9" t="s">
        <v>1649</v>
      </c>
      <c r="B400" s="29" t="str">
        <f>VLOOKUP(dados!A400, reviews!A:G, 5, FALSE)</f>
        <v>Durability,Best one,Quality Product,Trustworthy Product,good,Good product in budget. Go for this adaptor,Good quality product,Good one working perfectly</v>
      </c>
      <c r="C400" s="29" t="str">
        <f>VLOOKUP(dados!A400, reviews!A:G, 6, FALSE)</f>
        <v>Good charging speed as expected but heat up faster like it charged speed.,Best adapter for iPhone and buy one thing it can’t take more power supply voltage in it, it may damage,Go for it,Value for money product,Value for money,Fast charging. Very good product in this price. I have iPhone 13. It’s take 1 and half hour for Full charge.,Charges pretty well.,Working perfectly, value for money</v>
      </c>
      <c r="D400" s="29" t="str">
        <f>IFERROR(__xludf.DUMMYFUNCTION("GOOGLETRANSLATE(B400, ""en"", ""pt-br"")"),"Durabilidade, melhor, produto de qualidade, produto confiável, bom, bom produto em orçamento. Vá para este adaptador, produto de boa qualidade, bom funcionando perfeitamente")</f>
        <v>Durabilidade, melhor, produto de qualidade, produto confiável, bom, bom produto em orçamento. Vá para este adaptador, produto de boa qualidade, bom funcionando perfeitamente</v>
      </c>
      <c r="E400" s="29" t="str">
        <f>IFERROR(__xludf.DUMMYFUNCTION("GOOGLETRANSLATE(C400, ""en"", ""pt-br"")"),"Boa velocidade de carregamento como esperado, mas aqueça mais rápido como a velocidade. dinheiro, cobrança rápida. Produto muito bom neste preço. Eu tenho o iPhone 13. É preciso 1 hora e meia para cobrar muito bem., Trabalhando perfeitamente, valor ao din"&amp;"heiro")</f>
        <v>Boa velocidade de carregamento como esperado, mas aqueça mais rápido como a velocidade. dinheiro, cobrança rápida. Produto muito bom neste preço. Eu tenho o iPhone 13. É preciso 1 hora e meia para cobrar muito bem., Trabalhando perfeitamente, valor ao dinheiro</v>
      </c>
    </row>
    <row r="401">
      <c r="A401" s="9" t="s">
        <v>1653</v>
      </c>
      <c r="B401" s="29" t="str">
        <f>VLOOKUP(dados!A401, reviews!A:G, 5, FALSE)</f>
        <v>Phone, camera, heating - works for me, may not for all,Good Mobile,Good but not excellent under this budget,Worth the price at 9499,Ok type phone... but unable to make videocall within same service provider.,Phone review,Budget king,Battery backup is good</v>
      </c>
      <c r="C401" s="29" t="str">
        <f>VLOOKUP(dados!A401, reviews!A:G,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D401" s="29" t="str">
        <f>IFERROR(__xludf.DUMMYFUNCTION("GOOGLETRANSLATE(B401, ""en"", ""pt-br"")"),"Telefone, câmera, aquecimento - funciona para mim, pode não para todos, bom celular, bom, mas não excelente sob esse orçamento, vale o preço em 9499, ok tipo telefone ... mas não consegue fazer videocall no mesmo provedor de serviços., Telefone Revisão, o"&amp;"rçamento rei, backup de bateria é bom")</f>
        <v>Telefone, câmera, aquecimento - funciona para mim, pode não para todos, bom celular, bom, mas não excelente sob esse orçamento, vale o preço em 9499, ok tipo telefone ... mas não consegue fazer videocall no mesmo provedor de serviços., Telefone Revisão, orçamento rei, backup de bateria é bom</v>
      </c>
      <c r="E401" s="29" t="str">
        <f>IFERROR(__xludf.DUMMYFUNCTION("GOOGLETRANSLATE(C401, ""en"", ""pt-br"")"),"Não sou grande uso da câmera, pessoalmente. Eu até estava mentalmente preparado para uma câmera ruim, com base em alguns comentários aqui. Mas fiquei agradavelmente surpreso que a câmera clique em boas fotos. Eles não são impressionantes, mas são fotos de"&amp;"centes que podem até ser compartilhadas. Agora, chegando ao meu maior galope; problema de aquecimento. O telefone começou a esquentar durante o carregamento, mas era apenas um pouco e eu poderia ter ignorado. Mas então começou a esquentar mais e me deixou"&amp;" muito preocupado. Eu até pedi um substituto pensando que recebi uma peça defeituosa. Mas depois, após mais testes, descobri que está aquecendo mais quando baixo grandes quantidades de dados, por exemplo, quando restaurar os dados do meu telefone antigo, "&amp;"de backup. Tudo bem comigo, pois, eu não executo enormes dados de dados regularmente, definitivamente não no telefone. Então eu testei executando tarefas que normalmente realizo, como verificação de e -mails do Office, participando da reunião do escritóri"&amp;"o por telefone, assistindo a um vídeo da Amazon Prime e assim por diante. O telefone não esquentou nem um pouco. Pessoalmente, isso é bom para mim. Nesta faixa de preço, este é um bom telefone. Mas se você é um usuário pesado da câmera e espera executar d"&amp;"ownloads pesados ​​com frequência, este telefone pode não para você. Estou pessoalmente satisfeito com este telefone, pois ele funciona para o meu tipo de uso. Não vou entrar em pontos positivos deste telefone, pois eles já estão cobertos por outras críti"&amp;"cas. Estou apenas tentando esclarecer como este telefone pode se adequar a você (ou não) em termos de câmera e aquecimento. Eu tive muitas perguntas sobre esses aspectos antes de comprar. Talvez esta revisão o ajude a tomar uma decisão informada de compra"&amp;"r (ou evitar). Cheers., Display - Beautycamera - DecentPerformance - AmazingBattery - OK (em 5000mAh, você espera mais TBH). Este telefone, mas continuarei atualizando esta revisão após 1 meses de uso!, É um celular decente sob esse preço, mas poucas cois"&amp;"as me preocuparam, o peso do telefone, muitos procedimentos para alterar algumas configurações, sem fundição de tela. Além disso, tem um bom toque, uma câmera decente para a luz do dia, a duração da bateria é boa. Comprei este smartphone para minha mãe. A"&amp;" interface Samusung é muito punhada para facilitar o uso. A bateria é excelente, o último dia inteiro. A câmera é medíocre, mas fornece imagens coloridas originais. No geral, está satisfeito com este smartphone que recebi à venda por 9499., não conseguiu "&amp;"fazer videochamadas dentro do mesmo provedor de serviços que em VoLTE no mesmo recurso de chamada de videochamada do provedor de serviços está disponível., O produto está bem. Nada chique, mas para o orçamento, é um bom telefone., Bateria: mais do que suf"&amp;"iciente para uso normal, não tenho certeza em gamingcamera: bom neste segmento, pode gravar vídeos em FHD 30fpsDisplay: como é uma tela LCD, a qualidade é um pouco menor, Mas Goodv Ram: você pode adicionar até 2 GB de RAM virtual, mas precisa sacrificar s"&amp;"eu espaço de armazenamento para usá -lo em geral um bom telefone orçamentário, a impressão digital está funcionando com o backup rápido da bateria é boa a qualidade da câmera também é boa")</f>
        <v>Não sou grande uso da câmera, pessoalmente. Eu até estava mentalmente preparado para uma câmera ruim, com base em alguns comentários aqui. Mas fiquei agradavelmente surpreso que a câmera clique em boas fotos. Eles não são impressionantes, mas são fotos decentes que podem até ser compartilhadas. Agora, chegando ao meu maior galope; problema de aquecimento. O telefone começou a esquentar durante o carregamento, mas era apenas um pouco e eu poderia ter ignorado. Mas então começou a esquentar mais e me deixou muito preocupado. Eu até pedi um substituto pensando que recebi uma peça defeituosa. Mas depois, após mais testes, descobri que está aquecendo mais quando baixo grandes quantidades de dados, por exemplo, quando restaurar os dados do meu telefone antigo, de backup. Tudo bem comigo, pois, eu não executo enormes dados de dados regularmente, definitivamente não no telefone. Então eu testei executando tarefas que normalmente realizo, como verificação de e -mails do Office, participando da reunião do escritório por telefone, assistindo a um vídeo da Amazon Prime e assim por diante. O telefone não esquentou nem um pouco. Pessoalmente, isso é bom para mim. Nesta faixa de preço, este é um bom telefone. Mas se você é um usuário pesado da câmera e espera executar downloads pesados ​​com frequência, este telefone pode não para você. Estou pessoalmente satisfeito com este telefone, pois ele funciona para o meu tipo de uso. Não vou entrar em pontos positivos deste telefone, pois eles já estão cobertos por outras críticas. Estou apenas tentando esclarecer como este telefone pode se adequar a você (ou não) em termos de câmera e aquecimento. Eu tive muitas perguntas sobre esses aspectos antes de comprar. Talvez esta revisão o ajude a tomar uma decisão informada de comprar (ou evitar). Cheers., Display - Beautycamera - DecentPerformance - AmazingBattery - OK (em 5000mAh, você espera mais TBH). Este telefone, mas continuarei atualizando esta revisão após 1 meses de uso!, É um celular decente sob esse preço, mas poucas coisas me preocuparam, o peso do telefone, muitos procedimentos para alterar algumas configurações, sem fundição de tela. Além disso, tem um bom toque, uma câmera decente para a luz do dia, a duração da bateria é boa. Comprei este smartphone para minha mãe. A interface Samusung é muito punhada para facilitar o uso. A bateria é excelente, o último dia inteiro. A câmera é medíocre, mas fornece imagens coloridas originais. No geral, está satisfeito com este smartphone que recebi à venda por 9499., não conseguiu fazer videochamadas dentro do mesmo provedor de serviços que em VoLTE no mesmo recurso de chamada de videochamada do provedor de serviços está disponível., O produto está bem. Nada chique, mas para o orçamento, é um bom telefone., Bateria: mais do que suficiente para uso normal, não tenho certeza em gamingcamera: bom neste segmento, pode gravar vídeos em FHD 30fpsDisplay: como é uma tela LCD, a qualidade é um pouco menor, Mas Goodv Ram: você pode adicionar até 2 GB de RAM virtual, mas precisa sacrificar seu espaço de armazenamento para usá -lo em geral um bom telefone orçamentário, a impressão digital está funcionando com o backup rápido da bateria é boa a qualidade da câmera também é boa</v>
      </c>
    </row>
    <row r="402">
      <c r="A402" s="9" t="s">
        <v>1657</v>
      </c>
      <c r="B402" s="29" t="str">
        <f>VLOOKUP(dados!A402, reviews!A:G, 5, FALSE)</f>
        <v>Best value for money,HEAD PHONE POUCH NOT RECEIVED,Overall good in this pricerange,It's not working in my Phone properly Plz help me in exchange or return, I ll be thankful to you,Worth the money 🤑,Best,Nice sound,Wonderful product</v>
      </c>
      <c r="C402" s="29" t="str">
        <f>VLOOKUP(dados!A402, reviews!A:G, 6, FALSE)</f>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v>
      </c>
      <c r="D402" s="29" t="str">
        <f>IFERROR(__xludf.DUMMYFUNCTION("GOOGLETRANSLATE(B402, ""en"", ""pt-br"")"),"Melhor relação custo / benefício, a bolsa de telefone não recebida, em geral, bem nessa priquerange, não está funcionando no meu telefone corretamente, por favor me ajude em troca ou retornar, ficarei agradecido a você, vale o dinheiro 🤑, melhor, bom som"&amp;", maravilhoso produtos")</f>
        <v>Melhor relação custo / benefício, a bolsa de telefone não recebida, em geral, bem nessa priquerange, não está funcionando no meu telefone corretamente, por favor me ajude em troca ou retornar, ficarei agradecido a você, vale o dinheiro 🤑, melhor, bom som, maravilhoso produtos</v>
      </c>
      <c r="E402" s="29" t="str">
        <f>IFERROR(__xludf.DUMMYFUNCTION("GOOGLETRANSLATE(C402, ""en"", ""pt-br"")"),"A qualidade do som deste fone de ouvido é realmente boa. A parte do baixo também era boa. Eu só descobri que o cancelamento de ruído não era o que eu esperava. Pode ser muito melhor. Finalmente, posso dizer que é um bom valor para o dinheiro. meses, eu nã"&amp;"o uso regularmente, mas sempre que uso meus colegas diz que sua voz é clara 😂, Pin que eu me conecto ao telefone é automaticamente para fora. Não funciona. Plz Amazon me ajude. Sou um cliente regular desta empresa. Serei muito grato a você., Ótima qualid"&amp;"ade de som e bom baixo. Cancelamento de ruído decente. Eu não poderia ter pedido fones de ouvido melhores a esse preço., Melhor para jogos, bom e bom produto")</f>
        <v>A qualidade do som deste fone de ouvido é realmente boa. A parte do baixo também era boa. Eu só descobri que o cancelamento de ruído não era o que eu esperava. Pode ser muito melhor. Finalmente, posso dizer que é um bom valor para o dinheiro. meses, eu não uso regularmente, mas sempre que uso meus colegas diz que sua voz é clara 😂, Pin que eu me conecto ao telefone é automaticamente para fora. Não funciona. Plz Amazon me ajude. Sou um cliente regular desta empresa. Serei muito grato a você., Ótima qualidade de som e bom baixo. Cancelamento de ruído decente. Eu não poderia ter pedido fones de ouvido melhores a esse preço., Melhor para jogos, bom e bom produto</v>
      </c>
    </row>
    <row r="403">
      <c r="A403" s="9" t="s">
        <v>1661</v>
      </c>
      <c r="B403" s="29" t="str">
        <f>VLOOKUP(dados!A403, reviews!A:G, 5, FALSE)</f>
        <v>Above average phone,Worth For The Money 💰,Okie,Phone is excellent,Purchased in good budget at 12k,It can fulfill basic needs in affordable price range,Nice,About features</v>
      </c>
      <c r="C403" s="29" t="str">
        <f>VLOOKUP(dados!A403, reviews!A:G, 6, FALSE)</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c r="D403" s="29" t="str">
        <f>IFERROR(__xludf.DUMMYFUNCTION("GOOGLETRANSLATE(B403, ""en"", ""pt-br"")"),"Telefone acima da média, que vale o dinheiro 💰, okie, o telefone é excelente, comprado com bom orçamento a 12k, pode atender às necessidades básicas em faixa de preço acessível, agradável, sobre recursos")</f>
        <v>Telefone acima da média, que vale o dinheiro 💰, okie, o telefone é excelente, comprado com bom orçamento a 12k, pode atender às necessidades básicas em faixa de preço acessível, agradável, sobre recursos</v>
      </c>
      <c r="E403" s="29" t="str">
        <f>IFERROR(__xludf.DUMMYFUNCTION("GOOGLETRANSLATE(C403, ""en"", ""pt-br"")"),"Comprei a variante de 6/128 GB. Para resumir para prós e contras. A qualidade da tela é boa com pouco tom de cor impulsionado. O novo processador é muito suave e responsivo. A qualidade do alto -falante é boa sem muito agudo. A câmera é boa para selfie e "&amp;"o desempenho da câmera principal está acima da média com menos ruído. A câmera na frente é pequena, portanto o entalhe não é distraído ao reproduzir vídeos.CONS: -1.Main Camera lutas após o zoom 3x. E a performance de vídeo da câmera frontal é inferior ao"&amp;" estoque de fotos de selfie.2. O carregador de 18 watts levou 1HR30 minutos para cobrar 80% do telefone. A velocidade de carregamento não é economizando tempo para esta grande bateria., Bom sob esse preço ..! Um dos melhores telefones Android da Vivo 💚, "&amp;"é super bom para uso normal, a câmera é boa para o normal, está funcionando bem e sem problemas. IQOO, fornecendo dispositivos de qualidade em comparação com outras marcas, a qualidade da câmera não é tão alta, uma relação custo / benefício, o telefone é "&amp;"muito útil e a bateria também é boa. A qualidade do telefone é boa.")</f>
        <v>Comprei a variante de 6/128 GB. Para resumir para prós e contras. A qualidade da tela é boa com pouco tom de cor impulsionado. O novo processador é muito suave e responsivo. A qualidade do alto -falante é boa sem muito agudo. A câmera é boa para selfie e o desempenho da câmera principal está acima da média com menos ruído. A câmera na frente é pequena, portanto o entalhe não é distraído ao reproduzir vídeos.CONS: -1.Main Camera lutas após o zoom 3x. E a performance de vídeo da câmera frontal é inferior ao estoque de fotos de selfie.2. O carregador de 18 watts levou 1HR30 minutos para cobrar 80% do telefone. A velocidade de carregamento não é economizando tempo para esta grande bateria., Bom sob esse preço ..! Um dos melhores telefones Android da Vivo 💚, é super bom para uso normal, a câmera é boa para o normal, está funcionando bem e sem problemas. IQOO, fornecendo dispositivos de qualidade em comparação com outras marcas, a qualidade da câmera não é tão alta, uma relação custo / benefício, o telefone é muito útil e a bateria também é boa. A qualidade do telefone é boa.</v>
      </c>
    </row>
    <row r="404">
      <c r="A404" s="9" t="s">
        <v>1665</v>
      </c>
      <c r="B404" s="29" t="str">
        <f>VLOOKUP(dados!A404, reviews!A:G, 5, FALSE)</f>
        <v>Good smart watch of the Year 2023,Value for money,Best product at the price group,Best smartwatch under Rs 4000,Amazing product under 3k,Best in segment smartwatch.,Need to update app,Worthy of money</v>
      </c>
      <c r="C404" s="29" t="str">
        <f>VLOOKUP(dados!A404, reviews!A:G, 6, FALSE)</f>
        <v>Delivery: It is delivered on time as promisedReviewed on 03/Jan/23 after 1 day usageFire-Boltt Gladiator (black) is my first smart watch bought it for it’s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v>
      </c>
      <c r="D404" s="29" t="str">
        <f>IFERROR(__xludf.DUMMYFUNCTION("GOOGLETRANSLATE(B404, ""en"", ""pt-br"")"),"Bom relógio inteligente do ano 2023, valor ao dinheiro, melhor produto no grupo de preços, melhor smartwatch sob Rs 4000, produto incrível sob 3k, melhor no segmento smartwatch., Precisa atualizar o aplicativo, digno de dinheiro")</f>
        <v>Bom relógio inteligente do ano 2023, valor ao dinheiro, melhor produto no grupo de preços, melhor smartwatch sob Rs 4000, produto incrível sob 3k, melhor no segmento smartwatch., Precisa atualizar o aplicativo, digno de dinheiro</v>
      </c>
      <c r="E404" s="29" t="str">
        <f>IFERROR(__xludf.DUMMYFUNCTION("GOOGLETRANSLATE(C404, ""en"", ""pt-br"")"),"Entrega: é entregue no prazo, conforme prometido, em 03/23 de janeiro, após 1 dia de uso de Uso-Fire-Boltt Gladiator (preto), o meu primeiro relógio inteligente comprou para sua aparência bonita e todos os recursos como frequência cardíaca, BP, SPO2, medi"&amp;"ções de estresse e 123 Modo esportivo e resistência à água IP67 e Bluetooth CallingPros:&gt; O relógio parece premium e menos peso enquanto usa o dia inteiro&gt; O toque é suave e preciso&gt; o relógio é visível durante o dia ensolarado fora&gt; Medição de freqüência"&amp;" cardíaca, BP, SPO2 , O estresse parece preciso&gt; o emparelhamento para iPhone é muito bom, nenhuma desconexão aconteceu depois de emparelhar&gt; o alto -falante de assistir é alto o suficiente para ouvir e atender às chamadas&gt; No entanto, para tentar treinar"&amp;" medidas com modos de corrida e exercício e bateria 🔋&gt; em jogos construídos (4) são bons e SeamlessCons:&gt; A freqüência cardíaca e outras medidas devem ser feitas manualmente selecionando sua função.&gt; O pulso despertado automático não está funcionando com"&amp;"o o esperado&gt; não ter muitos rostos de relógio no aplicativo DA Fit, obteve este relógio para Rs. 2499 E a esse preço é um negócio incrível. Boa qualidade construída, interface livre de atraso, tamanho de tela grande e boa resolução de tela são alguns dos"&amp;" principais recursos deste relógio., Muito feliz com o trabalho de compra.Great feito pelo Fireboltt. Menção: Construir qualidade, de primeira qualidade. A tela é suave, mas no movimento de 360 ​​° em uma das visualizações do menu, pode haver um problema."&amp;" As tiras são deattachable, que é outra desvantagem., Bright DisplayNo LaggingGood Alto -falante e problemas de micnO com a melhor conectividade sob 3k, perfeitamente satisfeitos. tela., em todo o bom produto, melhor assistir abaixo de 3000/-")</f>
        <v>Entrega: é entregue no prazo, conforme prometido, em 03/23 de janeiro, após 1 dia de uso de Uso-Fire-Boltt Gladiator (preto), o meu primeiro relógio inteligente comprou para sua aparência bonita e todos os recursos como frequência cardíaca, BP, SPO2, medições de estresse e 123 Modo esportivo e resistência à água IP67 e Bluetooth CallingPros:&gt; O relógio parece premium e menos peso enquanto usa o dia inteiro&gt; O toque é suave e preciso&gt; o relógio é visível durante o dia ensolarado fora&gt; Medição de freqüência cardíaca, BP, SPO2 , O estresse parece preciso&gt; o emparelhamento para iPhone é muito bom, nenhuma desconexão aconteceu depois de emparelhar&gt; o alto -falante de assistir é alto o suficiente para ouvir e atender às chamadas&gt; No entanto, para tentar treinar medidas com modos de corrida e exercício e bateria 🔋&gt; em jogos construídos (4) são bons e SeamlessCons:&gt; A freqüência cardíaca e outras medidas devem ser feitas manualmente selecionando sua função.&gt; O pulso despertado automático não está funcionando como o esperado&gt; não ter muitos rostos de relógio no aplicativo DA Fit, obteve este relógio para Rs. 2499 E a esse preço é um negócio incrível. Boa qualidade construída, interface livre de atraso, tamanho de tela grande e boa resolução de tela são alguns dos principais recursos deste relógio., Muito feliz com o trabalho de compra.Great feito pelo Fireboltt. Menção: Construir qualidade, de primeira qualidade. A tela é suave, mas no movimento de 360 ​​° em uma das visualizações do menu, pode haver um problema. As tiras são deattachable, que é outra desvantagem., Bright DisplayNo LaggingGood Alto -falante e problemas de micnO com a melhor conectividade sob 3k, perfeitamente satisfeitos. tela., em todo o bom produto, melhor assistir abaixo de 3000/-</v>
      </c>
    </row>
    <row r="405">
      <c r="A405" s="9" t="s">
        <v>42</v>
      </c>
      <c r="B405" s="29" t="str">
        <f>VLOOKUP(dados!A405, reviews!A:G, 5, FALSE)</f>
        <v>It's pretty good,Average quality,very good and useful usb cable,Good USB cable. My experience was very good it is long lasting,Good,Nice product and useful,-,Sturdy but does not support 33w charging</v>
      </c>
      <c r="C405" s="29" t="str">
        <f>VLOOKUP(dados!A405, reviews!A:G, 6, FALSE)</f>
        <v>It's a good product.,Like,Very good item strong and useful USB cableValue for moneyThanks to amazon and producer,https://m.media-amazon.com/images/I/51112ZRE-1L._SY88.jpg,Good,Nice product and useful product,-,Sturdy but does not support 33w charging</v>
      </c>
      <c r="D405" s="29" t="str">
        <f>IFERROR(__xludf.DUMMYFUNCTION("GOOGLETRANSLATE(B405, ""en"", ""pt-br"")"),"É muito bom, qualidade média, cabo USB muito bom e útil, bom cabo USB. Minha experiência foi muito boa, é duradouro, bom, bom produto e útil,-, resistente, mas não suporta carregamento de 33w")</f>
        <v>É muito bom, qualidade média, cabo USB muito bom e útil, bom cabo USB. Minha experiência foi muito boa, é duradouro, bom, bom produto e útil,-, resistente, mas não suporta carregamento de 33w</v>
      </c>
      <c r="E405" s="29" t="str">
        <f>IFERROR(__xludf.DUMMYFUNCTION("GOOGLETRANSLATE(C405, ""en"", ""pt-br"")"),"É um bom produto., Tipo, um item muito bom forte e útil USB CableValue for Moneythanks para a Amazon e produtor, https: //m.media-amazon.com/images/i/51112zre-1l._sy88.jpg,Good,nice Produto e produto útil,-, resistente, mas não suporta carregamento de 33w")</f>
        <v>É um bom produto., Tipo, um item muito bom forte e útil USB CableValue for Moneythanks para a Amazon e produtor, https: //m.media-amazon.com/images/i/51112zre-1l._sy88.jpg,Good,nice Produto e produto útil,-, resistente, mas não suporta carregamento de 33w</v>
      </c>
    </row>
    <row r="406">
      <c r="A406" s="9" t="s">
        <v>1670</v>
      </c>
      <c r="B406" s="29" t="str">
        <f>VLOOKUP(dados!A406, reviews!A:G, 5, FALSE)</f>
        <v>Good Stand For Mobiles !,Nice produt,Useful,Affordable and Nicee,Good for the price,Value for money, write product.,Best thing that you need to buy if you have Mobile or tablet...😃,Value for money</v>
      </c>
      <c r="C406" s="29" t="str">
        <f>VLOOKUP(dados!A406, reviews!A:G, 6, FALSE)</f>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Doesn’t look very fine, in fact looks a bit old even when brand new. The band name is also not imprinted clearly. Looks cheap, but did it’s job okay. I got it for ₹89 in a deal.Sometimes the mic gets blocked and the phone has to be adjusted a little out of the stand. Overall worth the buy,Product Material - full PlasticQuality - 7 out of 10,Fantastic product,  affordable,  makes work more comfort  🙌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v>
      </c>
      <c r="D406" s="29" t="str">
        <f>IFERROR(__xludf.DUMMYFUNCTION("GOOGLETRANSLATE(B406, ""en"", ""pt-br"")"),"Boa posição para celulares!, Bom produto, útil, acessível e nicee, bom para o preço, valor pelo dinheiro, escreva produto., Melhor coisa que você precisa comprar se tiver celular ou tablet ... 😃, valor pelo dinheiro")</f>
        <v>Boa posição para celulares!, Bom produto, útil, acessível e nicee, bom para o preço, valor pelo dinheiro, escreva produto., Melhor coisa que você precisa comprar se tiver celular ou tablet ... 😃, valor pelo dinheiro</v>
      </c>
      <c r="E406" s="29" t="str">
        <f>IFERROR(__xludf.DUMMYFUNCTION("GOOGLETRANSLATE(C406, ""en"", ""pt-br"")"),"Este é um bom suporte móvel. Resistente com celulares, mas não tenho certeza sobre os tablets. Parece bom na mesa, mas não muito atraente, de acordo com o seu design. A menos que você não esteja mais preocupado com a aparência do estande e o querer para o"&amp;" seu celular, então isso será bom para você. Bom produto, este é um produto muito útil ..nd fácil de usar .. Então eu gosto, https: //m.media-amazon.com/images/i/61v3baurbil._sy88.jpg, o suporte é bom para o preço. Não parece muito bom, na verdade parece "&amp;"um pouco velho, mesmo quando novo. O nome da banda também não é impresso claramente. Parece barato, mas fez o trabalho bem. Eu o recebi por ₹ 89 em um acordo. Às vezes, o microfone é bloqueado e o telefone deve ser ajustado um pouco fora do estande. Geral"&amp;"mente vale a pena a compra, material do produto - qualidade plástica completa - 7 em 10, produto fantástico, acessível, torna o trabalho mais conforto 🙌 ... Realmente estou usando desde um mês, sem problemas e reclamações ... sua qualidade é não reduzido"&amp;" com o tempo ... acho que todos precisam comprar ... pela primeira vez estou fazendo uma revisão de um produto ... depois de cerca de 100 produtos que comprei aqui ... pense em quanto eu 'M satisfaz com essa coisinha fofa ....., o produto não é o melhor, "&amp;"mas uma opção melhor nessa faixa de preço. Comprei por apenas 119 rúpias")</f>
        <v>Este é um bom suporte móvel. Resistente com celulares, mas não tenho certeza sobre os tablets. Parece bom na mesa, mas não muito atraente, de acordo com o seu design. A menos que você não esteja mais preocupado com a aparência do estande e o querer para o seu celular, então isso será bom para você. Bom produto, este é um produto muito útil ..nd fácil de usar .. Então eu gosto, https: //m.media-amazon.com/images/i/61v3baurbil._sy88.jpg, o suporte é bom para o preço. Não parece muito bom, na verdade parece um pouco velho, mesmo quando novo. O nome da banda também não é impresso claramente. Parece barato, mas fez o trabalho bem. Eu o recebi por ₹ 89 em um acordo. Às vezes, o microfone é bloqueado e o telefone deve ser ajustado um pouco fora do estande. Geralmente vale a pena a compra, material do produto - qualidade plástica completa - 7 em 10, produto fantástico, acessível, torna o trabalho mais conforto 🙌 ... Realmente estou usando desde um mês, sem problemas e reclamações ... sua qualidade é não reduzido com o tempo ... acho que todos precisam comprar ... pela primeira vez estou fazendo uma revisão de um produto ... depois de cerca de 100 produtos que comprei aqui ... pense em quanto eu 'M satisfaz com essa coisinha fofa ....., o produto não é o melhor, mas uma opção melhor nessa faixa de preço. Comprei por apenas 119 rúpias</v>
      </c>
    </row>
    <row r="407">
      <c r="A407" s="9" t="s">
        <v>1676</v>
      </c>
      <c r="B407" s="29" t="str">
        <f>VLOOKUP(dados!A407, reviews!A:G, 5, FALSE)</f>
        <v>Little above average Earbuds,Buds i love,Unique form factor,Best call quality ear buds,Good but is it worth it,Bluetooth range not that good,Excellent sounding pair of earbuds with one fatal flaw,Bluetooth connectivity is not upto the mark</v>
      </c>
      <c r="C407" s="29" t="str">
        <f>VLOOKUP(dados!A407, reviews!A:G, 6, FALSE)</f>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v>
      </c>
      <c r="D407" s="29" t="str">
        <f>IFERROR(__xludf.DUMMYFUNCTION("GOOGLETRANSLATE(B407, ""en"", ""pt-br"")"),"Pouco fones de ouvido acima da média, brotos que eu amo, fator de forma único, melhor evido de qualidade de qualidade, bom, mas vale a pena, alcance Bluetooth não tão bom e excelente par de fones de ouvido com uma falha fatal, a conectividade Bluetooth nã"&amp;"o está até a marca")</f>
        <v>Pouco fones de ouvido acima da média, brotos que eu amo, fator de forma único, melhor evido de qualidade de qualidade, bom, mas vale a pena, alcance Bluetooth não tão bom e excelente par de fones de ouvido com uma falha fatal, a conectividade Bluetooth não está até a marca</v>
      </c>
      <c r="E407" s="29" t="str">
        <f>IFERROR(__xludf.DUMMYFUNCTION("GOOGLETRANSLATE(C407, ""en"", ""pt-br"")"),"Os fones de ouvido têm boa qualidade de som claro. Falta base. O backup da bateria é bom. O ANC é um mito neste fone de ouvido. Pode machucar sua orelha se você usá -lo por maior duração, dependendo da forma da orelha, coma facilmente encaixe -se nos ouvi"&amp;"dos e no peso leve, e a qualidade do som também é boa. Durante todo o seu valor, também por esse Samsung Buds Ita se conecta bem ao Samsung Mobile., Comprei isso apenas devido ao seu fator de forma - para tentar como a Samsung os fez soar nesse estilo de "&amp;"broto aberto. Ser verdadeiro Samsung conseguiu excelentemente nos dar um TWS. Esse não é um TWS de estilo Inear, mas se assemelha um pouco ao estilo TWS, apenas do gênero no mercado, tanto quanto meu conhecimento. Eles são mantidos muito bons em meus ouvi"&amp;"dos , me dá um bom selo e não cai (estranho, pois não posso usar fones de ouvido porque eles caem com frequência). Parece que a Samsung finalizou a forma após uma boa lição de casa. No entanto, isso não significa que ele se encaixe em todos, pois há muito"&amp;"s usuários insatisfeitos em todo o mundo. O acabamento, a construção e todos esses fatores genéricos são de primeira qualidade. O tamanho dos brotos e o estojo são muito pequenos. Agora, sobre o som. Se os brotos se encaixam nos ouvidos com um bom selo, o"&amp;" som será encadeado, mas se o selo não for perfeito, pode ser um pequeno, a assinatura do som é muito atrevida para o meu gosto e eu tenho que equipá -lo no meu gosto. O baixo está tão batendo que às vezes se torna difícil experimentar os agudos. Eu o esc"&amp;"uto no modo de impulso agudo ajustado através do aplicativo. O ANC trabalha estranhamente e a redução de ruído não é muito decifrável. Ao contrário, o ANC abre um pouco o som. Não compre isso para o ANC. Os brotos têm suporte de aplicativos para Android ("&amp;"Galaxy Wear) e iOS (Live Buds Live), mas o aplicativo Android é mais embalado e funciona melhor. O aplicativo iOS não conseguiu atualizar o firmware (embora exista um menu no aplicativo) e sempre mostrasse que o dispositivo estava no firmware mais recente"&amp;". No entanto, assim que eu me conectei com o meu S22, no emparelhamento, a primeira coisa que fez foi atualizar o firmware. Adoro esses botões apenas pelo seu fator de forma e eles são muito bons por 4,4k contra um MRP de 16K. Parece muito bom, mas não co"&amp;"mbina com o meu gosto. As pessoas que amam o baixo podem amá -los. Não os pegue para o ANC. O consumo de bateria ainda não é totalmente testado, mas parece bom. Possui carregamento sem fio também. Se seus ouvidos forem muito pequenos ou grandes do que o n"&amp;"ormal - é melhor não comprar, pois eles não podem ir nos ouvidos ou se soltarão, dando um selo inadequado., Melhor qualidade de chamada. O cancelamento de ruído poderia ter sido melhorado para melhor, mas ainda assim Wotks. Não para esse entalhe superior,"&amp;" mas bom nesse segmento. Se você não faz parte, não compra, não vale o seu preço. A faixa Bluetooth não é tão boa, a qualidade do som é extremamente boa para um TWS e a assinatura sonora é quase plana. Eu os comprei por Rs.5290, quase parecia um negócio r"&amp;"oubar para mim até que eu enfrentei uma falha no design desses brotos. A antena Bluetooth tem um desempenho absurdo. Parece que estou usando o Bluetooth v3.0. O alcance é tão ruim que, mesmo se você colocar o telefone no bolso, o áudio começa a gaguejar. "&amp;"A qualidade do microfone é um sucesso ou um acerto, dentro de casa, funciona muito bem, mas do lado de fora com um desempenho ruim. Eu acho que tem mais a ver com o projeto de antena ruim do que a qualidade do microfone. Se você está pensando que talvez o"&amp;" produto defeituoso seja uma exceção, faça uma pesquisa no Google sobre seu problema de intervalo e encontrará centenas de pessoas reclamando da mesma coisa. A Samsung implementou mal o design e reluta em admitir sua culpa. Tenho pena daqueles que o compr"&amp;"aram por volta de 15k para um produto tão defeituoso. Mesmo em Rs 5k, não vale a pena por causa da questão do intervalo. É melhor comprar um IEM com fio, pelo menos parecerá melhor do que isso., Nesse preço, a marca Samsung é boa para usar e um bom suport"&amp;"e de bateria com base na conectividade Bluetooth de 2 metros")</f>
        <v>Os fones de ouvido têm boa qualidade de som claro. Falta base. O backup da bateria é bom. O ANC é um mito neste fone de ouvido. Pode machucar sua orelha se você usá -lo por maior duração, dependendo da forma da orelha, coma facilmente encaixe -se nos ouvidos e no peso leve, e a qualidade do som também é boa. Durante todo o seu valor, também por esse Samsung Buds Ita se conecta bem ao Samsung Mobile., Comprei isso apenas devido ao seu fator de forma - para tentar como a Samsung os fez soar nesse estilo de broto aberto. Ser verdadeiro Samsung conseguiu excelentemente nos dar um TWS. Esse não é um TWS de estilo Inear, mas se assemelha um pouco ao estilo TWS, apenas do gênero no mercado, tanto quanto meu conhecimento. Eles são mantidos muito bons em meus ouvidos , me dá um bom selo e não cai (estranho, pois não posso usar fones de ouvido porque eles caem com frequência). Parece que a Samsung finalizou a forma após uma boa lição de casa. No entanto, isso não significa que ele se encaixe em todos, pois há muitos usuários insatisfeitos em todo o mundo. O acabamento, a construção e todos esses fatores genéricos são de primeira qualidade. O tamanho dos brotos e o estojo são muito pequenos. Agora, sobre o som. Se os brotos se encaixam nos ouvidos com um bom selo, o som será encadeado, mas se o selo não for perfeito, pode ser um pequeno, a assinatura do som é muito atrevida para o meu gosto e eu tenho que equipá -lo no meu gosto. O baixo está tão batendo que às vezes se torna difícil experimentar os agudos. Eu o escuto no modo de impulso agudo ajustado através do aplicativo. O ANC trabalha estranhamente e a redução de ruído não é muito decifrável. Ao contrário, o ANC abre um pouco o som. Não compre isso para o ANC. Os brotos têm suporte de aplicativos para Android (Galaxy Wear) e iOS (Live Buds Live), mas o aplicativo Android é mais embalado e funciona melhor. O aplicativo iOS não conseguiu atualizar o firmware (embora exista um menu no aplicativo) e sempre mostrasse que o dispositivo estava no firmware mais recente. No entanto, assim que eu me conectei com o meu S22, no emparelhamento, a primeira coisa que fez foi atualizar o firmware. Adoro esses botões apenas pelo seu fator de forma e eles são muito bons por 4,4k contra um MRP de 16K. Parece muito bom, mas não combina com o meu gosto. As pessoas que amam o baixo podem amá -los. Não os pegue para o ANC. O consumo de bateria ainda não é totalmente testado, mas parece bom. Possui carregamento sem fio também. Se seus ouvidos forem muito pequenos ou grandes do que o normal - é melhor não comprar, pois eles não podem ir nos ouvidos ou se soltarão, dando um selo inadequado., Melhor qualidade de chamada. O cancelamento de ruído poderia ter sido melhorado para melhor, mas ainda assim Wotks. Não para esse entalhe superior, mas bom nesse segmento. Se você não faz parte, não compra, não vale o seu preço. A faixa Bluetooth não é tão boa, a qualidade do som é extremamente boa para um TWS e a assinatura sonora é quase plana. Eu os comprei por Rs.5290, quase parecia um negócio roubar para mim até que eu enfrentei uma falha no design desses brotos. A antena Bluetooth tem um desempenho absurdo. Parece que estou usando o Bluetooth v3.0. O alcance é tão ruim que, mesmo se você colocar o telefone no bolso, o áudio começa a gaguejar. A qualidade do microfone é um sucesso ou um acerto, dentro de casa, funciona muito bem, mas do lado de fora com um desempenho ruim. Eu acho que tem mais a ver com o projeto de antena ruim do que a qualidade do microfone. Se você está pensando que talvez o produto defeituoso seja uma exceção, faça uma pesquisa no Google sobre seu problema de intervalo e encontrará centenas de pessoas reclamando da mesma coisa. A Samsung implementou mal o design e reluta em admitir sua culpa. Tenho pena daqueles que o compraram por volta de 15k para um produto tão defeituoso. Mesmo em Rs 5k, não vale a pena por causa da questão do intervalo. É melhor comprar um IEM com fio, pelo menos parecerá melhor do que isso., Nesse preço, a marca Samsung é boa para usar e um bom suporte de bateria com base na conectividade Bluetooth de 2 metros</v>
      </c>
    </row>
    <row r="408">
      <c r="A408" s="9" t="s">
        <v>1680</v>
      </c>
      <c r="B408" s="29" t="str">
        <f>VLOOKUP(dados!A408, reviews!A:G, 5, FALSE)</f>
        <v>Really a Good Buy in this price range in 2022,Expected better Battery,Over-all a very balanced product.,Poor Battery life,Good,Temper glasses not istalle properly,It's 8 gb not working like 12gb,Apart from battery and sound quality, everything else is good.</v>
      </c>
      <c r="C408" s="29" t="str">
        <f>VLOOKUP(dados!A408, reviews!A:G, 6, FALSE)</f>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v>
      </c>
      <c r="D408" s="29" t="str">
        <f>IFERROR(__xludf.DUMMYFUNCTION("GOOGLETRANSLATE(B408, ""en"", ""pt-br"")"),"Realmente uma boa compra nessa faixa de preço em 2022, uma melhor bateria esperada, um produto muito equilibrado. , tudo o mais é bom.")</f>
        <v>Realmente uma boa compra nessa faixa de preço em 2022, uma melhor bateria esperada, um produto muito equilibrado. , tudo o mais é bom.</v>
      </c>
      <c r="E408" s="29" t="str">
        <f>IFERROR(__xludf.DUMMYFUNCTION("GOOGLETRANSLATE(C408, ""en"", ""pt-br"")"),"Veredicto: Uma compra sólida para este segmento de preços em 2022 (e mesmo para o início de 2023), existem 2 revisões nesta seção. A revisão 1 é 30 dias após a compra (os erros de digitação na revisão 1 são corrigidos agora) e a revisão 2 é 15 dias após a"&amp;" atualização do Android 13. Essas revisões são baseadas em minha própria experiência pessoal do dispositivo adquirido aqui na Amazon em 1 de agosto de 20222. Antes da atualização do OOS 13, o 5G (apenas para o JIO) foi ativado por outra atualização. 5G ai"&amp;"nda não está disponível na minha região. Portanto, os parâmetros relacionados ao 5G não são abordados nesta revisão. UP.I.E., não houve; não há problemas relacionados ao aquecimento.Não drenagem rápida da bateria.Não alteração no tempo de carregamento. Nã"&amp;"o é irritante Bugs.Não alteração no desempenho da câmera.beta Atualização é principalmente como uma atualização estável. Revisão: Delictos:&gt; Nenhum novo aplicativo adicionado. Absolutamente não.&gt; O consumo de armazenamento do sistema permanece o mesmo (13"&amp;",2 GB).&gt; As animações são mais fluídicas.&gt; Mais recursos da interface do usuário de personalização adicionados. (Widgets de escoteiros na tela inicial, pasta ampliada e lote mais.)&gt; O uso diário de dados está disponível no painel de notificação e não prec"&amp;"isa ser redefinido diariamente diferentemente. Antecedentes e tela também (mesmo para o YouTube) (realmente um recurso de boas-vindas e saudades, que outras UIs da marca não tiveram ou apenas com a tela desligada)&gt; A duração da bateria de espera melhorou "&amp;"substancialmente. do que antes.&gt; Nenhuma melhora nos níveis sonoros. Ainda 40% inicial é muito silencioso.&gt; Não Dolby Atomos (que foi mencionado para o OOS 13). Talvez, para aguardar a atualização estável.&gt; A latência de brilho automático é maior do que a"&amp;"ntes. O tempo de resposta está aumentado. ========================================= revisão 1: Verdict - Uma boa compra neste Faixa de preço em 2022. Nota:- Esta revisão é após o uso de um mês. A variante de 128 GB é bastante adequada para um uso normal. "&amp;"Nenhuma diferença perceptível observada. (Em aspecto não-gaming)- nada de grande ou observando pior nos parâmetros não mencionados. Velocidade de download muito rápida. Nenhum aquecimento do celular (apenas um leve aquecimento) durante o carregamento.&gt; St"&amp;"and By Charge e SOT é fantástico (ainda mais de 7,5 horas, para vídeos, YT e tarefas e chamadas gerais, mesmo em dados móveis sempre ON e AOD definido para economizar bateria .&gt; Oxigênio os = cor os/realme os - bloatware. A pele é realmente boa e nada par"&amp;"a reclamar como a interface do usuário de outras marcas. Os aplicativos são ""não instaláveis"". Nenhum dos grandes insetos que incomodam até a data. Frente) não está bem calibrado. O brilho está sempre no lado inferior e o aumento manual frequente necess"&amp;"ário. % de nível. Os alto -falantes estéreo são 70 % inferiores e 30 % de ouvido. Mas o volume total não distorce e é alto o suficiente.&gt; Os hápticos são apertados, mas não fortes, mesmo em níveis mais altos. Eficaz apenas poste 40% e melhor apenas a 90%)"&amp;"&gt; O hotspot drena a bateria rapidamente (mesmo uma notificação de aviso aparece). Além disso, o Chrome e o Google App comem a bateria rapidamente. Downloads paralelos deixam a área perto do módulo da câmera quente). Painel de notificação.&gt; O DAC Inbuild ("&amp;"não 3,5 mm de orifício e apenas porta Type-C) não é ótimo. O equalizador DIRAC também não está produzindo a melhor saída. Talvez o suporte Dolby Atmos no OOS 13 possa melhorar a saída de áudio. No geral, é um bom telefone celular. A velocidade e a interfa"&amp;"ce são boas, mas esperam que a bateria dure muito. Não muito, eu sempre o mantenho no modo de economia de bateria e trabalho por cerca de 18 a 20 horas em uso normal. Não há muitos temas disponíveis. A Samsung é melhor nesse sentido. Existem muitos papéis"&amp;" de parede e temas disponíveis. A tela é clara e a câmera também é boa! No geral, tudo bem., Eu recebi esta variante móvel (12 GB, 25 GB de RAM) a 31k após 3K de desconto no cartão de crédito ICICI. Por esse preço, é necessário comprar. Estou usando este "&amp;"produto desde as últimas 2 semanas. A câmera é muito boa e a Os alto -falantes de tela e esterio também estão funcionando muito bem. A única reclamação que posso dizer é que a duração da bateria poderia ter sido melhor, como profissional que trabalha, não"&amp;" faz muita diferença para mim, mas quem é um usuário pesado que eles precisam cobrar Duas vezes por dia. Se você não tiver problemas com a seção da bateria, basta optar por isso. Descanse tudo bem. Tenho que recarregar duas vezes por dia, não compre se vo"&amp;"cê quiser um bom backup da bateria. Mesmo que o telefone seja de carga rápida, estou decepcionado com a duração da bateria. Comprei 12 GB e 256 e está funcionando muito bem, Para uso regular normal, você pode ir em frente., há problemas com a parte do vid"&amp;"ro do temperamento, a área da área frontal tem temperatura de vidro que não está instalando, boa, mas não tão rápido quanto eu acho que 12 GB 256 é comum como 8 GB., Além da qualidade da bateria e do som, Todo o resto é bom.")</f>
        <v>Veredicto: Uma compra sólida para este segmento de preços em 2022 (e mesmo para o início de 2023), existem 2 revisões nesta seção. A revisão 1 é 30 dias após a compra (os erros de digitação na revisão 1 são corrigidos agora) e a revisão 2 é 15 dias após a atualização do Android 13. Essas revisões são baseadas em minha própria experiência pessoal do dispositivo adquirido aqui na Amazon em 1 de agosto de 20222. Antes da atualização do OOS 13, o 5G (apenas para o JIO) foi ativado por outra atualização. 5G ainda não está disponível na minha região. Portanto, os parâmetros relacionados ao 5G não são abordados nesta revisão. UP.I.E., não houve; não há problemas relacionados ao aquecimento.Não drenagem rápida da bateria.Não alteração no tempo de carregamento. Não é irritante Bugs.Não alteração no desempenho da câmera.beta Atualização é principalmente como uma atualização estável. Revisão: Delictos:&gt; Nenhum novo aplicativo adicionado. Absolutamente não.&gt; O consumo de armazenamento do sistema permanece o mesmo (13,2 GB).&gt; As animações são mais fluídicas.&gt; Mais recursos da interface do usuário de personalização adicionados. (Widgets de escoteiros na tela inicial, pasta ampliada e lote mais.)&gt; O uso diário de dados está disponível no painel de notificação e não precisa ser redefinido diariamente diferentemente. Antecedentes e tela também (mesmo para o YouTube) (realmente um recurso de boas-vindas e saudades, que outras UIs da marca não tiveram ou apenas com a tela desligada)&gt; A duração da bateria de espera melhorou substancialmente. do que antes.&gt; Nenhuma melhora nos níveis sonoros. Ainda 40% inicial é muito silencioso.&gt; Não Dolby Atomos (que foi mencionado para o OOS 13). Talvez, para aguardar a atualização estável.&gt; A latência de brilho automático é maior do que antes. O tempo de resposta está aumentado. ========================================= revisão 1: Verdict - Uma boa compra neste Faixa de preço em 2022. Nota:- Esta revisão é após o uso de um mês. A variante de 128 GB é bastante adequada para um uso normal. Nenhuma diferença perceptível observada. (Em aspecto não-gaming)- nada de grande ou observando pior nos parâmetros não mencionados. Velocidade de download muito rápida. Nenhum aquecimento do celular (apenas um leve aquecimento) durante o carregamento.&gt; Stand By Charge e SOT é fantástico (ainda mais de 7,5 horas, para vídeos, YT e tarefas e chamadas gerais, mesmo em dados móveis sempre ON e AOD definido para economizar bateria .&gt; Oxigênio os = cor os/realme os - bloatware. A pele é realmente boa e nada para reclamar como a interface do usuário de outras marcas. Os aplicativos são "não instaláveis". Nenhum dos grandes insetos que incomodam até a data. Frente) não está bem calibrado. O brilho está sempre no lado inferior e o aumento manual frequente necessário. % de nível. Os alto -falantes estéreo são 70 % inferiores e 30 % de ouvido. Mas o volume total não distorce e é alto o suficiente.&gt; Os hápticos são apertados, mas não fortes, mesmo em níveis mais altos. Eficaz apenas poste 40% e melhor apenas a 90%)&gt; O hotspot drena a bateria rapidamente (mesmo uma notificação de aviso aparece). Além disso, o Chrome e o Google App comem a bateria rapidamente. Downloads paralelos deixam a área perto do módulo da câmera quente). Painel de notificação.&gt; O DAC Inbuild (não 3,5 mm de orifício e apenas porta Type-C) não é ótimo. O equalizador DIRAC também não está produzindo a melhor saída. Talvez o suporte Dolby Atmos no OOS 13 possa melhorar a saída de áudio. No geral, é um bom telefone celular. A velocidade e a interface são boas, mas esperam que a bateria dure muito. Não muito, eu sempre o mantenho no modo de economia de bateria e trabalho por cerca de 18 a 20 horas em uso normal. Não há muitos temas disponíveis. A Samsung é melhor nesse sentido. Existem muitos papéis de parede e temas disponíveis. A tela é clara e a câmera também é boa! No geral, tudo bem., Eu recebi esta variante móvel (12 GB, 25 GB de RAM) a 31k após 3K de desconto no cartão de crédito ICICI. Por esse preço, é necessário comprar. Estou usando este produto desde as últimas 2 semanas. A câmera é muito boa e a Os alto -falantes de tela e esterio também estão funcionando muito bem. A única reclamação que posso dizer é que a duração da bateria poderia ter sido melhor, como profissional que trabalha, não faz muita diferença para mim, mas quem é um usuário pesado que eles precisam cobrar Duas vezes por dia. Se você não tiver problemas com a seção da bateria, basta optar por isso. Descanse tudo bem. Tenho que recarregar duas vezes por dia, não compre se você quiser um bom backup da bateria. Mesmo que o telefone seja de carga rápida, estou decepcionado com a duração da bateria. Comprei 12 GB e 256 e está funcionando muito bem, Para uso regular normal, você pode ir em frente., há problemas com a parte do vidro do temperamento, a área da área frontal tem temperatura de vidro que não está instalando, boa, mas não tão rápido quanto eu acho que 12 GB 256 é comum como 8 GB., Além da qualidade da bateria e do som, Todo o resto é bom.</v>
      </c>
    </row>
    <row r="409">
      <c r="A409" s="9" t="s">
        <v>1684</v>
      </c>
      <c r="B409" s="29" t="str">
        <f>VLOOKUP(dados!A409, reviews!A:G, 5, FALSE)</f>
        <v>Nice and soft product,IN PICTURE SHOWS AS 16 NOS BUT IN COVER ONLY 8 NOS,Usefull! Bought 3 packs in Rs 99 each containing 4 pieces,Quality Product at affordable price,It helps to hold the joints. But not from the USB level,Very third grade quality,Only two packs came,Cool Product</v>
      </c>
      <c r="C409" s="29" t="str">
        <f>VLOOKUP(dados!A409, reviews!A:G, 6, FALSE)</f>
        <v>Very nice product and easy to use as well as very soft to cable.,IN PICTURE SHOWS AS 16 NOS BUT IN COVER ONLY 8 NOS,Easy to attach with usb cable. Bought total 12 pieces in Rs99. Loved it ❤️,Quality product,So far ok. Will hold the wire connecting after the USB joints. But couldn't stop it from bending,Don’t even think of buying this by just looking at the cheap price of this product as it has been made by cheap quality plastic which can not protect your cables as it is not at all sturdy so please don’t buy,Only two packs came,The product is cool. Value for money. Love it</v>
      </c>
      <c r="D409" s="29" t="str">
        <f>IFERROR(__xludf.DUMMYFUNCTION("GOOGLETRANSLATE(B409, ""en"", ""pt-br"")"),"Produto agradável e macio, na imagem mostra como 16 nos, mas na capa apenas 8 nos, útil! Comprou 3 pacotes em Rs 99, cada um contendo 4 peças, produto de qualidade a preço acessível, ajuda a manter as juntas. Mas não do nível USB, qualidade da terceira sé"&amp;"rie, apenas dois pacotes vieram, produto legal")</f>
        <v>Produto agradável e macio, na imagem mostra como 16 nos, mas na capa apenas 8 nos, útil! Comprou 3 pacotes em Rs 99, cada um contendo 4 peças, produto de qualidade a preço acessível, ajuda a manter as juntas. Mas não do nível USB, qualidade da terceira série, apenas dois pacotes vieram, produto legal</v>
      </c>
      <c r="E409" s="29" t="str">
        <f>IFERROR(__xludf.DUMMYFUNCTION("GOOGLETRANSLATE(C409, ""en"", ""pt-br"")"),"Produto muito bom e fácil de usar, bem como muito macio ao cabo., Na imagem, é exibido como 16 NOS, mas na capa apenas 8 nos, fácil de anexar com o cabo USB. Comprei o total de 12 peças em Rs99. Adorei ❤️, produto de qualidade, até agora ok. Manterá o fio"&amp;" conectado após as juntas USB. Mas não conseguiu impedir que isso se curva, nem pense em comprá -lo apenas olhando o preço barato deste produto, pois foi feito por plástico de qualidade barato, que não pode proteger seus cabos, pois não é de todo robusto,"&amp;" então Por favor, não compre, apenas dois pacotes vieram, o produto é legal. Custo-benefício. Adoro")</f>
        <v>Produto muito bom e fácil de usar, bem como muito macio ao cabo., Na imagem, é exibido como 16 NOS, mas na capa apenas 8 nos, fácil de anexar com o cabo USB. Comprei o total de 12 peças em Rs99. Adorei ❤️, produto de qualidade, até agora ok. Manterá o fio conectado após as juntas USB. Mas não conseguiu impedir que isso se curva, nem pense em comprá -lo apenas olhando o preço barato deste produto, pois foi feito por plástico de qualidade barato, que não pode proteger seus cabos, pois não é de todo robusto, então Por favor, não compre, apenas dois pacotes vieram, o produto é legal. Custo-benefício. Adoro</v>
      </c>
    </row>
    <row r="410">
      <c r="A410" s="9" t="s">
        <v>1690</v>
      </c>
      <c r="B410" s="29" t="str">
        <f>VLOOKUP(dados!A410, reviews!A:G, 5, FALSE)</f>
        <v>For the price tag it's really worth buying.,OK types,ONLY FOR GAMERS,Earphone case was not there,Budget gaming and music earphone,Ok good,Product is good but the accessories like the pouch is not provided as mentioned in the description,product is good but not for this price</v>
      </c>
      <c r="C410" s="29" t="str">
        <f>VLOOKUP(dados!A410, reviews!A:G, 6, FALSE)</f>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v>
      </c>
      <c r="D410" s="29" t="str">
        <f>IFERROR(__xludf.DUMMYFUNCTION("GOOGLETRANSLATE(B410, ""en"", ""pt-br"")"),"Para o preço que realmente vale a pena comprar., OK Tipos, apenas para jogadores, o capa do fone de ouvido não estava lá, o orçamento e o fone de ouvido com música, ok bom, o produto é bom, mas os acessórios como a bolsa não são fornecidos conforme mencio"&amp;"nado na descrição, O produto é bom, mas não por este preço")</f>
        <v>Para o preço que realmente vale a pena comprar., OK Tipos, apenas para jogadores, o capa do fone de ouvido não estava lá, o orçamento e o fone de ouvido com música, ok bom, o produto é bom, mas os acessórios como a bolsa não são fornecidos conforme mencionado na descrição, O produto é bom, mas não por este preço</v>
      </c>
      <c r="E410" s="29" t="str">
        <f>IFERROR(__xludf.DUMMYFUNCTION("GOOGLETRANSLATE(C410, ""en"", ""pt-br"")"),"Então, sobre o produto BOOM Ultima, pois ele tem o nome que realmente obteve o efeito de graves definitivos. Os fios são ótimos construídos e sem emaranhado. A tomada de áudio é compatível com quase todos os dispositivos e seu ouro banhado também. Eu só n"&amp;"ão encontrei o caso. Faltava do meu produto. Embora tenham dado 2 pares de brotos extras com tamanhos diferentes. No geral, é um ótimo fio em fones de ouvido de microfone. Vá em frente e adicione ao seu carrinho. Você não se arrepende. Então, primeiro, va"&amp;"mos falar sobre a qualidade do bulídeo externo é incrível 9/10, mesmo a um preço tão acessível. é 9/10. Eu tenho esses fones de ouvido de 4 meses e estes não emaranhados desde então. Além disso, o revestimento de borracha e os fios trançados internos ofer"&amp;"ecem um efeito bonito. Mas 1 coisa que eu vi é a peça do meio que possui um microfone e botões é revertida de 180 graus. Então, muitas vezes é difícil escolher o fone de ouvido direito ou esquerdo sem ver. Mas é mencionado nos fones de ouvido, então isso "&amp;"se torna fácil. Agora, sobre a parte principal da qualidade interna. A qualidade do som é tão agradável. 😊 como você pode ver no meu título. Sólido 8/10. Você pode ouvir qualquer música como lofi ou tipo pacífico e quando chegar a hora de uma festa, você"&amp;" pode ouvir rock, músicas impulsionadas com uma qualidade tão adorável é a definição verdadeira para o som verdadeiro e a preços baratos. A qualidade da base também é boa. as orelhas. E se você quer graves altos, eu tentei com o Max Bass que ele pode prod"&amp;"uzir e isso é incrível. Mas não ouça baixo por muito tempo. Aqueles podem machucar seus ouvidos muito ruins. Mas o cancelamento de noice é 4/10.. Talvez seja mencionado para o microfone não para o fone de ouvido. Às vezes, menos de 400 (depende da venda),"&amp;" mas a qualidade e os serviços desses produtos não são inferiores a um fone de ouvido de 2000 RS.in, um passado, um do meu fone de ouvido morreu, mas o Coustmer Care é tão generoso que os serviços são tão legais e rápidos. Então, esses foram substituídos "&amp;"em 3 dias. (São 3 dias porque esqueci o ESLIP, se você os enviar por e -mail com EVERTING PRONTO, não levará mais de 2 dias úteis) É uma revisão honesta para mim e eu definitivamente sugerirei que você, mas estes. ☺️Idited: -Eram seus serviços são mais le"&amp;"ntos agora. Não sei por que e leva cerca de 1. 5 semanas a 2 semanas para obter o reembolso. Se algo acontecer com seus fones de ouvido. Além disso, já faz 1 ano de 1-9-21 e eu vi alguma tendência com ele. Meus fones de ouvido dos meus irmãos param de pro"&amp;"duzir som de um lado evey por 4 meses ou soluços de mina, os fones de ouvido estão comigo por 5 meses. Não é um problema, embora você possa enviá -los para isso sobre isso. Isso aconteceu comigo mesmo com cuidados extra adequados do fone de ouvido. , que "&amp;"não estava lá dentro (apenas fone de ouvido e alguns ouvidos estavam lá), esse alcance muito bom produto. Não é fornecido como mencionado na descrição na segunda entrega também, apesar do retorno da primeira entrega do produto para substituição pela bolsa"&amp;", o produto é bom, mas precisa trabalhar com cancelamento de ruído")</f>
        <v>Então, sobre o produto BOOM Ultima, pois ele tem o nome que realmente obteve o efeito de graves definitivos. Os fios são ótimos construídos e sem emaranhado. A tomada de áudio é compatível com quase todos os dispositivos e seu ouro banhado também. Eu só não encontrei o caso. Faltava do meu produto. Embora tenham dado 2 pares de brotos extras com tamanhos diferentes. No geral, é um ótimo fio em fones de ouvido de microfone. Vá em frente e adicione ao seu carrinho. Você não se arrepende. Então, primeiro, vamos falar sobre a qualidade do bulídeo externo é incrível 9/10, mesmo a um preço tão acessível. é 9/10. Eu tenho esses fones de ouvido de 4 meses e estes não emaranhados desde então. Além disso, o revestimento de borracha e os fios trançados internos oferecem um efeito bonito. Mas 1 coisa que eu vi é a peça do meio que possui um microfone e botões é revertida de 180 graus. Então, muitas vezes é difícil escolher o fone de ouvido direito ou esquerdo sem ver. Mas é mencionado nos fones de ouvido, então isso se torna fácil. Agora, sobre a parte principal da qualidade interna. A qualidade do som é tão agradável. 😊 como você pode ver no meu título. Sólido 8/10. Você pode ouvir qualquer música como lofi ou tipo pacífico e quando chegar a hora de uma festa, você pode ouvir rock, músicas impulsionadas com uma qualidade tão adorável é a definição verdadeira para o som verdadeiro e a preços baratos. A qualidade da base também é boa. as orelhas. E se você quer graves altos, eu tentei com o Max Bass que ele pode produzir e isso é incrível. Mas não ouça baixo por muito tempo. Aqueles podem machucar seus ouvidos muito ruins. Mas o cancelamento de noice é 4/10.. Talvez seja mencionado para o microfone não para o fone de ouvido. Às vezes, menos de 400 (depende da venda), mas a qualidade e os serviços desses produtos não são inferiores a um fone de ouvido de 2000 RS.in, um passado, um do meu fone de ouvido morreu, mas o Coustmer Care é tão generoso que os serviços são tão legais e rápidos. Então, esses foram substituídos em 3 dias. (São 3 dias porque esqueci o ESLIP, se você os enviar por e -mail com EVERTING PRONTO, não levará mais de 2 dias úteis) É uma revisão honesta para mim e eu definitivamente sugerirei que você, mas estes. ☺️Idited: -Eram seus serviços são mais lentos agora. Não sei por que e leva cerca de 1. 5 semanas a 2 semanas para obter o reembolso. Se algo acontecer com seus fones de ouvido. Além disso, já faz 1 ano de 1-9-21 e eu vi alguma tendência com ele. Meus fones de ouvido dos meus irmãos param de produzir som de um lado evey por 4 meses ou soluços de mina, os fones de ouvido estão comigo por 5 meses. Não é um problema, embora você possa enviá -los para isso sobre isso. Isso aconteceu comigo mesmo com cuidados extra adequados do fone de ouvido. , que não estava lá dentro (apenas fone de ouvido e alguns ouvidos estavam lá), esse alcance muito bom produto. Não é fornecido como mencionado na descrição na segunda entrega também, apesar do retorno da primeira entrega do produto para substituição pela bolsa, o produto é bom, mas precisa trabalhar com cancelamento de ruído</v>
      </c>
    </row>
    <row r="411">
      <c r="A411" s="9" t="s">
        <v>1694</v>
      </c>
      <c r="B411" s="29" t="str">
        <f>VLOOKUP(dados!A411, reviews!A:G, 5, FALSE)</f>
        <v>Phone, camera, heating - works for me, may not for all,Good Mobile,Good but not excellent under this budget,Worth the price at 9499,Ok type phone... but unable to make videocall within same service provider.,Phone review,Budget king,Battery backup is good</v>
      </c>
      <c r="C411" s="29" t="str">
        <f>VLOOKUP(dados!A411, reviews!A:G,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D411" s="29" t="str">
        <f>IFERROR(__xludf.DUMMYFUNCTION("GOOGLETRANSLATE(B411, ""en"", ""pt-br"")"),"Telefone, câmera, aquecimento - funciona para mim, pode não para todos, bom celular, bom, mas não excelente sob esse orçamento, vale o preço em 9499, ok tipo telefone ... mas não consegue fazer videocall no mesmo provedor de serviços., Telefone Revisão, o"&amp;"rçamento rei, backup de bateria é bom")</f>
        <v>Telefone, câmera, aquecimento - funciona para mim, pode não para todos, bom celular, bom, mas não excelente sob esse orçamento, vale o preço em 9499, ok tipo telefone ... mas não consegue fazer videocall no mesmo provedor de serviços., Telefone Revisão, orçamento rei, backup de bateria é bom</v>
      </c>
      <c r="E411" s="29" t="str">
        <f>IFERROR(__xludf.DUMMYFUNCTION("GOOGLETRANSLATE(C411, ""en"", ""pt-br"")"),"Não sou grande uso da câmera, pessoalmente. Eu até estava mentalmente preparado para uma câmera ruim, com base em alguns comentários aqui. Mas fiquei agradavelmente surpreso que a câmera clique em boas fotos. Eles não são impressionantes, mas são fotos de"&amp;"centes que podem até ser compartilhadas. Agora, chegando ao meu maior galope; problema de aquecimento. O telefone começou a esquentar durante o carregamento, mas era apenas um pouco e eu poderia ter ignorado. Mas então começou a esquentar mais e me deixou"&amp;" muito preocupado. Eu até pedi um substituto pensando que recebi uma peça defeituosa. Mas depois, após mais testes, descobri que está aquecendo mais quando baixo grandes quantidades de dados, por exemplo, quando restaurar os dados do meu telefone antigo, "&amp;"de backup. Tudo bem comigo, pois, eu não executo enormes dados de dados regularmente, definitivamente não no telefone. Então eu testei executando tarefas que normalmente realizo, como verificação de e -mails do Office, participando da reunião do escritóri"&amp;"o por telefone, assistindo a um vídeo da Amazon Prime e assim por diante. O telefone não esquentou nem um pouco. Pessoalmente, isso é bom para mim. Nesta faixa de preço, este é um bom telefone. Mas se você é um usuário pesado da câmera e espera executar d"&amp;"ownloads pesados ​​com frequência, este telefone pode não para você. Estou pessoalmente satisfeito com este telefone, pois ele funciona para o meu tipo de uso. Não vou entrar em pontos positivos deste telefone, pois eles já estão cobertos por outras críti"&amp;"cas. Estou apenas tentando esclarecer como este telefone pode se adequar a você (ou não) em termos de câmera e aquecimento. Eu tive muitas perguntas sobre esses aspectos antes de comprar. Talvez esta revisão o ajude a tomar uma decisão informada de compra"&amp;"r (ou evitar). Cheers., Display - Beautycamera - DecentPerformance - AmazingBattery - OK (em 5000mAh, você espera mais TBH). Este telefone, mas continuarei atualizando esta revisão após 1 meses de uso!, É um celular decente sob esse preço, mas poucas cois"&amp;"as me preocuparam, o peso do telefone, muitos procedimentos para alterar algumas configurações, sem fundição de tela. Além disso, tem um bom toque, uma câmera decente para a luz do dia, a duração da bateria é boa. Comprei este smartphone para minha mãe. A"&amp;" interface Samusung é muito punhada para facilitar o uso. A bateria é excelente, o último dia inteiro. A câmera é medíocre, mas fornece imagens coloridas originais. No geral, está satisfeito com este smartphone que recebi à venda por 9499., não conseguiu "&amp;"fazer videochamadas dentro do mesmo provedor de serviços que em VoLTE no mesmo recurso de chamada de videochamada do provedor de serviços está disponível., O produto está bem. Nada chique, mas para o orçamento, é um bom telefone., Bateria: mais do que suf"&amp;"iciente para uso normal, não tenho certeza em gamingcamera: bom neste segmento, pode gravar vídeos em FHD 30fpsDisplay: como é uma tela LCD, a qualidade é um pouco menor, Mas Goodv Ram: você pode adicionar até 2 GB de RAM virtual, mas precisa sacrificar s"&amp;"eu espaço de armazenamento para usá -lo em geral um bom telefone orçamentário, a impressão digital está funcionando com o backup rápido da bateria é boa a qualidade da câmera também é boa")</f>
        <v>Não sou grande uso da câmera, pessoalmente. Eu até estava mentalmente preparado para uma câmera ruim, com base em alguns comentários aqui. Mas fiquei agradavelmente surpreso que a câmera clique em boas fotos. Eles não são impressionantes, mas são fotos decentes que podem até ser compartilhadas. Agora, chegando ao meu maior galope; problema de aquecimento. O telefone começou a esquentar durante o carregamento, mas era apenas um pouco e eu poderia ter ignorado. Mas então começou a esquentar mais e me deixou muito preocupado. Eu até pedi um substituto pensando que recebi uma peça defeituosa. Mas depois, após mais testes, descobri que está aquecendo mais quando baixo grandes quantidades de dados, por exemplo, quando restaurar os dados do meu telefone antigo, de backup. Tudo bem comigo, pois, eu não executo enormes dados de dados regularmente, definitivamente não no telefone. Então eu testei executando tarefas que normalmente realizo, como verificação de e -mails do Office, participando da reunião do escritório por telefone, assistindo a um vídeo da Amazon Prime e assim por diante. O telefone não esquentou nem um pouco. Pessoalmente, isso é bom para mim. Nesta faixa de preço, este é um bom telefone. Mas se você é um usuário pesado da câmera e espera executar downloads pesados ​​com frequência, este telefone pode não para você. Estou pessoalmente satisfeito com este telefone, pois ele funciona para o meu tipo de uso. Não vou entrar em pontos positivos deste telefone, pois eles já estão cobertos por outras críticas. Estou apenas tentando esclarecer como este telefone pode se adequar a você (ou não) em termos de câmera e aquecimento. Eu tive muitas perguntas sobre esses aspectos antes de comprar. Talvez esta revisão o ajude a tomar uma decisão informada de comprar (ou evitar). Cheers., Display - Beautycamera - DecentPerformance - AmazingBattery - OK (em 5000mAh, você espera mais TBH). Este telefone, mas continuarei atualizando esta revisão após 1 meses de uso!, É um celular decente sob esse preço, mas poucas coisas me preocuparam, o peso do telefone, muitos procedimentos para alterar algumas configurações, sem fundição de tela. Além disso, tem um bom toque, uma câmera decente para a luz do dia, a duração da bateria é boa. Comprei este smartphone para minha mãe. A interface Samusung é muito punhada para facilitar o uso. A bateria é excelente, o último dia inteiro. A câmera é medíocre, mas fornece imagens coloridas originais. No geral, está satisfeito com este smartphone que recebi à venda por 9499., não conseguiu fazer videochamadas dentro do mesmo provedor de serviços que em VoLTE no mesmo recurso de chamada de videochamada do provedor de serviços está disponível., O produto está bem. Nada chique, mas para o orçamento, é um bom telefone., Bateria: mais do que suficiente para uso normal, não tenho certeza em gamingcamera: bom neste segmento, pode gravar vídeos em FHD 30fpsDisplay: como é uma tela LCD, a qualidade é um pouco menor, Mas Goodv Ram: você pode adicionar até 2 GB de RAM virtual, mas precisa sacrificar seu espaço de armazenamento para usá -lo em geral um bom telefone orçamentário, a impressão digital está funcionando com o backup rápido da bateria é boa a qualidade da câmera também é boa</v>
      </c>
    </row>
    <row r="412">
      <c r="A412" s="9" t="s">
        <v>1698</v>
      </c>
      <c r="B412" s="29" t="str">
        <f>VLOOKUP(dados!A412, reviews!A:G, 5, FALSE)</f>
        <v>Best option in 35k category.,Terrific purchase,A highly priced smart phone.,Can't get better at this cost. Review after one month of use.,Oxygen OS is providing poor experience, overall device is okay.,Ammazing Product,Okay</v>
      </c>
      <c r="C412" s="29" t="str">
        <f>VLOOKUP(dados!A412, reviews!A:G, 6, FALSE)</f>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v>
      </c>
      <c r="D412" s="29" t="str">
        <f>IFERROR(__xludf.DUMMYFUNCTION("GOOGLETRANSLATE(B412, ""en"", ""pt-br"")"),"Melhor opção na categoria 35k., Compra fantástica, um telefone inteligente com preços altamente, não pode melhorar a esse custo. Revisão após um mês de uso., Oxigênio OS está oferecendo pouca experiência, o dispositivo geral é bom., Produto de munição, ok")</f>
        <v>Melhor opção na categoria 35k., Compra fantástica, um telefone inteligente com preços altamente, não pode melhorar a esse custo. Revisão após um mês de uso., Oxigênio OS está oferecendo pouca experiência, o dispositivo geral é bom., Produto de munição, ok</v>
      </c>
      <c r="E412" s="29" t="str">
        <f>IFERROR(__xludf.DUMMYFUNCTION("GOOGLETRANSLATE(C412, ""en"", ""pt-br"")"),"Estou usando o OnePlus 10R 8GB 128 GB mais de um mês. É o meu primeiro telefone OnePlus. Minha revisão pessoal sobre este telefone é como abaixo: Prós: 1. O design quadrado parece bom, mas não é tão premium, mas se você usar a cobertura, é bom. A qualidad"&amp;"e da capa é muito boa. A tela é brilhante, mesmo sob luz solar, se você selecionar o brilho automático. Também a cor da tela e a resposta do toque parecem premium. A duração da bateria é muito impressionante com backup de 1,5 dias com uso normal. O carreg"&amp;"ador de 80 watts é muito rápido, que carrega seu telefone dentro de 30 a 35 minutos.5. Eu não sou um jogador pesado, mas tentei asfalt 9, que funciona muito bem. Acho que ele jogará jogos pesados ​​sem problemas. Então ele tem um bom desempenho. Eu sou no"&amp;"vo para usar o oxigênio OS. Eu me sinto premium e suave sem adds.7. Fotos traseiras das fotos muito boas, mas a câmera selfie precisa de alguma melhoria que eu acho que possa ser feita através da atualização do software. Sem problema de aquecimento. Light"&amp;"weight.Cons: 1. Se você usa sem estojo, não parece telefone premium. Não gosto da qualidade do som, embora seja um alto -falante duplo. Você pode sentir vibração em seu pannel traseiro, que parece muito ruim. A câmera de selfie precisa de melhorias. O zoo"&amp;"m é muito ruim na câmera traseira. Sem certificação IP.6. Sem armazenamento descartável. Loja de temas pagos. Deve ter algumas animações de ponto de ponto como a Samsung. Por fim, posso dizer que é um bom telefone com alguns contras, se você deseja um sma"&amp;"rtphone OnePlus dentro de Rs. 35000/- você pode ir em frente., Compra fantástica ao preço de 33k. Corpo, sinto que não é o corpo OnePlus, mas também era o usuário de uma mais no passado. Os lados metálicos podem ser uma opção melhor. Às vezes, sinto -me e"&amp;"m contato, embora seja para microssegundos, mas está lá. A qualidade da câmera é boa, não incrível. A duração da bateria é boa que eu costumava carregar uma vez e um dia pode ser concluído pelo ITM, obviamente, comprei, pois é uma das opções acessíveis em"&amp;" termos de marca. Adoro ver quadros metálicos nos próximos telefones. O armazenamento é tremendo e a velocidade também é boa. Mas a duração da bateria não é boa o suficiente, porém, diz 5000 mAh. A qualidade da câmera não é boa o suficiente neste segmento"&amp;" de preços. Embora seja o oxigênio OS, ele não é bem otimizado. Desde o início, haverá algum problema de atraso em alguns aplicativos. Outra coisa ruim sobre este telefone inteligente é o seu fator de forma. A empresa que leva cerca de 39 mil, mas dando a"&amp;"penas um corpo de plástico que se parece abaixo de 20k. Se alguém quiser comprar isso, sugiro comprar outro modelo, não vá para este modelo por causa da marca. Uma coisa boa é que o OnePlus prometeu três grandes atualizações do Android e quatro anos de at"&amp;"ualização de segurança. Outra coisa ruim é o design da câmera principal. Uma das três câmeras é tão grande que está abraçando dizer que seu preço é 39k., Gostaria de chegar diretamente aos prós e conspri.1) Bateria - a primeira e a melhor coisa sobre este"&amp;" telefone é a maldita duração da bateria e quão rápido ele cobra. É incrível e eu fui estragado com isso agora, não vou mais ajustar com um desempenho e carregamento menores da bateria! 2. Câmera- A câmera é incrível e tira algumas fotos realmente incríve"&amp;"is. Sem queixas. Looks - O telefone está muito bonito. Eu peguei a cor verde da floresta e parece simplesmente incrível e é atraente e com aparência premium.CONS1) O funcionamento geral do telefone não é tão contínuo quanto deve receber o hardware do qual"&amp;" ele se orgulha. Dito isto, o fator não pode ser um impedimento de compra. Caso contrário, é bastante suave2) A ausência de um controle deslizante de alerta foi decepcionado. Eu estava acostumado com isso no meu volume 6t3) - não muito feliz com os alto -"&amp;"falantes do telefone. De alguma forma, eles não estão à altura. Ele é demais para um telefone de 43k - boa bateria, carregamento mais rápido no segmento, aparência premium, bom desempenho., Usando o telefone depois de dois dias, notei uma experiência estr"&amp;"anha com a interface do usuário, tocando em áreas cinza ou preto que os filmes de tela para essa porção E, de acordo com o Service Center, seu problema comum em todos os telefones e é corrigido pela atualização do Oxygen 13, pois não houve problema com o "&amp;"10Pro.Se precisamos fazer nada além de esperar para lançar a nova atualização do sistema operacional no 10R e outros modelos também. Dispositivo geral funcionando bem até agora eu experimentei os resultados médios da câmera, carregamento soberbo, mas não "&amp;"tão prolongada, sensor de toque e alto -falantes são bons e o desempenho é bom nas minhas tarefas diárias, espero que as atualizações da interface do usuário e do sistema operacional ajudem a entregar o melhor disso telefone. Photo20x Zoom LG Pic e eu eu "&amp;"expiramos as fotos da noite e do dia para comparar o dispositivo de uma plus, seu alto -falante não está realmente funcionando bem usando -o, já Ok, não é que o bom microfone também está perturbando muito enquanto fala do outro lado Pessoa recebe muita pe"&amp;"rturbação")</f>
        <v>Estou usando o OnePlus 10R 8GB 128 GB mais de um mês. É o meu primeiro telefone OnePlus. Minha revisão pessoal sobre este telefone é como abaixo: Prós: 1. O design quadrado parece bom, mas não é tão premium, mas se você usar a cobertura, é bom. A qualidade da capa é muito boa. A tela é brilhante, mesmo sob luz solar, se você selecionar o brilho automático. Também a cor da tela e a resposta do toque parecem premium. A duração da bateria é muito impressionante com backup de 1,5 dias com uso normal. O carregador de 80 watts é muito rápido, que carrega seu telefone dentro de 30 a 35 minutos.5. Eu não sou um jogador pesado, mas tentei asfalt 9, que funciona muito bem. Acho que ele jogará jogos pesados ​​sem problemas. Então ele tem um bom desempenho. Eu sou novo para usar o oxigênio OS. Eu me sinto premium e suave sem adds.7. Fotos traseiras das fotos muito boas, mas a câmera selfie precisa de alguma melhoria que eu acho que possa ser feita através da atualização do software. Sem problema de aquecimento. Lightweight.Cons: 1. Se você usa sem estojo, não parece telefone premium. Não gosto da qualidade do som, embora seja um alto -falante duplo. Você pode sentir vibração em seu pannel traseiro, que parece muito ruim. A câmera de selfie precisa de melhorias. O zoom é muito ruim na câmera traseira. Sem certificação IP.6. Sem armazenamento descartável. Loja de temas pagos. Deve ter algumas animações de ponto de ponto como a Samsung. Por fim, posso dizer que é um bom telefone com alguns contras, se você deseja um smartphone OnePlus dentro de Rs. 35000/- você pode ir em frente., Compra fantástica ao preço de 33k. Corpo, sinto que não é o corpo OnePlus, mas também era o usuário de uma mais no passado. Os lados metálicos podem ser uma opção melhor. Às vezes, sinto -me em contato, embora seja para microssegundos, mas está lá. A qualidade da câmera é boa, não incrível. A duração da bateria é boa que eu costumava carregar uma vez e um dia pode ser concluído pelo ITM, obviamente, comprei, pois é uma das opções acessíveis em termos de marca. Adoro ver quadros metálicos nos próximos telefones. O armazenamento é tremendo e a velocidade também é boa. Mas a duração da bateria não é boa o suficiente, porém, diz 5000 mAh. A qualidade da câmera não é boa o suficiente neste segmento de preços. Embora seja o oxigênio OS, ele não é bem otimizado. Desde o início, haverá algum problema de atraso em alguns aplicativos. Outra coisa ruim sobre este telefone inteligente é o seu fator de forma. A empresa que leva cerca de 39 mil, mas dando apenas um corpo de plástico que se parece abaixo de 20k. Se alguém quiser comprar isso, sugiro comprar outro modelo, não vá para este modelo por causa da marca. Uma coisa boa é que o OnePlus prometeu três grandes atualizações do Android e quatro anos de atualização de segurança. Outra coisa ruim é o design da câmera principal. Uma das três câmeras é tão grande que está abraçando dizer que seu preço é 39k., Gostaria de chegar diretamente aos prós e conspri.1) Bateria - a primeira e a melhor coisa sobre este telefone é a maldita duração da bateria e quão rápido ele cobra. É incrível e eu fui estragado com isso agora, não vou mais ajustar com um desempenho e carregamento menores da bateria! 2. Câmera- A câmera é incrível e tira algumas fotos realmente incríveis. Sem queixas. Looks - O telefone está muito bonito. Eu peguei a cor verde da floresta e parece simplesmente incrível e é atraente e com aparência premium.CONS1) O funcionamento geral do telefone não é tão contínuo quanto deve receber o hardware do qual ele se orgulha. Dito isto, o fator não pode ser um impedimento de compra. Caso contrário, é bastante suave2) A ausência de um controle deslizante de alerta foi decepcionado. Eu estava acostumado com isso no meu volume 6t3) - não muito feliz com os alto -falantes do telefone. De alguma forma, eles não estão à altura. Ele é demais para um telefone de 43k - boa bateria, carregamento mais rápido no segmento, aparência premium, bom desempenho., Usando o telefone depois de dois dias, notei uma experiência estranha com a interface do usuário, tocando em áreas cinza ou preto que os filmes de tela para essa porção E, de acordo com o Service Center, seu problema comum em todos os telefones e é corrigido pela atualização do Oxygen 13, pois não houve problema com o 10Pro.Se precisamos fazer nada além de esperar para lançar a nova atualização do sistema operacional no 10R e outros modelos também. Dispositivo geral funcionando bem até agora eu experimentei os resultados médios da câmera, carregamento soberbo, mas não tão prolongada, sensor de toque e alto -falantes são bons e o desempenho é bom nas minhas tarefas diárias, espero que as atualizações da interface do usuário e do sistema operacional ajudem a entregar o melhor disso telefone. Photo20x Zoom LG Pic e eu eu expiramos as fotos da noite e do dia para comparar o dispositivo de uma plus, seu alto -falante não está realmente funcionando bem usando -o, já Ok, não é que o bom microfone também está perturbando muito enquanto fala do outro lado Pessoa recebe muita perturbação</v>
      </c>
    </row>
    <row r="413">
      <c r="A413" s="9" t="s">
        <v>1702</v>
      </c>
      <c r="B413" s="29" t="str">
        <f>VLOOKUP(dados!A413, reviews!A:G, 5, FALSE)</f>
        <v>THE PERFECT PHONE – FOR MY REQUIREMENTS,Galaxy M33 5G a mixed bag of Affordability</v>
      </c>
      <c r="C413" s="29" t="str">
        <f>VLOOKUP(dados!A413, reviews!A:G, 6, FALSE)</f>
        <v>I would not consider buying an i-phone simply because my friend owns two of them –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 but I think of a cellphone as a utility item, not a status symbol. Applying a technocratic approach, I would not choose a costlier option unless I get additional features which suit my requirements.My foremost requirement – which is entirely non-negotiable –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‘immersive listening experience’ and its screen is plain old TFT instead of AMOLED. I am willing to live with these perceived shortcomings, so long as the M33 meets my requirements.I was glad to find that Samsung has taken an environmentally friendly step of offering many models of handsets without chargers –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Samsung’s best-value smartphone yet under 20K segmentPros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 screen recorder, video call effects, Game Launcher, Link to Windows, Dual Messenger, Quick Share, Music Share, and Secure Folder, along with many others. Some of the fancy Android 12 features, like the ability to change the color palette of icons and menus based on the wallpaper and 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v>
      </c>
      <c r="D413" s="29" t="str">
        <f>IFERROR(__xludf.DUMMYFUNCTION("GOOGLETRANSLATE(B413, ""en"", ""pt-br"")"),"O telefone perfeito - para meus requisitos, Galaxy M33 5G um saco misto de acessibilidade")</f>
        <v>O telefone perfeito - para meus requisitos, Galaxy M33 5G um saco misto de acessibilidade</v>
      </c>
      <c r="E413" s="29" t="str">
        <f>IFERROR(__xludf.DUMMYFUNCTION("GOOGLETRANSLATE(C413, ""en"", ""pt-br"")"),"Eu não consideraria comprar um i-phone simplesmente porque meu amigo é dono de dois deles-ou vá para um novo modelo Android sugerido por meu filho ou sobrinho (ambos mais experientes em tecnologia do que eu) porque suas recomendações são obviamente basead"&amp;"as em Suas próprias necessidades e expectativas, que podem diferir dos meus. Sou um engenheiro mecânico antiquado com um entendimento básico de parâmetros como milímetros, megapixels e megabytes-mas penso em um telefone celular como um item de utilitário,"&amp;" não um símbolo de status. Aplicando uma abordagem tecnocrática, eu não escolheria uma opção mais cara, a menos que obtenha recursos adicionais que atendam aos meus requisitos. Meu requisito principal-que é totalmente não negociável-é que meu aparelho dev"&amp;"e ter provisão para dois cartões SIM, pois não quero Para transportar dois aparelhos separados para o meu CUG e números pessoais. Meus outros requisitos não são difíceis de cumprir: uma agenda telefônica com pelo menos 2000 contatos, conectividade líquida"&amp;" básica, uma câmera básica para fotos e vídeos e escopo para baixar alguns aplicativos, como o onipresente whatsapp e meus jogos de palavras favoritos (que não precisam muita memória ou capacidade de processamento). Eu certamente apreciaria recursos práti"&amp;"cos, como alta confiabilidade, atualizações de software e segurança e alta capacidade da bateria (suficientes por 24 horas ou de preferência 48 horas no meu nível normal de uso). Além disso, gostaria de usar um novo aparelho por pelo menos dois anos. . Es"&amp;"tou igualmente claro sobre o que não preciso. Não pretendo usar meu celular para assistir filmes, ler livros, ouvir música ou criar postagens sofisticadas de mídia social. Também não quero um dispositivo para tirar fotos de alta resolução durante as féria"&amp;"s, pois preferiria usar uma câmera. Correndo o risco de parecer irreverente, eu diria que não quero que um dispositivo desbloqueie meu carro ou conte os golpes em um jogo de golfe - principalmente porque não possuo um carro e não jogo golfe! Tendo usado s"&amp;"martphones de Samsung e Motorola fazem nos últimos anos, eu prefiro muito o primeiro. Meu último telefone, que me deu mais de 30 meses de bom serviço, foi um Samsung M30. Como esse modelo está obsoleto agora, concentrei -me em seus primos atualizados: M32"&amp;", M33 e M52. O último foi imediatamente descartado, pois não suporta dois cartões SIM junto com um cartão SD. Depois de estudar as especificações relativas de M32 e M33, concluí que o último oferece melhor valor ao dinheiro. Geralmente, vale a pena ir par"&amp;"a a memória mais alta e as versões mais altas de RAM, pois esses parâmetros afetam o desempenho e a diferença no custo é relativamente pequena. Com essas considerações, reduzi minha escolha ao M33 com 8 GB de RAM e armazenamento de 128 GB (há apenas vinte"&amp;" anos, eu estava usando uma área de trabalho com memória de 2 GB!) Como confirmação para minha escolha, comparei o telefone que selecionei com o OnePlus Nord CE 2 (8 GB de RAM, armazenamento de 128 GB) que meu filho havia recomendado. A especificação do t"&amp;"elefone Samsung foi equivalente ou superior aos principais parâmetros, exceto que a tecnologia da tela de exibição era TFT em vez de AMOLED. Também assisti a alguns vídeos do YouTube sobre esses aparelhos para uma melhor apreciação de seus recursos concor"&amp;"rentes. O fator de conjuração era que o telefone Samsung tinha um preço substancialmente menor que o produto OnePlus. Eu estava pensando que isso seria irrelevante, pois eu uso um caso que envolve completamente o aparelho, mas acabou que a cor do corpo po"&amp;"de ser vislumbrada pelo recorte das câmeras na parte traseira do telefone.Pespese uma forte semelhança familiar com minha velha Um (M30), o novo telefone (M33) oferece especificações decididamente superiores e atende perfeitamente aos meus requisitos. São"&amp;" alguns milímetros por mais tempo e alguns gramas mais pesados ​​que o meu telefone antigo, mas essas diferenças são aceitáveis ​​para mim. Graças à câmera frontal de 50MP e à câmera selfie de 8MP, a qualidade das fotos e vídeos está acima das minhas expe"&amp;"ctativas (veja a foto da amostra tirada à noite a uma distância de cerca de 30 metros do palco). Este telefone oferece dois anos de atualizações do Android e quatro anos de atualizações de patches de segurança, o que reduz as preocupações nessas frentes. "&amp;"Os revisores do YouTube reclamam que o M33 tem aparência clara, é pesado, seu áudio não oferece uma 'experiência de escuta imersiva' e sua tela é antiga TFT simples em vez de AMOLED. Estou disposto a conviver com essas deficiências percebidas, desde que o"&amp;" M33 atenda aos meus requisitos. Fiquei feliz em descobrir que a Samsung deu um passo ecológico para oferecer muitos modelos de aparelhos sem carregadores - porque carregadores antigos, como aparelhos antigos, adicionar para o lixo eletrônico. No entanto,"&amp;" é preciso ter em mente que novos aparelhos exigem carregadores de maior capacidade. O carregador recomendado para o M33 é de 25 watts, mas os carregadores que eu tinha em casa são classificados em 5 ou 10 watts. Depois de usar o novo aparelho por algumas"&amp;" semanas, acho que meu telefone está com uma cobrança de 60 a 70% no final do dia e leva de 30 a 40 minutos para cobrança completa (uma das características úteis do M33 é que Ele mostra o tempo restante para o carregamento completo assim que for conectado"&amp;" para carregar). Acontece que eu poderia ter conseguido com o antigo carregador de 10 watts, exceto que levaria 60-90 minutos para carregar total. Concluo enfatizando que o Samsung Galaxy M33 5G é o telefone perfeito-mas para meus requisitos. Uma palavra "&amp;"de conselho: se você planeja comprar um novo telefone, seria útil se você listar seus requisitos para não acabar pagando pelos recursos que não pretende usar., Com conectividade 5G, um 120Hz Exibição e desempenho sólido, o Galaxy M33 5G é o smartphone de "&amp;"melhor valor da Samsung, mas com menos de 20k segmentpros quase metade do preço do Galaxy A53exynos 1280 é uma sólida exibição de 120Hz de execução de 120Hz com experiência suave no desempenho da Boardhuge Over M32one UI 4.1 baseado em andróide 12 tem ter"&amp;" Toneladas de bons recursos para amar, nenhum dos principais recursos de grau é ignorado aqui (além do modo DEX e dos recursos SPEN), lag zero ou gaguejando no modo 120 Hz com facilidade de uso e comutação de aplicativos sem qualquer acidente ou recarga d"&amp;"e aplicativos , Torna o uso de um prazer de uma interface do usuário de surfar, você obtém recursos como um gravador de tela, efeitos de chamadas de vídeo, lançador de jogos, link para Windows, Dual Messenger, Share Rick Share, Music Share e Secure Pouxer"&amp;", além de muitos outros. Algumas das características sofisticadas do Android 12, como a capacidade de alterar a paleta de cores de ícones e menus com base no papel de parede e diminuir a tela para facilitar a leitura no escuro, também são incluídos. Voice"&amp;" Focus for Chamadas é excelente recurso, qualidade telefônica é realmente bom, mesmo em áreas de nosiy e lotadas, não teve problemas com GPS ou conectividade enquanto usava o Google Maps para navegar, o sinal permanece forte mesmo em áreas rurais, isso é "&amp;"um ponto positivo com boa precisão 4g VoLT O roteador é forte e tem um desempenho mais do que satisfatoriamente com baixa latência A conectividade RESPOSTBLUETOOTH 5.1 é forte e não tem uma boa faixa de desconexão, mesmo que a qualidade de 15 metros de 3,"&amp;"5 mm é excelente em comparação com o Redmi Note 10 Pro, muito mais definido e bem arredondado para Consumo de mídia WideWine L1 Suporte está presente, boa experiência AV em plataformas OTT, não tenho queixas sérias sobre a reprodução de cores em vídeos co"&amp;"nsiderando o TFT LCD Este painel faz um trabalho bom o suficiente. Quase todas as condições, mantém cores próximas à realidade, com uma boa faixa dinâmica e manuseio de exposição com HDR em fotos e vídeos, é capaz de lidar com condições extremamente brilh"&amp;"antes de boas -vindas nas sombras durante o dia, foi capaz de manter bons vídeos estáveis ​​em cores. A gravação de vídeo 1080p4k está disponível em 30 qps está disponível Recursos de câmera legal, possui modo divertido, único tomado, borracha de objetos "&amp;"e vídeo tnr (redução de ruído temporal), o que torna divertido usar a câmera cameraselfie tem boas cores pinceladas, o caminho da cor da Samsung Processando alguns pode gostar, alguns podem não exagerar a duração da bateria, obteve 9 horas de SOT, apesar "&amp;"do uso pesado. Demora cerca de 1,5 horas para ir de 0 a 100 e meia hora de carregamento pode levar a porcentagem da bateria para cerca de 45%, desde que você tenha um tempo de verão de 25 watts Samsung, que o telefone conseguiu ficar relativamente frio, a"&amp;"rquitetura de 5nm, ajudando sua causa Aqui12 5G O slot de cartão SD de bandas 5G é um suporte de carregamento rápido de 25 watts de 25 watts razoável para o segmento de preços, mas vimos velocidades de carregamento mais rápidas com outros OEMspromed 2 pri"&amp;"ncipais atualizações do sistema operacional Android e 4 anos de atualização de segurança é uma grande quantidade acima de seus concorrentes, tornando isso Dispositivo Mais valor para o dinheiro em longas pistas de câmera ultrawida está do lado mais suave,"&amp;" carece de detalhes em comparação com seu sensor primário, mas consegue enquadrar boas fotos que se pode postar nas mídias sociais, a câmera macro é boa com cores e detecção de borda, mas não possui profundidade de campo E detalhes, nota 10 Pro, que é bri"&amp;"lhante nessas fotos de Casenight, está acima da média, principalmente granulada e confusa, mas melhor do que a maioria dos smartphones em seus segmentlacks alguma estabilidade na gravação de vídeo na exibição 4K AMOLED poderia ter feito com que o alto -fa"&amp;"lante estéreo seja necessário, mas a qualidade de áudio em uma única O alto-falante é muito bom instalado, como Moj, DailyHunt, Sharechat, Byju's são leves e desinstaláveis, mas tornam a experiência madura de uma interface do usuário imaturo para fora do "&amp;"dispositivo Boxurly não é ajustado para o desempenho de jogo alto como FPS limitado em jogos populares, como BGMI e Deters Cod Deters Fora de ser um dispositivo amigável para jogadores, mas podemos esperar que o Exynos 1280 se resolva com o tempo e seja m"&amp;"ais otimizado para mais jogos em futuros atualizações de design iluminantemente barato, robusto em tamanho, carrega um pouco de peso, datada dated dollack de carregador na caixa é um chatice, que contribui para a proposta de custo de valor")</f>
        <v>Eu não consideraria comprar um i-phone simplesmente porque meu amigo é dono de dois deles-ou vá para um novo modelo Android sugerido por meu filho ou sobrinho (ambos mais experientes em tecnologia do que eu) porque suas recomendações são obviamente baseadas em Suas próprias necessidades e expectativas, que podem diferir dos meus. Sou um engenheiro mecânico antiquado com um entendimento básico de parâmetros como milímetros, megapixels e megabytes-mas penso em um telefone celular como um item de utilitário, não um símbolo de status. Aplicando uma abordagem tecnocrática, eu não escolheria uma opção mais cara, a menos que obtenha recursos adicionais que atendam aos meus requisitos. Meu requisito principal-que é totalmente não negociável-é que meu aparelho deve ter provisão para dois cartões SIM, pois não quero Para transportar dois aparelhos separados para o meu CUG e números pessoais. Meus outros requisitos não são difíceis de cumprir: uma agenda telefônica com pelo menos 2000 contatos, conectividade líquida básica, uma câmera básica para fotos e vídeos e escopo para baixar alguns aplicativos, como o onipresente whatsapp e meus jogos de palavras favoritos (que não precisam muita memória ou capacidade de processamento). Eu certamente apreciaria recursos práticos, como alta confiabilidade, atualizações de software e segurança e alta capacidade da bateria (suficientes por 24 horas ou de preferência 48 horas no meu nível normal de uso). Além disso, gostaria de usar um novo aparelho por pelo menos dois anos. . Estou igualmente claro sobre o que não preciso. Não pretendo usar meu celular para assistir filmes, ler livros, ouvir música ou criar postagens sofisticadas de mídia social. Também não quero um dispositivo para tirar fotos de alta resolução durante as férias, pois preferiria usar uma câmera. Correndo o risco de parecer irreverente, eu diria que não quero que um dispositivo desbloqueie meu carro ou conte os golpes em um jogo de golfe - principalmente porque não possuo um carro e não jogo golfe! Tendo usado smartphones de Samsung e Motorola fazem nos últimos anos, eu prefiro muito o primeiro. Meu último telefone, que me deu mais de 30 meses de bom serviço, foi um Samsung M30. Como esse modelo está obsoleto agora, concentrei -me em seus primos atualizados: M32, M33 e M52. O último foi imediatamente descartado, pois não suporta dois cartões SIM junto com um cartão SD. Depois de estudar as especificações relativas de M32 e M33, concluí que o último oferece melhor valor ao dinheiro. Geralmente, vale a pena ir para a memória mais alta e as versões mais altas de RAM, pois esses parâmetros afetam o desempenho e a diferença no custo é relativamente pequena. Com essas considerações, reduzi minha escolha ao M33 com 8 GB de RAM e armazenamento de 128 GB (há apenas vinte anos, eu estava usando uma área de trabalho com memória de 2 GB!) Como confirmação para minha escolha, comparei o telefone que selecionei com o OnePlus Nord CE 2 (8 GB de RAM, armazenamento de 128 GB) que meu filho havia recomendado. A especificação do telefone Samsung foi equivalente ou superior aos principais parâmetros, exceto que a tecnologia da tela de exibição era TFT em vez de AMOLED. Também assisti a alguns vídeos do YouTube sobre esses aparelhos para uma melhor apreciação de seus recursos concorrentes. O fator de conjuração era que o telefone Samsung tinha um preço substancialmente menor que o produto OnePlus. Eu estava pensando que isso seria irrelevante, pois eu uso um caso que envolve completamente o aparelho, mas acabou que a cor do corpo pode ser vislumbrada pelo recorte das câmeras na parte traseira do telefone.Pespese uma forte semelhança familiar com minha velha Um (M30), o novo telefone (M33) oferece especificações decididamente superiores e atende perfeitamente aos meus requisitos. São alguns milímetros por mais tempo e alguns gramas mais pesados ​​que o meu telefone antigo, mas essas diferenças são aceitáveis ​​para mim. Graças à câmera frontal de 50MP e à câmera selfie de 8MP, a qualidade das fotos e vídeos está acima das minhas expectativas (veja a foto da amostra tirada à noite a uma distância de cerca de 30 metros do palco). Este telefone oferece dois anos de atualizações do Android e quatro anos de atualizações de patches de segurança, o que reduz as preocupações nessas frentes. Os revisores do YouTube reclamam que o M33 tem aparência clara, é pesado, seu áudio não oferece uma 'experiência de escuta imersiva' e sua tela é antiga TFT simples em vez de AMOLED. Estou disposto a conviver com essas deficiências percebidas, desde que o M33 atenda aos meus requisitos. Fiquei feliz em descobrir que a Samsung deu um passo ecológico para oferecer muitos modelos de aparelhos sem carregadores - porque carregadores antigos, como aparelhos antigos, adicionar para o lixo eletrônico. No entanto, é preciso ter em mente que novos aparelhos exigem carregadores de maior capacidade. O carregador recomendado para o M33 é de 25 watts, mas os carregadores que eu tinha em casa são classificados em 5 ou 10 watts. Depois de usar o novo aparelho por algumas semanas, acho que meu telefone está com uma cobrança de 60 a 70% no final do dia e leva de 30 a 40 minutos para cobrança completa (uma das características úteis do M33 é que Ele mostra o tempo restante para o carregamento completo assim que for conectado para carregar). Acontece que eu poderia ter conseguido com o antigo carregador de 10 watts, exceto que levaria 60-90 minutos para carregar total. Concluo enfatizando que o Samsung Galaxy M33 5G é o telefone perfeito-mas para meus requisitos. Uma palavra de conselho: se você planeja comprar um novo telefone, seria útil se você listar seus requisitos para não acabar pagando pelos recursos que não pretende usar., Com conectividade 5G, um 120Hz Exibição e desempenho sólido, o Galaxy M33 5G é o smartphone de melhor valor da Samsung, mas com menos de 20k segmentpros quase metade do preço do Galaxy A53exynos 1280 é uma sólida exibição de 120Hz de execução de 120Hz com experiência suave no desempenho da Boardhuge Over M32one UI 4.1 baseado em andróide 12 tem ter Toneladas de bons recursos para amar, nenhum dos principais recursos de grau é ignorado aqui (além do modo DEX e dos recursos SPEN), lag zero ou gaguejando no modo 120 Hz com facilidade de uso e comutação de aplicativos sem qualquer acidente ou recarga de aplicativos , Torna o uso de um prazer de uma interface do usuário de surfar, você obtém recursos como um gravador de tela, efeitos de chamadas de vídeo, lançador de jogos, link para Windows, Dual Messenger, Share Rick Share, Music Share e Secure Pouxer, além de muitos outros. Algumas das características sofisticadas do Android 12, como a capacidade de alterar a paleta de cores de ícones e menus com base no papel de parede e diminuir a tela para facilitar a leitura no escuro, também são incluídos. Voice Focus for Chamadas é excelente recurso, qualidade telefônica é realmente bom, mesmo em áreas de nosiy e lotadas, não teve problemas com GPS ou conectividade enquanto usava o Google Maps para navegar, o sinal permanece forte mesmo em áreas rurais, isso é um ponto positivo com boa precisão 4g VoLT O roteador é forte e tem um desempenho mais do que satisfatoriamente com baixa latência A conectividade RESPOSTBLUETOOTH 5.1 é forte e não tem uma boa faixa de desconexão, mesmo que a qualidade de 15 metros de 3,5 mm é excelente em comparação com o Redmi Note 10 Pro, muito mais definido e bem arredondado para Consumo de mídia WideWine L1 Suporte está presente, boa experiência AV em plataformas OTT, não tenho queixas sérias sobre a reprodução de cores em vídeos considerando o TFT LCD Este painel faz um trabalho bom o suficiente. Quase todas as condições, mantém cores próximas à realidade, com uma boa faixa dinâmica e manuseio de exposição com HDR em fotos e vídeos, é capaz de lidar com condições extremamente brilhantes de boas -vindas nas sombras durante o dia, foi capaz de manter bons vídeos estáveis ​​em cores. A gravação de vídeo 1080p4k está disponível em 30 qps está disponível Recursos de câmera legal, possui modo divertido, único tomado, borracha de objetos e vídeo tnr (redução de ruído temporal), o que torna divertido usar a câmera cameraselfie tem boas cores pinceladas, o caminho da cor da Samsung Processando alguns pode gostar, alguns podem não exagerar a duração da bateria, obteve 9 horas de SOT, apesar do uso pesado. Demora cerca de 1,5 horas para ir de 0 a 100 e meia hora de carregamento pode levar a porcentagem da bateria para cerca de 45%, desde que você tenha um tempo de verão de 25 watts Samsung, que o telefone conseguiu ficar relativamente frio, arquitetura de 5nm, ajudando sua causa Aqui12 5G O slot de cartão SD de bandas 5G é um suporte de carregamento rápido de 25 watts de 25 watts razoável para o segmento de preços, mas vimos velocidades de carregamento mais rápidas com outros OEMspromed 2 principais atualizações do sistema operacional Android e 4 anos de atualização de segurança é uma grande quantidade acima de seus concorrentes, tornando isso Dispositivo Mais valor para o dinheiro em longas pistas de câmera ultrawida está do lado mais suave, carece de detalhes em comparação com seu sensor primário, mas consegue enquadrar boas fotos que se pode postar nas mídias sociais, a câmera macro é boa com cores e detecção de borda, mas não possui profundidade de campo E detalhes, nota 10 Pro, que é brilhante nessas fotos de Casenight, está acima da média, principalmente granulada e confusa, mas melhor do que a maioria dos smartphones em seus segmentlacks alguma estabilidade na gravação de vídeo na exibição 4K AMOLED poderia ter feito com que o alto -falante estéreo seja necessário, mas a qualidade de áudio em uma única O alto-falante é muito bom instalado, como Moj, DailyHunt, Sharechat, Byju's são leves e desinstaláveis, mas tornam a experiência madura de uma interface do usuário imaturo para fora do dispositivo Boxurly não é ajustado para o desempenho de jogo alto como FPS limitado em jogos populares, como BGMI e Deters Cod Deters Fora de ser um dispositivo amigável para jogadores, mas podemos esperar que o Exynos 1280 se resolva com o tempo e seja mais otimizado para mais jogos em futuros atualizações de design iluminantemente barato, robusto em tamanho, carrega um pouco de peso, datada dated dollack de carregador na caixa é um chatice, que contribui para a proposta de custo de valor</v>
      </c>
    </row>
    <row r="414">
      <c r="A414" s="9" t="s">
        <v>1704</v>
      </c>
      <c r="B414" s="29" t="str">
        <f>VLOOKUP(dados!A414, reviews!A:G, 5, FALSE)</f>
        <v>Highly recommended,Very flexible,Good,Very good product,Good,It's worth every penny,Good,Mobile stand</v>
      </c>
      <c r="C414" s="29" t="str">
        <f>VLOOKUP(dados!A414, reviews!A:G, 6, FALSE)</f>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v>
      </c>
      <c r="D414" s="29" t="str">
        <f>IFERROR(__xludf.DUMMYFUNCTION("GOOGLETRANSLATE(B414, ""en"", ""pt-br"")"),"Altamente recomendado, muito flexível, bom, muito bom produto, bom, vale cada centavo, bom, suporte móvel")</f>
        <v>Altamente recomendado, muito flexível, bom, muito bom produto, bom, vale cada centavo, bom, suporte móvel</v>
      </c>
      <c r="E414" s="29" t="str">
        <f>IFERROR(__xludf.DUMMYFUNCTION("GOOGLETRANSLATE(C414, ""en"", ""pt-br"")"),"A qualidade do estande é decente. Beacse de seu tamanho compacto e vários ângulos de dobragem, ele amplia o uso de acordo com o usuário. Altamente recomendado para estudantes!, Um lado é um pouco inclinado, bom produto ...., boa aderência e produto resist"&amp;"ente. Preencher a necessidade. No geral, um produto muito bom. Dado um presente para amigos., Boa, qualidade é boa, boa qualidade de qualidade boa e excelente produto")</f>
        <v>A qualidade do estande é decente. Beacse de seu tamanho compacto e vários ângulos de dobragem, ele amplia o uso de acordo com o usuário. Altamente recomendado para estudantes!, Um lado é um pouco inclinado, bom produto ...., boa aderência e produto resistente. Preencher a necessidade. No geral, um produto muito bom. Dado um presente para amigos., Boa, qualidade é boa, boa qualidade de qualidade boa e excelente produto</v>
      </c>
    </row>
    <row r="415">
      <c r="A415" s="9" t="s">
        <v>1708</v>
      </c>
      <c r="B415" s="29" t="str">
        <f>VLOOKUP(dados!A415, reviews!A:G, 5, FALSE)</f>
        <v>Nice product,Good,Kaam sahi karta hai ji,Woks fine,Nice,good and portabe,Good for a single charge of 5000mah mobile.,Good product</v>
      </c>
      <c r="C415" s="29" t="str">
        <f>VLOOKUP(dados!A415, reviews!A:G, 6, FALSE)</f>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v>
      </c>
      <c r="D415" s="29" t="str">
        <f>IFERROR(__xludf.DUMMYFUNCTION("GOOGLETRANSLATE(B415, ""en"", ""pt-br"")"),"Bom produto, bom, kaam sahi karta hai ji, woks fino, bom, bom e portabe, bom para uma única carga de 5000mAh móvel., Bom produto")</f>
        <v>Bom produto, bom, kaam sahi karta hai ji, woks fino, bom, bom e portabe, bom para uma única carga de 5000mAh móvel., Bom produto</v>
      </c>
      <c r="E415" s="29" t="str">
        <f>IFERROR(__xludf.DUMMYFUNCTION("GOOGLETRANSLATE(C415, ""en"", ""pt-br"")"),"Estou muito feliz depois de usá -lo. Este banco de energia é muito bom. Eu vi um vídeo no YouTube com uma classificação incrível antes de comprá -lo. Gostei de comprá -lo., Bom valor do produto pelo dinheiro., Esme Ek choti tocha jaisi luz adicione karke "&amp;"thoda price badha den ao mast raho 10, em todo um ótimo produto, mas eu enfrentei um problema ao cobrar do banco de energia com meu Mi 120W carregador Ele nunca aceita cobrança rápida e às vezes leva mais de 12 horas para cobrar. Por enquanto, com o MacBo"&amp;"ok Pro Charger, aceita uma carga rápida (que a luz verde). Eu comprei um carregador separado para este banco de potência😭, bom eu gosto, o Power Bank é bom O único problema foi o cabo que veio com ele quebrou após um dia de uso e também danificou a porta"&amp;" de telefone, apenas como esperado, o tamanho compacto, veio com uma boa embalagem premium ... preciso ver como o desempenho é. Com 10000mAh, você pode carregar 2 dispositivos por vez. Mas bom para uma única cobrança de 5000mAh móvel. Eles deram a um cabo"&amp;" USB um tipo de tipo C, se você tiver outro cabo do tipo C, com isso pode carregar outro dispositivo. Eu gosto da bolsa de transporte que eles forneceram., Eu não consegui nenhuma bolsa com este banco de energia")</f>
        <v>Estou muito feliz depois de usá -lo. Este banco de energia é muito bom. Eu vi um vídeo no YouTube com uma classificação incrível antes de comprá -lo. Gostei de comprá -lo., Bom valor do produto pelo dinheiro., Esme Ek choti tocha jaisi luz adicione karke thoda price badha den ao mast raho 10, em todo um ótimo produto, mas eu enfrentei um problema ao cobrar do banco de energia com meu Mi 120W carregador Ele nunca aceita cobrança rápida e às vezes leva mais de 12 horas para cobrar. Por enquanto, com o MacBook Pro Charger, aceita uma carga rápida (que a luz verde). Eu comprei um carregador separado para este banco de potência😭, bom eu gosto, o Power Bank é bom O único problema foi o cabo que veio com ele quebrou após um dia de uso e também danificou a porta de telefone, apenas como esperado, o tamanho compacto, veio com uma boa embalagem premium ... preciso ver como o desempenho é. Com 10000mAh, você pode carregar 2 dispositivos por vez. Mas bom para uma única cobrança de 5000mAh móvel. Eles deram a um cabo USB um tipo de tipo C, se você tiver outro cabo do tipo C, com isso pode carregar outro dispositivo. Eu gosto da bolsa de transporte que eles forneceram., Eu não consegui nenhuma bolsa com este banco de energia</v>
      </c>
    </row>
    <row r="416">
      <c r="A416" s="9" t="s">
        <v>1712</v>
      </c>
      <c r="B416" s="29" t="str">
        <f>VLOOKUP(dados!A416, reviews!A:G, 5, FALSE)</f>
        <v>Centre key,Nice phone,Good for Exam preparing students,Center button is not good,Battery runs out quickly,Nokia trusted brand only needs to improve ringtone sound,best phone,..</v>
      </c>
      <c r="C416" s="29" t="str">
        <f>VLOOKUP(dados!A416, reviews!A:G, 6, FALSE)</f>
        <v>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v>
      </c>
      <c r="D416" s="29" t="str">
        <f>IFERROR(__xludf.DUMMYFUNCTION("GOOGLETRANSLATE(B416, ""en"", ""pt-br"")"),"Chave central, bom telefone, bom para preparar os alunos, o botão central não é bom, a bateria acaba rapidamente, a marca Nokia Trusted só precisa melhorar o som do toque, o melhor telefone, ..")</f>
        <v>Chave central, bom telefone, bom para preparar os alunos, o botão central não é bom, a bateria acaba rapidamente, a marca Nokia Trusted só precisa melhorar o som do toque, o melhor telefone, ..</v>
      </c>
      <c r="E416" s="29" t="str">
        <f>IFERROR(__xludf.DUMMYFUNCTION("GOOGLETRANSLATE(C416, ""en"", ""pt-br"")"),"O telefone está ok, exceto o botão do meio, é uma dor de cabeça. REST Tudo o bom bateria LYF é de cerca de 10 a 12 horas quando carregado e excelente duração da bateria por mais de 3 dias, comprei este telefone para usar como substituição do meu smartphon"&amp;"e para chamadas, alarme, músicas de escuta. Enfrente qualquer problema, mas o som e sua qualidade são um pouco baixos em comparação com os smartphones normais. A qualidade da música não é tão boa e nem é ruim, mas ok ao ouvir fones de ouvido. Eu só o uso "&amp;"para receber SMS &amp; Calls &amp; Ocassionalmente para ouvir músicas e backup de bateria é muito bom que dura até 7 dias etc. para 1 carga completa . É preciso mais de uma tentativa às vezes para executar uma ação OK., Backup de bateria, precisa melhorar o som d"&amp;"o toque, o melhor telefone. A Nokia é sempre melhor. Preço Thodi Kam Karni Chahiye., Gosto deste produto")</f>
        <v>O telefone está ok, exceto o botão do meio, é uma dor de cabeça. REST Tudo o bom bateria LYF é de cerca de 10 a 12 horas quando carregado e excelente duração da bateria por mais de 3 dias, comprei este telefone para usar como substituição do meu smartphone para chamadas, alarme, músicas de escuta. Enfrente qualquer problema, mas o som e sua qualidade são um pouco baixos em comparação com os smartphones normais. A qualidade da música não é tão boa e nem é ruim, mas ok ao ouvir fones de ouvido. Eu só o uso para receber SMS &amp; Calls &amp; Ocassionalmente para ouvir músicas e backup de bateria é muito bom que dura até 7 dias etc. para 1 carga completa . É preciso mais de uma tentativa às vezes para executar uma ação OK., Backup de bateria, precisa melhorar o som do toque, o melhor telefone. A Nokia é sempre melhor. Preço Thodi Kam Karni Chahiye., Gosto deste produto</v>
      </c>
    </row>
    <row r="417">
      <c r="A417" s="9" t="s">
        <v>1715</v>
      </c>
      <c r="B417" s="29" t="str">
        <f>VLOOKUP(dados!A417, reviews!A:G, 5, FALSE)</f>
        <v>Worth every penny,Price,Amazing product,Nice,Just ok,Value for money, sound quality is good 👍, super fast delivery,But warrant needed,Good quality</v>
      </c>
      <c r="C417" s="29" t="str">
        <f>VLOOKUP(dados!A417, reviews!A:G, 6, FALSE)</f>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v>
      </c>
      <c r="D417" s="29" t="str">
        <f>IFERROR(__xludf.DUMMYFUNCTION("GOOGLETRANSLATE(B417, ""en"", ""pt-br"")"),"Vale a pena cada centavo, preço, produto incrível, bom, apenas ok, valor ao dinheiro, a qualidade do som é boa 👍, entrega super rápida, mas mandado necessário, boa qualidade")</f>
        <v>Vale a pena cada centavo, preço, produto incrível, bom, apenas ok, valor ao dinheiro, a qualidade do som é boa 👍, entrega super rápida, mas mandado necessário, boa qualidade</v>
      </c>
      <c r="E417" s="29" t="str">
        <f>IFERROR(__xludf.DUMMYFUNCTION("GOOGLETRANSLATE(C417, ""en"", ""pt-br"")"),"Vale cada centavo em comparação com o custo. Uma banda Bluetooth básica que suporta apenas um único dispositivo por vez. Ligue para a voz, e o microfone faz um trabalho decente de cancelamento de ruído. Não espere um bom triplo de base nisso. O pedaço de "&amp;"orelha de borracha não é apertado o suficiente, mesmo com os grandes e continua se afastando. O ímã também é fraco e não se conecta sem problemas, eu havia encomendado meu primeiro telefone ouvido a partir de PTron e, para dizer a verdade, é muito difícil"&amp;" obter um telefone de fone de ouvido de boa qualidade a um preço tão baixo. Melhores fones de ouvido a um preço tão baixo. Você não se arrependerá do dinheiro que gastou se comprar isso., É um bom produto, Y, agradável, a qualidade construída é um pouco b"&amp;"arata, mas a qualidade do som é superp em comparação com outras grandes empresas como JBL, Sony, Senheizer, baixo é moderado, o cancelamento de ruído precisa ser melhorado, minha classificação geral é 4star., boa, boa qualidade")</f>
        <v>Vale cada centavo em comparação com o custo. Uma banda Bluetooth básica que suporta apenas um único dispositivo por vez. Ligue para a voz, e o microfone faz um trabalho decente de cancelamento de ruído. Não espere um bom triplo de base nisso. O pedaço de orelha de borracha não é apertado o suficiente, mesmo com os grandes e continua se afastando. O ímã também é fraco e não se conecta sem problemas, eu havia encomendado meu primeiro telefone ouvido a partir de PTron e, para dizer a verdade, é muito difícil obter um telefone de fone de ouvido de boa qualidade a um preço tão baixo. Melhores fones de ouvido a um preço tão baixo. Você não se arrependerá do dinheiro que gastou se comprar isso., É um bom produto, Y, agradável, a qualidade construída é um pouco barata, mas a qualidade do som é superp em comparação com outras grandes empresas como JBL, Sony, Senheizer, baixo é moderado, o cancelamento de ruído precisa ser melhorado, minha classificação geral é 4star., boa, boa qualidade</v>
      </c>
    </row>
    <row r="418">
      <c r="A418" s="9" t="s">
        <v>1719</v>
      </c>
      <c r="B418" s="29" t="str">
        <f>VLOOKUP(dados!A418, reviews!A:G, 5, FALSE)</f>
        <v>Good deal,Looking is fake product... Storage capacity 58gb.. Menstion64gb.,A nice gadget.,Nice and good,Trusted brand,with adapter!,I liked it's performance and quality.,Good quality,Worth it</v>
      </c>
      <c r="C418" s="29" t="str">
        <f>VLOOKUP(dados!A418, reviews!A:G, 6, FALSE)</f>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size,Best</v>
      </c>
      <c r="D418" s="29" t="str">
        <f>IFERROR(__xludf.DUMMYFUNCTION("GOOGLETRANSLATE(B418, ""en"", ""pt-br"")"),"Bom negócio, procurar um produto falso ... Capacidade de armazenamento 58 GB .. Menstion64GB., Um gadget bonito., Branda agradável e boa e confiável, com adaptador!, Gostei de seu desempenho e qualidade., Boa qualidade, vale a pena")</f>
        <v>Bom negócio, procurar um produto falso ... Capacidade de armazenamento 58 GB .. Menstion64GB., Um gadget bonito., Branda agradável e boa e confiável, com adaptador!, Gostei de seu desempenho e qualidade., Boa qualidade, vale a pena</v>
      </c>
      <c r="E418" s="29" t="str">
        <f>IFERROR(__xludf.DUMMYFUNCTION("GOOGLETRANSLATE(C418, ""en"", ""pt-br"")"),"É um bom negócio obter o cartão SD nesse preço, mas foi ainda menos na Reliance Digital. Mas como eu precisava em 1 dia, é bom encomendar., Produto de aparência ou falso ..., o armazenamento é perfeito, a qualidade do pacote não é boa, a instalação foi fá"&amp;"cil. Finalize esta mina porque é s6lite.free spce mostrado como 119 GB .. já tem apenas dois dias. Não é o problema. Nas duas primeiras vezes, eles entregaram um cartão SD falso com a mesma marca Samsung, mas graças à Amazon por aceitar a solicitação de r"&amp;"etorno. Na terceira vez, recebi este genuíno Samsung Evo Plus SD Card 64 GB. Eu comprei este cartão em Rs. 599. Você também pode obter isso a menos preço durante a temporada de ofertas. O menor preço que eu vi é Rs. 539. O desempenho é quase bom como eu e"&amp;"sperava. A velocidade do escrito é de cerca de 17 a 25 Mbps e a velocidade de leitura é de cerca de 35 a 45 Mbps. Mas não testei muito a velocidade da leitura. Pode ser que você terá melhor velocidade de leitura. O adaptador também é de boa qualidade e te"&amp;"m um bom desempenho.")</f>
        <v>É um bom negócio obter o cartão SD nesse preço, mas foi ainda menos na Reliance Digital. Mas como eu precisava em 1 dia, é bom encomendar., Produto de aparência ou falso ..., o armazenamento é perfeito, a qualidade do pacote não é boa, a instalação foi fácil. Finalize esta mina porque é s6lite.free spce mostrado como 119 GB .. já tem apenas dois dias. Não é o problema. Nas duas primeiras vezes, eles entregaram um cartão SD falso com a mesma marca Samsung, mas graças à Amazon por aceitar a solicitação de retorno. Na terceira vez, recebi este genuíno Samsung Evo Plus SD Card 64 GB. Eu comprei este cartão em Rs. 599. Você também pode obter isso a menos preço durante a temporada de ofertas. O menor preço que eu vi é Rs. 539. O desempenho é quase bom como eu esperava. A velocidade do escrito é de cerca de 17 a 25 Mbps e a velocidade de leitura é de cerca de 35 a 45 Mbps. Mas não testei muito a velocidade da leitura. Pode ser que você terá melhor velocidade de leitura. O adaptador também é de boa qualidade e tem um bom desempenho.</v>
      </c>
    </row>
    <row r="419">
      <c r="A419" s="9" t="s">
        <v>1722</v>
      </c>
      <c r="B419" s="29" t="str">
        <f>VLOOKUP(dados!A419, reviews!A:G, 5, FALSE)</f>
        <v>Decent Product at about right price.,Seems good.,Good Quality &amp; Durable Powerbank in 1k range | Review,This is the second power bank from Ambrane India, i am happy,It’s heavy but good,Good product,Good power bank,The power is bulkier</v>
      </c>
      <c r="C419" s="29" t="str">
        <f>VLOOKUP(dados!A419, reviews!A:G, 6, FALSE)</f>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 INSIDE BOX•••••••••••••••••••→ Powerbank→ MicroUSB cable→ Carry pouch (depends on which package you received, more below)→ User manual/Warranty card→ General leaflet→ Feedback leaflet••••••••••••••••••••••••📝 SOME DETAILS••••••••••••••••••••••••→ Mfg: October 2019→ Charging time: 9 Hrs 50 Min (via 10W charger, low battery indication to full charge)→ Backup: Was able to charge (5-100%) Redmi Note 5 pro's 4000Mah battery ~3.5 times with regular usage in between.••••••••••••➕ PROS••••••••••••1.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 CONS•••••••••••••1. It does not auto-start charging when the device is connected.2. Since it has a touch button instead of push-button, it activates accidentally switching it on every time during handling.3. There is a lot of conversion loss &amp; backup is slightly less for a 20000mAh power bank.▶ Cons are significant enough to reduce 1 star. There is scope for improvement (points 1 &amp; 2) in this product in the same range. So ★★★★ device.••••••••••••••••••••💡 LED STATUS••••••••••••••••••••→ 1st/2nd/3rd/4th LED blinking (while charging power bank): Status of charge in terms of no of LEDs blinking→ 1/2/3/4 LEDs solid white (while charging other devices): Status of remaining battery in terms of no of LEDs→ One blinking (while charging other devices): Low battery→ All 4 LED solid glow: Battery fully charged•••••••••••••••••••••••••••••••••••🔊 AMBRANE BOX DEBATE•••••••••••••••••••••••••••••••••••1.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 This one came with Micro USB cable and a carry pouch.••••••••••••••••••••••••👜 CARRY POUCH••••••••••••••••••••••••→ As per my analysis carry pouch comes with the latest October lot which comes in a bigger box and was unavailable in earlier lot with a small box.→ Carry pouch size was appropriate for power bank and i had no trouble inserting power bank in it. (Some users reported it having a smaller opening but i had no trouble with it and found it to be a proper fit. Neither loose nor tight.→ Its soft nylon meshed pouch and is a nice addon.••••••••••••••••🏆 VERDICT••••••••••••••••▶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 If one can extend the budget by a few hundred, MI power bank will be a better option with a metallic body &amp; better quality overall. I have MI, Honor &amp; Ambrane power bank and their overall rating will be (from low to high) Ambrane → Honor →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don’t last that long when use for charging two device.</v>
      </c>
      <c r="D419" s="29" t="str">
        <f>IFERROR(__xludf.DUMMYFUNCTION("GOOGLETRANSLATE(B419, ""en"", ""pt-br"")"),"Produto decente a um preço certo., Parece bom., Boa qualidade e durável Powerbank na faixa de 1k | Revisão, este é o segundo banco de energia da Ambrane India, estou feliz, é pesado, mas bom, bom produto, bom banco de energia, o poder é mais volumoso")</f>
        <v>Produto decente a um preço certo., Parece bom., Boa qualidade e durável Powerbank na faixa de 1k | Revisão, este é o segundo banco de energia da Ambrane India, estou feliz, é pesado, mas bom, bom produto, bom banco de energia, o poder é mais volumoso</v>
      </c>
      <c r="E419" s="29" t="str">
        <f>IFERROR(__xludf.DUMMYFUNCTION("GOOGLETRANSLATE(C419, ""en"", ""pt-br"")"),"Comprei este banco de poder para usar durante minhas férias com a família. É resistente, mas um pouco mais pesado. Pode carregar três telefones por vez se você usar a porta USB e terceira terceira porte C para carregar. A velocidade de carregamento é boa "&amp;"e apropriada. A única desvantagem que experimentei é o peso do próprio banco de poder, sem essa limitação, pode ser um produto realmente incrível de comprar., Um pouco pesado, mas faz o trabalho. Leva muitooooo muito tempo para cobrar. Qualquer que seja a"&amp;" menção na descrição, não está correta no que diz respeito ao carregamento do PowerBank., Eu precisava de um banco de energia extra com uma capacidade maior. Então, desta vez, pensei em experimentar a Ambrane, pois já tenho Honor &amp; Mi Power Banks (10000mA"&amp;"h). Embora não tenha sido uma combinação perfeita para o MI ou a honra, o IIT cumpriu minhas expectativas para a faixa de 1k. ••••••••••••••••• → PowerBank → Cabo microUSB → Carry Bolsa (depende de qual pacote você recebeu, mais abaixo) → Manual do usuári"&amp;"o/cartão de garantia → Folhetos gerais → Folhetos de feedback •••• ••••••••••••••••••••• 📝 Alguns detalhes : Outubro de 2019 → Horário de carregamento: 9 horas 50 min (via carregador de 10W, baixa indicação de bateria para carga total) → Backup: consegui"&amp;"u carregar (5-100%) Redmi Note 5 Bateria de 4000mAs do Pro PRO ~ 3,5 vezes com uso regular entre . •••••••••••• ➕ Pros ••••••••••••• 1. Banco de energia de alta capacidade com entrada dupla (micro USB ou USB C) .2. Saída dupla por meio de 2 portas USB.3. "&amp;"Não é um dispositivo rápido de carga/carga rápida, mas possui uma saída de 5V/2.4A (12W), que é boa o suficiente.4. Botão de toque para verificações de energia ou ligue -o para o dispositivo de carregamento. Ele vem com uma bolsa de transporte. (Mais abai"&amp;"xo nesta parte) .6. Fator de forma compacta e design resistente com corpo ABS. Não é iniciado automaticamente quando o dispositivo está conectado. Como possui um botão de toque em vez de botão, ele ativa acidentalmente alternando-o sempre durante o manuse"&amp;"io. Há muita perda e backup de conversão é um pouco menor para um banco de energia de 20000mAh. ▶ Os contras são significativos o suficiente para reduzir 1 estrela. Há escopo para melhorias (pontos 1 e 2) neste produto no mesmo intervalo. Então ★★★★ Dispo"&amp;"sitivo. → 1º/2º/3º/4º LED piscando (enquanto cobra o banco de energia): status de carga em termos de número de LEDs piscando → 1/2/3/4 LEDs White Solid (enquanto carregava outros dispositivos): status da bateria restante em Termos do NO dos LEDs → Um pisc"&amp;"ar (enquanto carregava outros dispositivos): Bateria baixa → Todos os 4 brilho sólido LED: bateria totalmente carregada ••••••••••••••••••••••••••••••••••••••••••••••••••••••••••••••••••••••••••••••••••••••••••••••••••••••••••••••••••••••••••••• 🔊 Caixa "&amp;"de Ambrane Debate • 1. Quando recebi esse banco de energia, ele veio em uma pequena caixa (aproximadamente 12x9x3cm, MFG: agosto de 2019) com tudo forçado no espaço congestionado. O problema que eu tive neste foi que ele veio com selo aberto e sem embrulh"&amp;"o poli em torno da caixa de produtos como se fosse um produto usado ou fosse adulterado no meio. Então, foi cético em relação à autenticidade do produto e pediu uma substituição imediatamente. → Este tinha um cabo USB C, mas sem bolsa de transporte.2. Qua"&amp;"ndo a substituição veio, ele veio em uma caixa maior poli-embrulhada (22x10x4 cm, MFG: outubro de 2019) com uma manga externa e uma caixa principal dentro com uma vedação de holograma. Talvez a Ambrane tenha mudado a embalagem. O selo do holograma aqui es"&amp;"tava intacto, mas também não foi aplicado corretamente para garantir a abertura. Parecia que foi aplicado com uma caixa aberta. Portanto, sua presença era inútil. → Este veio com cabo micro USB e uma bolsa de transporte. •••••••••••••••••••••• → Como minh"&amp;"a bolsa de transporte de análise vem com o último lote de outubro que vem em uma caixa maior e não estava disponível no estacionamento anterior com uma pequena caixa. → O tamanho da bolsa de transporte era apropriado para o Banco de Power e eu não tive pr"&amp;"oblemas para inserir o Banco de Power. (Alguns usuários relataram ter uma abertura menor, mas eu não tive problemas com isso e achei que era um ajuste adequado. Nem solto nem apertado. → sua bolsa de malha de nylon macia e é um belo complemento. •••••••••"&amp;" 🏆 Verdict •••••••••••••••••• Gu no preço não é um mau negócio. É um caminho intermediário b/w de baixa qualidade e alta qualidade Você pode muito bem ir para a Ambrane, pois faz bancos de potência de boa qualidade e duráveis. Descanse, nada é perfeito n"&amp;"este mundo. Somente essa coisa, a política de substituição de 10 dias da Amazon e a garantia de 1 ano da Ambame estão disponíveis. ▶ Se alguém puder estender o orçamento em algumas centenas, o Mi Power Bank será uma opção melhor com um corpo metálico e me"&amp;"lhor qualidade em geral. Eu tenho MI, Honor &amp; Ambrane Power Bank e sua classificação geral será (de baixa a alta) Ambrane → Honra → MI, estou colocando esta revisão após 1 dia de uso. Este é o segundo banco de energia que comprei da Ambrane India Geral Po"&amp;"wer Bank para minha família. Antes disso, comprei o PP-30 30000 MAH Model e também possui Mi 2i 20000 Mah Power Bank foram realmente bons, aqui estou montando todos os prós e contras que sou capaz de encontrar após 1 dia de uso e também um pouco de compar"&amp;"ação. Meu pai usa o Redmi Note 7, minha mãe tem Mi A1 e estou usando o Redmi Note 3Pros:- Dual entrada tipo C e Micro USB Este é o principal e principal motivo de escolher esse banco de poder em vez de Mi ou outras marcas como você não T necessidade de tr"&amp;"ansportar dois cabos se o seu telefone tiver entrada do tipo C, que na minha família 2 de 3 tem o mesmo e fácil de transportar e segurar, pois é muito compacto é o tamanho que devo dizer em comparação com mi ou pp-30- Capacidade sólida e robusta de 20000 "&amp;"Mah com as mesmas baterias de polímero de lítio, elas são mais seguras do que as baterias de íons de lítio, isso eu conheci ao comprar este produto- ₹ 200 Preço mais barato do que o botão Mi-Touch na parte superior para saber o status de energia (este é a"&amp;"lgo único)- Demorou menos de 1 hora para carregar minha nota 3 do Redmi de 13% a 100% no indicador de bateria de 2 células, o que é muito bom e quase equivalente ao meu carregador de parede, a melhor parte do mesmo tempo e velocidade de carregamento no me"&amp;"trô de Delhi - Eu não sei também é profissional ou confronte, os meus outros bancos de poder suportam a tecnologia Qualcomm Quick Charge 3.0, enquanto esse banco de energia suporta apenas uma cobrança rápida a 2,4 amp, mas sinto que isso cobrou meu telefo"&amp;"ne melhor e mais rápido que o MI próprio banco de energia. Sei que um telefone também deve suportar a tecnologia de carga rápida para carregar rápido, mas quando eu uso uma carga rápida no Redmi Note 7 do meu pai (que suporta QC 4.0) do Mi Power Bank ou d"&amp;"o Ambrane PP-30 Power Bank, ele meio que aquece o telefone , também flutua a energia e alterna automaticamente entre carga rápida e carregamento rápido, o que afeta a duração da bateria, por isso é mais seguro carregar o telefone na corrente ideal em 2,4 "&amp;"ampcons:- embalagens muito abafadas, parece que o banco de potência foi Forçado totalmente recheado dentro da caixa- ele tem alguma fita adesiva no topo, eu não sei por quê? O que, quando você o remove, coloca arranhões na parte superior, tome cuidado ao "&amp;"remover a mesma luz da mesma tocha, o PP-30 possui-o- apenas micro cabo dentro da caixa, definitivamente pesado, mas eu sabia disso. Vou recomendar isso, pois possui 2 slots para que possamos carregar dois telefones., Produto agradável, o backup de energi"&amp;"a é bom. Mas o cabo USB fornecido é muito ruim. Parou de funcionar após alguns meses de uso, tudo é bom, mas a bateria não durou tanto quando o uso para carregar dois dispositivos.")</f>
        <v>Comprei este banco de poder para usar durante minhas férias com a família. É resistente, mas um pouco mais pesado. Pode carregar três telefones por vez se você usar a porta USB e terceira terceira porte C para carregar. A velocidade de carregamento é boa e apropriada. A única desvantagem que experimentei é o peso do próprio banco de poder, sem essa limitação, pode ser um produto realmente incrível de comprar., Um pouco pesado, mas faz o trabalho. Leva muitooooo muito tempo para cobrar. Qualquer que seja a menção na descrição, não está correta no que diz respeito ao carregamento do PowerBank., Eu precisava de um banco de energia extra com uma capacidade maior. Então, desta vez, pensei em experimentar a Ambrane, pois já tenho Honor &amp; Mi Power Banks (10000mAh). Embora não tenha sido uma combinação perfeita para o MI ou a honra, o IIT cumpriu minhas expectativas para a faixa de 1k. ••••••••••••••••• → PowerBank → Cabo microUSB → Carry Bolsa (depende de qual pacote você recebeu, mais abaixo) → Manual do usuário/cartão de garantia → Folhetos gerais → Folhetos de feedback •••• ••••••••••••••••••••• 📝 Alguns detalhes : Outubro de 2019 → Horário de carregamento: 9 horas 50 min (via carregador de 10W, baixa indicação de bateria para carga total) → Backup: conseguiu carregar (5-100%) Redmi Note 5 Bateria de 4000mAs do Pro PRO ~ 3,5 vezes com uso regular entre . •••••••••••• ➕ Pros ••••••••••••• 1. Banco de energia de alta capacidade com entrada dupla (micro USB ou USB C) .2. Saída dupla por meio de 2 portas USB.3. Não é um dispositivo rápido de carga/carga rápida, mas possui uma saída de 5V/2.4A (12W), que é boa o suficiente.4. Botão de toque para verificações de energia ou ligue -o para o dispositivo de carregamento. Ele vem com uma bolsa de transporte. (Mais abaixo nesta parte) .6. Fator de forma compacta e design resistente com corpo ABS. Não é iniciado automaticamente quando o dispositivo está conectado. Como possui um botão de toque em vez de botão, ele ativa acidentalmente alternando-o sempre durante o manuseio. Há muita perda e backup de conversão é um pouco menor para um banco de energia de 20000mAh. ▶ Os contras são significativos o suficiente para reduzir 1 estrela. Há escopo para melhorias (pontos 1 e 2) neste produto no mesmo intervalo. Então ★★★★ Dispositivo. → 1º/2º/3º/4º LED piscando (enquanto cobra o banco de energia): status de carga em termos de número de LEDs piscando → 1/2/3/4 LEDs White Solid (enquanto carregava outros dispositivos): status da bateria restante em Termos do NO dos LEDs → Um piscar (enquanto carregava outros dispositivos): Bateria baixa → Todos os 4 brilho sólido LED: bateria totalmente carregada ••••••••••••••••••••••••••••••••••••••••••••••••••••••••••••••••••••••••••••••••••••••••••••••••••••••••••••••••••••••••••••• 🔊 Caixa de Ambrane Debate • 1. Quando recebi esse banco de energia, ele veio em uma pequena caixa (aproximadamente 12x9x3cm, MFG: agosto de 2019) com tudo forçado no espaço congestionado. O problema que eu tive neste foi que ele veio com selo aberto e sem embrulho poli em torno da caixa de produtos como se fosse um produto usado ou fosse adulterado no meio. Então, foi cético em relação à autenticidade do produto e pediu uma substituição imediatamente. → Este tinha um cabo USB C, mas sem bolsa de transporte.2. Quando a substituição veio, ele veio em uma caixa maior poli-embrulhada (22x10x4 cm, MFG: outubro de 2019) com uma manga externa e uma caixa principal dentro com uma vedação de holograma. Talvez a Ambrane tenha mudado a embalagem. O selo do holograma aqui estava intacto, mas também não foi aplicado corretamente para garantir a abertura. Parecia que foi aplicado com uma caixa aberta. Portanto, sua presença era inútil. → Este veio com cabo micro USB e uma bolsa de transporte. •••••••••••••••••••••• → Como minha bolsa de transporte de análise vem com o último lote de outubro que vem em uma caixa maior e não estava disponível no estacionamento anterior com uma pequena caixa. → O tamanho da bolsa de transporte era apropriado para o Banco de Power e eu não tive problemas para inserir o Banco de Power. (Alguns usuários relataram ter uma abertura menor, mas eu não tive problemas com isso e achei que era um ajuste adequado. Nem solto nem apertado. → sua bolsa de malha de nylon macia e é um belo complemento. ••••••••• 🏆 Verdict •••••••••••••••••• Gu no preço não é um mau negócio. É um caminho intermediário b/w de baixa qualidade e alta qualidade Você pode muito bem ir para a Ambrane, pois faz bancos de potência de boa qualidade e duráveis. Descanse, nada é perfeito neste mundo. Somente essa coisa, a política de substituição de 10 dias da Amazon e a garantia de 1 ano da Ambame estão disponíveis. ▶ Se alguém puder estender o orçamento em algumas centenas, o Mi Power Bank será uma opção melhor com um corpo metálico e melhor qualidade em geral. Eu tenho MI, Honor &amp; Ambrane Power Bank e sua classificação geral será (de baixa a alta) Ambrane → Honra → MI, estou colocando esta revisão após 1 dia de uso. Este é o segundo banco de energia que comprei da Ambrane India Geral Power Bank para minha família. Antes disso, comprei o PP-30 30000 MAH Model e também possui Mi 2i 20000 Mah Power Bank foram realmente bons, aqui estou montando todos os prós e contras que sou capaz de encontrar após 1 dia de uso e também um pouco de comparação. Meu pai usa o Redmi Note 7, minha mãe tem Mi A1 e estou usando o Redmi Note 3Pros:- Dual entrada tipo C e Micro USB Este é o principal e principal motivo de escolher esse banco de poder em vez de Mi ou outras marcas como você não T necessidade de transportar dois cabos se o seu telefone tiver entrada do tipo C, que na minha família 2 de 3 tem o mesmo e fácil de transportar e segurar, pois é muito compacto é o tamanho que devo dizer em comparação com mi ou pp-30- Capacidade sólida e robusta de 20000 Mah com as mesmas baterias de polímero de lítio, elas são mais seguras do que as baterias de íons de lítio, isso eu conheci ao comprar este produto- ₹ 200 Preço mais barato do que o botão Mi-Touch na parte superior para saber o status de energia (este é algo único)- Demorou menos de 1 hora para carregar minha nota 3 do Redmi de 13% a 100% no indicador de bateria de 2 células, o que é muito bom e quase equivalente ao meu carregador de parede, a melhor parte do mesmo tempo e velocidade de carregamento no metrô de Delhi - Eu não sei também é profissional ou confronte, os meus outros bancos de poder suportam a tecnologia Qualcomm Quick Charge 3.0, enquanto esse banco de energia suporta apenas uma cobrança rápida a 2,4 amp, mas sinto que isso cobrou meu telefone melhor e mais rápido que o MI próprio banco de energia. Sei que um telefone também deve suportar a tecnologia de carga rápida para carregar rápido, mas quando eu uso uma carga rápida no Redmi Note 7 do meu pai (que suporta QC 4.0) do Mi Power Bank ou do Ambrane PP-30 Power Bank, ele meio que aquece o telefone , também flutua a energia e alterna automaticamente entre carga rápida e carregamento rápido, o que afeta a duração da bateria, por isso é mais seguro carregar o telefone na corrente ideal em 2,4 ampcons:- embalagens muito abafadas, parece que o banco de potência foi Forçado totalmente recheado dentro da caixa- ele tem alguma fita adesiva no topo, eu não sei por quê? O que, quando você o remove, coloca arranhões na parte superior, tome cuidado ao remover a mesma luz da mesma tocha, o PP-30 possui-o- apenas micro cabo dentro da caixa, definitivamente pesado, mas eu sabia disso. Vou recomendar isso, pois possui 2 slots para que possamos carregar dois telefones., Produto agradável, o backup de energia é bom. Mas o cabo USB fornecido é muito ruim. Parou de funcionar após alguns meses de uso, tudo é bom, mas a bateria não durou tanto quando o uso para carregar dois dispositivos.</v>
      </c>
    </row>
    <row r="420">
      <c r="A420" s="9" t="s">
        <v>46</v>
      </c>
      <c r="B420" s="29" t="str">
        <f>VLOOKUP(dados!A420, reviews!A:G, 5, FALSE)</f>
        <v>Long durable.,good,Does not charge Lenovo m8 tab,Best charging cable,good,Boat,Product was good,1.5 m का केबल मेरे लिए बहुत ही लाभदायक है ।</v>
      </c>
      <c r="C420" s="29" t="str">
        <f>VLOOKUP(dados!A420, reviews!A:G, 6, FALSE)</f>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quality,1.5एम का डाटा केबल मेरे लिए बहुत ही लाभदायक है ।  मैं इस केबल को लाइन में चार्ज करते समय फोन बहुत आराम से उपयोग  कर पा रहा हु । आप इस केबल से 15watt का  चार्जर उसे कर सकते है (इससे जड़ा नही) । लोकल बाजार में इसका दाम 150 है ,  अमेजन पे ये केबल मुझे 67 में मिला । गर्व से कहो हम हिंदू है , जय हिंद जय भारत ,</v>
      </c>
      <c r="D420" s="29" t="str">
        <f>IFERROR(__xludf.DUMMYFUNCTION("GOOGLETRANSLATE(B420, ""en"", ""pt-br"")"),"Durável longo., Bom, não carrega a guia Lenovo M8, o melhor cabo de carregamento, bom, barco, produto foi bom, 1,5 m का केबल मेरे लिए बहुत ही लाभदायक है।।।")</f>
        <v>Durável longo., Bom, não carrega a guia Lenovo M8, o melhor cabo de carregamento, bom, barco, produto foi bom, 1,5 m का केबल मेरे लिए बहुत ही लाभदायक है।।।</v>
      </c>
      <c r="E420" s="29" t="str">
        <f>IFERROR(__xludf.DUMMYFUNCTION("GOOGLETRANSLATE(C420, ""en"", ""pt-br"")"),"A qualidade de construção é boa e vem com garantia de 2 anos., Bom produto, comprou para carregar meu celular e guia, mas não funciona para a guia Lenovo M8, pessoal, este cabo é melhor comparar todos sobre proteção de calor, rapidamente Carregamento, mas"&amp;" a chance de chocar o circuito, bom, agradável, de boa qualidade, 1.5 एम का डाटा केबल मेरे लिए बहुत ही लाभदायक है।।।।।।।।। मैं इस केबल को लाइन में चार्ज करते समय फोन बहुत आराम से क कर पा marca फोन आ आ। आप इस केबल से 15watt का चार्जर उसे कक सकते है (इससे ज"&amp;"ड़ा नही)। लोकल बाजार में इसका दाम 150 है, अमेजन पे ये केबल मुझे 67 में मिला। गर्व से कहो हम हिंदू है, जय हिंद जय भारत,")</f>
        <v>A qualidade de construção é boa e vem com garantia de 2 anos., Bom produto, comprou para carregar meu celular e guia, mas não funciona para a guia Lenovo M8, pessoal, este cabo é melhor comparar todos sobre proteção de calor, rapidamente Carregamento, mas a chance de chocar o circuito, bom, agradável, de boa qualidade, 1.5 एम का डाटा केबल मेरे लिए बहुत ही लाभदायक है।।।।।।।।। मैं इस केबल को लाइन में चार्ज करते समय फोन बहुत आराम से क कर पा marca फोन आ आ। आप इस केबल से 15watt का चार्जर उसे कक सकते है (इससे जड़ा नही)। लोकल बाजार में इसका दाम 150 है, अमेजन पे ये केबल मुझे 67 में मिला। गर्व से कहो हम हिंदू है, जय हिंद जय भारत,</v>
      </c>
    </row>
    <row r="421">
      <c r="A421" s="9" t="s">
        <v>1727</v>
      </c>
      <c r="B421" s="29" t="str">
        <f>VLOOKUP(dados!A421, reviews!A:G, 5, FALSE)</f>
        <v>Phone, camera, heating - works for me, may not for all,Good Mobile,Good but not excellent under this budget,Worth the price at 9499,Ok type phone... but unable to make videocall within same service provider.,Phone review,Budget king,Battery backup is good</v>
      </c>
      <c r="C421" s="29" t="str">
        <f>VLOOKUP(dados!A421, reviews!A:G,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D421" s="29" t="str">
        <f>IFERROR(__xludf.DUMMYFUNCTION("GOOGLETRANSLATE(B421, ""en"", ""pt-br"")"),"Telefone, câmera, aquecimento - funciona para mim, pode não para todos, bom celular, bom, mas não excelente sob esse orçamento, vale o preço em 9499, ok tipo telefone ... mas não consegue fazer videocall no mesmo provedor de serviços., Telefone Revisão, o"&amp;"rçamento rei, backup de bateria é bom")</f>
        <v>Telefone, câmera, aquecimento - funciona para mim, pode não para todos, bom celular, bom, mas não excelente sob esse orçamento, vale o preço em 9499, ok tipo telefone ... mas não consegue fazer videocall no mesmo provedor de serviços., Telefone Revisão, orçamento rei, backup de bateria é bom</v>
      </c>
      <c r="E421" s="29" t="str">
        <f>IFERROR(__xludf.DUMMYFUNCTION("GOOGLETRANSLATE(C421, ""en"", ""pt-br"")"),"Não sou grande uso da câmera, pessoalmente. Eu até estava mentalmente preparado para uma câmera ruim, com base em alguns comentários aqui. Mas fiquei agradavelmente surpreso que a câmera clique em boas fotos. Eles não são impressionantes, mas são fotos de"&amp;"centes que podem até ser compartilhadas. Agora, chegando ao meu maior galope; problema de aquecimento. O telefone começou a esquentar durante o carregamento, mas era apenas um pouco e eu poderia ter ignorado. Mas então começou a esquentar mais e me deixou"&amp;" muito preocupado. Eu até pedi um substituto pensando que recebi uma peça defeituosa. Mas depois, após mais testes, descobri que está aquecendo mais quando baixo grandes quantidades de dados, por exemplo, quando restaurar os dados do meu telefone antigo, "&amp;"de backup. Tudo bem comigo, pois, eu não executo enormes dados de dados regularmente, definitivamente não no telefone. Então eu testei executando tarefas que normalmente realizo, como verificação de e -mails do Office, participando da reunião do escritóri"&amp;"o por telefone, assistindo a um vídeo da Amazon Prime e assim por diante. O telefone não esquentou nem um pouco. Pessoalmente, isso é bom para mim. Nesta faixa de preço, este é um bom telefone. Mas se você é um usuário pesado da câmera e espera executar d"&amp;"ownloads pesados ​​com frequência, este telefone pode não para você. Estou pessoalmente satisfeito com este telefone, pois ele funciona para o meu tipo de uso. Não vou entrar em pontos positivos deste telefone, pois eles já estão cobertos por outras críti"&amp;"cas. Estou apenas tentando esclarecer como este telefone pode se adequar a você (ou não) em termos de câmera e aquecimento. Eu tive muitas perguntas sobre esses aspectos antes de comprar. Talvez esta revisão o ajude a tomar uma decisão informada de compra"&amp;"r (ou evitar). Cheers., Display - Beautycamera - DecentPerformance - AmazingBattery - OK (em 5000mAh, você espera mais TBH). Este telefone, mas continuarei atualizando esta revisão após 1 meses de uso!, É um celular decente sob esse preço, mas poucas cois"&amp;"as me preocuparam, o peso do telefone, muitos procedimentos para alterar algumas configurações, sem fundição de tela. Além disso, tem um bom toque, uma câmera decente para a luz do dia, a duração da bateria é boa. Comprei este smartphone para minha mãe. A"&amp;" interface Samusung é muito punhada para facilitar o uso. A bateria é excelente, o último dia inteiro. A câmera é medíocre, mas fornece imagens coloridas originais. No geral, está satisfeito com este smartphone que recebi à venda por 9499., não conseguiu "&amp;"fazer videochamadas dentro do mesmo provedor de serviços que em VoLTE no mesmo recurso de chamada de videochamada do provedor de serviços está disponível., O produto está bem. Nada chique, mas para o orçamento, é um bom telefone., Bateria: mais do que suf"&amp;"iciente para uso normal, não tenho certeza em gamingcamera: bom neste segmento, pode gravar vídeos em FHD 30fpsDisplay: como é uma tela LCD, a qualidade é um pouco menor, Mas Goodv Ram: você pode adicionar até 2 GB de RAM virtual, mas precisa sacrificar s"&amp;"eu espaço de armazenamento para usá -lo em geral um bom telefone orçamentário, a impressão digital está funcionando com o backup rápido da bateria é boa a qualidade da câmera também é boa")</f>
        <v>Não sou grande uso da câmera, pessoalmente. Eu até estava mentalmente preparado para uma câmera ruim, com base em alguns comentários aqui. Mas fiquei agradavelmente surpreso que a câmera clique em boas fotos. Eles não são impressionantes, mas são fotos decentes que podem até ser compartilhadas. Agora, chegando ao meu maior galope; problema de aquecimento. O telefone começou a esquentar durante o carregamento, mas era apenas um pouco e eu poderia ter ignorado. Mas então começou a esquentar mais e me deixou muito preocupado. Eu até pedi um substituto pensando que recebi uma peça defeituosa. Mas depois, após mais testes, descobri que está aquecendo mais quando baixo grandes quantidades de dados, por exemplo, quando restaurar os dados do meu telefone antigo, de backup. Tudo bem comigo, pois, eu não executo enormes dados de dados regularmente, definitivamente não no telefone. Então eu testei executando tarefas que normalmente realizo, como verificação de e -mails do Office, participando da reunião do escritório por telefone, assistindo a um vídeo da Amazon Prime e assim por diante. O telefone não esquentou nem um pouco. Pessoalmente, isso é bom para mim. Nesta faixa de preço, este é um bom telefone. Mas se você é um usuário pesado da câmera e espera executar downloads pesados ​​com frequência, este telefone pode não para você. Estou pessoalmente satisfeito com este telefone, pois ele funciona para o meu tipo de uso. Não vou entrar em pontos positivos deste telefone, pois eles já estão cobertos por outras críticas. Estou apenas tentando esclarecer como este telefone pode se adequar a você (ou não) em termos de câmera e aquecimento. Eu tive muitas perguntas sobre esses aspectos antes de comprar. Talvez esta revisão o ajude a tomar uma decisão informada de comprar (ou evitar). Cheers., Display - Beautycamera - DecentPerformance - AmazingBattery - OK (em 5000mAh, você espera mais TBH). Este telefone, mas continuarei atualizando esta revisão após 1 meses de uso!, É um celular decente sob esse preço, mas poucas coisas me preocuparam, o peso do telefone, muitos procedimentos para alterar algumas configurações, sem fundição de tela. Além disso, tem um bom toque, uma câmera decente para a luz do dia, a duração da bateria é boa. Comprei este smartphone para minha mãe. A interface Samusung é muito punhada para facilitar o uso. A bateria é excelente, o último dia inteiro. A câmera é medíocre, mas fornece imagens coloridas originais. No geral, está satisfeito com este smartphone que recebi à venda por 9499., não conseguiu fazer videochamadas dentro do mesmo provedor de serviços que em VoLTE no mesmo recurso de chamada de videochamada do provedor de serviços está disponível., O produto está bem. Nada chique, mas para o orçamento, é um bom telefone., Bateria: mais do que suficiente para uso normal, não tenho certeza em gamingcamera: bom neste segmento, pode gravar vídeos em FHD 30fpsDisplay: como é uma tela LCD, a qualidade é um pouco menor, Mas Goodv Ram: você pode adicionar até 2 GB de RAM virtual, mas precisa sacrificar seu espaço de armazenamento para usá -lo em geral um bom telefone orçamentário, a impressão digital está funcionando com o backup rápido da bateria é boa a qualidade da câmera também é boa</v>
      </c>
    </row>
    <row r="422">
      <c r="A422" s="9" t="s">
        <v>1730</v>
      </c>
      <c r="B422" s="29" t="str">
        <f>VLOOKUP(dados!A422, reviews!A:G, 5, FALSE)</f>
        <v>NOt worth the money,Good budget smart watch with Alexa,👍,Good product,I don't have flashlight function and speaker is not working,Nice,It's little cost,Wach not working</v>
      </c>
      <c r="C422" s="29" t="str">
        <f>VLOOKUP(dados!A422, reviews!A:G, 6, FALSE)</f>
        <v>Review OverviewAverage2.7The Boat today launched the ‘ Boat Xtend ‘, the company’s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don’t like the color scheme of this Boat Xtend Smartwatch. The black color variant comes with a golden color metallic frame. I believe the gold color would fade away after some time. There are three other color variants, which also don’t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won’t notice the bezels, and the screen quality won’t feel cheap at all. It doesn’t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isn’t much animation on the bar menu, and the navigation is simple, so you won’t find it difficult to use. However, the watch may lag a bit. The company has done cost-cutting in terms of the processor, that’s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won’t find it very useful. Probably you will use it for a day or two out of excitement, and then you won’t prefer using it because it only does some basic tasks. So, even if Boat missed this feature, it won’t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won’t be seeing bugs on the app, and it works perfectly. I haven’t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Monitor.,👍,Plz add calling feature with this,Otherwise it is ok,Good,It's little expensive but okkk,</v>
      </c>
      <c r="D422" s="29" t="str">
        <f>IFERROR(__xludf.DUMMYFUNCTION("GOOGLETRANSLATE(B422, ""en"", ""pt-br"")"),"Não vale o dinheiro, bom orçamento relógio inteligente com Alexa, 👍 👍, bom produto, eu não tenho função de lanterna e o alto -falante não está funcionando, bom, é pouco custo, não está funcionando")</f>
        <v>Não vale o dinheiro, bom orçamento relógio inteligente com Alexa, 👍 👍, bom produto, eu não tenho função de lanterna e o alto -falante não está funcionando, bom, é pouco custo, não está funcionando</v>
      </c>
      <c r="E422" s="29" t="str">
        <f>IFERROR(__xludf.DUMMYFUNCTION("GOOGLETRANSLATE(C422, ""en"", ""pt-br"")"),"Visão geral da revisão. 2.999. O Boat Xtend SmartWatch vem com um design elegante semelhante ao Apple Watch. Além disso, ele tem suporte de Amazon Amazon, rastreamento SPO2, rastreamento de estresse e muito mais. Chegando em um segmento de orçamento, vale"&amp;" a pena? Você deve comprar este smartwatch? Se você também tem essas consultas, não há nada com que se preocupar. É uma revisão detalhada do Boat Xtend Smartwatch, que limpará todas as suas dúvidas. Com conforto ao comprar um smartwatch, sempre pensa em s"&amp;"eu design e aparência. Além dos recursos, o design e a construção é outro aspecto importante que se deve cuidar ao comprar um smartwatch. O barco trabalhou em seu design desta vez, o que o leva a um lado premium em termos de aparência. O design é inspirad"&amp;"o no Apple Watch 3, mas não pode ser comparado a isso. Obviamente, em todos os aspectos, o Apple Watch 3 seria muito melhor do que o barco Smartwatch. O Redmi Watch e o Amazfit Bip U Pro têm a mesma forma e design, mas a qualidade de construção é muito pr"&amp;"emium nesse. A variante de cor preta vem com uma estrutura metálica de cor dourada. Eu acredito que a cor do ouro desapareceria depois de algum tempo. Existem três outras variantes de cores, que também não parecem elegantes como esta. No entanto, essa é a"&amp;" minha opinião pessoal sobre o esquema de cores, então talvez você possa achar que o esquema de cores é bom. Design do barco. Possui tiras de silício, que são bastante confortáveis. As tiras são tiras de boa qualidade que você achará confortável com o uso"&amp;" regular. O que você vê neste é um painel TFT. A tela possui grandes molduras, no entanto, a parte boa é que a tela remonta completamente quando está desligada, para que você não note as molduras e a qualidade da tela não se sentirá barata. Ele não tem um"&amp;"a tela sempre ativa, mas não podemos reclamar disso. O relógio oferece uma tela no horário de até 20 segundos e até 12 níveis de controle de brilho. O View Angle é bom neste, e você pode ver claramente o conteúdo deste smartwatch, mesmo à luz do sol. A co"&amp;"r neste não está muito saturada, mas isso não é algo que podemos reclamar nessa faixa de preço. Apresentar a interface do usuário e a interface do usuário deste smartwatch é limpo e fácil de usar. Há um único botão no relógio que funciona como o botão Pow"&amp;"er/Off, bem como o botão traseiro. Além disso, a tela é uma tela de toques que funciona sem nenhum problema. Não há muita animação no menu do bar, e a navegação é simples, então você não achará difícil de usar. No entanto, o relógio pode ficar um pouco pa"&amp;"ra ficar um pouco. A empresa fez corte de custos em termos de processador, é por isso que você pode encontrar um pouco para ficar um pouco, mas tudo bem, e não é grande coisa no preço que você obtém. Recursos de condicionamento físico, como atividade diár"&amp;"ia (que incluem etapas totais, as calorias queimadas e o tempo), freqüência cardíaca, rastreamento do sono, treinamento de rastreamento de estresse, treinamento em SPO2, meditação, encontre meu telefone e controle musical. Além disso, existem 14 modos de "&amp;"suporte diferentes neste relógio. Eu tentei alguns deles, e eles funcionaram bem. O relógio notifica as chamadas recebidas, as mensagens recebidas e várias outras notificações em detalhes. O relógio possui um microfone embutido e você pode acessá-lo press"&amp;"ionando há muito tempo o botão traseiro. Observe que você só pode executar algumas tarefas básicas com o Alexa no relógio, como definir um alarme, definir um cronômetro e tal. Bem, é bom ter Alexa em um relógio, mas você não achará muito útil. Provavelmen"&amp;"te, você o usará por um dia ou dois por emoção e, em seguida, não prefere usá -lo porque apenas faz algumas tarefas básicas. Portanto, mesmo que o barco tenha perdido esse recurso, não será um problema. Você recebe mais de 100 rostos de relógio no relógio"&amp;", e provavelmente mais rostos de relógio serão adicionados a ele. Além disso, você também pode definir um rosto de relógio personalizado. O aplicativo está disponível para dispositivos Android e iOS. Você não verá bugs no aplicativo e funciona perfeitamen"&amp;"te. Não notei nenhum problema com a conectividade como a desconexão frequente. A interface da onda de barco é limpa e simples. Você obterá todas as opções relacionadas a fitness e todas as configurações do relógio no próprio aplicativo.ABOT XTEND O WAPA A"&amp;"PCACCURACIDACURACIDADE É UM DOS ASPECTOS IMPORTANTES dos quais se deve cuidar ao comprar um smartwatch. Então, falando sobre a precisão, testei tudo neste relógio, da caminhada normal a correr, dormir e muito mais, e acho que os resultados são precisos. t"&amp;"odos eles. Portanto, não há problema com a precisão. Não acho que os resultados sejam precisos na maioria dos rastreadores de condicionamento físico, mas sim, este smartwatch é preciso em termos de rastreamento de fitness, rastreamento do sono e tudo o qu"&amp;"e faz. Recentemente, o nível de estresse e o rastreamento SPO2 são muito mais precisos nesse. Ele também tem a opção de rastrear o ciclo menstrual em mulheres. No entanto, se você usar a maioria dos recursos do relógio, a bateria durará cerca de dois dias"&amp;" e meio. Se você mantiver o brilho baixo, a bateria durará cerca de 3-4 dias. Acho que a duração da bateria é uma desvantagem do relógio. Ele vem com suporte de carregamento do gancho do Magnet. Ele oferece todos os recursos básicos de fitness que você en"&amp;"contrará em um rastreador de fitness orçamentário, uma boa exibição, suporte Alexa, bom design e construção e muito mais. O smartwatch a esse preço é muito bom. Pessoalmente, o que eu não gostei neste smartwatch é seu esquema de cores. No entanto, se você"&amp;" gosta do esquema de cores, eu recomendaria que você vá em frente. No geral, o relógio é bom, sem nada a não gostar, exceto pela duração da bateria. A duração da bateria neste é bastante baixa. A empresa afirma ter uma vida útil da bateria de 7 dias, mas "&amp;"com uso regular, durará 2-3 dias. Se você estiver procurando um bom smartwatch com Rs.5000 e pode se ajustar com a duração da bateria e gosta do esquema de cores, eu recomendaria que você opte por este smartwatch. Oferece todos os recursos que devem estar"&amp;" lá em um smartwatch sob Rs.5000., Pros: 1. Qualidade de construção premium com estrutura de policarbonato de acabamento fosco, boas tiras de silicone macias que estão absolutamente niveladas com o corpo do relógio. Colorias atraentes e modernas. A freqüê"&amp;"ncia cardíaca (exceto picos de freqüência cardíaca no treinamento com pesos), o pedômetro (etapa contador) são precisos, mas o SPO2 está desativado em +/- 2% quando comparado às leituras de oxímetro de pulso. Mas a maioria dos relógios inteligentes oferec"&amp;"e a mesma precisão. O rastreamento do sono é preciso apenas para a hora de dormir e acordar, duração, mas os estágios do sono são imprecisos. Sono leve, profundo, acordar detectado, mas nenhum sono REM detectado. Os dados do sono do relógio sincronizam su"&amp;"avemente com o aplicativo de onda de barco. Problemas Aviso de msg se o relógio não estiver usado à mão corretamente e não detecta dados de superfícies. Grande (1,69 ""), LCD IPS claro e claro, exibida no sol. Resposta de rolagem aceitável se o dedo se mo"&amp;"veu na diagonal em vez de verticalmente.5. No aplicativo, o GPS funciona de maneira excelente. Excelente rastreamento de rota no mapa. Esse recurso não é anunciado em sua descrição.6. A conectividade Bluetooth 5.0 é boa se o celular for mantido próximo ( "&amp;"7m). O aplicativo de onda de barco deve permanecer em segundo plano em todos os momentos.7. Definitivamente, a prova de respingos, embora não tenha corrigido o risco de submergir o relógio.8. Todas as notificações estão funcionando, nenhum problema com al"&amp;"ertas de chamada ou msgs sms ou Notificações de aplicativos de mídia social. Não há atrasos, embora haja provisão para um atraso de 3 segundos que pode ser ativado. pode ser controlado facilmente usando o Alexa embutido no relógio. O Alexa pode fazer cálc"&amp;"ulos matemáticos, conversões de moeda e até traduções de língua estrangeira, além de fornecer informações sobre qualquer coisa sob o sol. Mas, é claro, Alexa não pode fazer ligações. Alexa pode definir alarme, timer também.10. Alerta sedentário, lembrete "&amp;"de água potável, alerta de tensão, alerta de ciclo menstrual, alarmes, temporizadores funcionam bem.11. O aplicativo de onda de barco se conecta facilmente e nenhum atraso observado. Os dados sincronizam sem problemas com o aplicativo Google Fit. Excelent"&amp;"es relatórios de saúde e sistema de recompensas motivacionais na forma de crachás. Mas as configurações podem ser alteradas apenas através do aplicativo e o relógio precisa ser reiniciado para que as novas configurações sejam efetivas.12. Treinamento, mod"&amp;"os esportivos r bons.13. O modo de respiração guiada também é bom. Encontre meu telefone funciona bem. Extremamente elegante, leve e confortável para o uso do dia todo. 07 ASSISTA ROSTOS DISPONÍVEIS NO DEPISTADO COM 04 predefinição que não pode ser excluí"&amp;"da. O restante pode ser alterado a partir do aplicativo de onda de barco.CONS: 1. Não possui controle de intensidade de vibração. Falte o obturador de controle da câmera. Mas não consigo descobrir seu uso, pois meu aparelho aceita comandos de voz e gestos"&amp;" para clicar em fotos. Não há mensagens de resposta rápidas para notificações/alertas de chamada.4. Nenhum recurso de aceitação ou silenciamento de chamada. Uma contorna pode ser se o aparelho Bluetooth estiver conectado ao mesmo tempo. O SPO2 não é preci"&amp;"so e às vezes congela 97%. Mas isso é comum em todos os relógios inteligentes. A bateria não dura mais de 03 dias se a medição contínua de RH estiver ligada. Caso contrário, dura facilmente 7 dias. Os rostos de assistir são muito infantis. Designs de melh"&amp;"or qualidade esperados. A empresa pode melhorar facilmente isso em sua próxima atualização. Substituição apenas do Amazon Prime, nenhuma política de reembolso não é boa. Pelo menos a mudança de cor deve ser permitida uma vez. O recurso de controle musical"&amp;" não exibe o título da música. Nenhum recurso de monitoramento da BP ou monitoramento de temperatura. Os relógios inteligentes geralmente não fornecem dados de BP confiáveis. Nenhum recurso de chamada. Mas não importa, pois a maioria não quer que as conve"&amp;"rsas sejam públicas. Um pouco grande para pulsos estreitos, a banda @22 mm é um pouco larga.13. A empresa deve fornecer um protetor de vidro temperado. Nenhuma menção de vidro de proteção na tela mencionada. Anexou um vidro temperado escocês comprado sepa"&amp;"radamente.14. Na verdade, existem apenas 10 modos esportivos. O barco inchou a lista com combate interno outdoor de 4 esportes (caminhada, corrida, natação, ciclismo) .15. Não há sensor de luz. O brilho automático depende apenas do tempo, mas funciona bem"&amp;". Foi um presente de aniversário de casamento para minha esposa, que gostou muito da cor- o sempre-verde e clássico-preto dourado. No geral, o melhor relógio inteligente com o Alexa incorporado, disponível pelo preço do orçamento abaixo de Rs 3000. Um exc"&amp;"elente rastreador de fitness, mas médio de monitor de saúde., 👍, por favor, adicione o recurso de chamada com isso, caso contrário, está bom, bom, é pouco caro Mas Okkk,")</f>
        <v>Visão geral da revisão. 2.999. O Boat Xtend SmartWatch vem com um design elegante semelhante ao Apple Watch. Além disso, ele tem suporte de Amazon Amazon, rastreamento SPO2, rastreamento de estresse e muito mais. Chegando em um segmento de orçamento, vale a pena? Você deve comprar este smartwatch? Se você também tem essas consultas, não há nada com que se preocupar. É uma revisão detalhada do Boat Xtend Smartwatch, que limpará todas as suas dúvidas. Com conforto ao comprar um smartwatch, sempre pensa em seu design e aparência. Além dos recursos, o design e a construção é outro aspecto importante que se deve cuidar ao comprar um smartwatch. O barco trabalhou em seu design desta vez, o que o leva a um lado premium em termos de aparência. O design é inspirado no Apple Watch 3, mas não pode ser comparado a isso. Obviamente, em todos os aspectos, o Apple Watch 3 seria muito melhor do que o barco Smartwatch. O Redmi Watch e o Amazfit Bip U Pro têm a mesma forma e design, mas a qualidade de construção é muito premium nesse. A variante de cor preta vem com uma estrutura metálica de cor dourada. Eu acredito que a cor do ouro desapareceria depois de algum tempo. Existem três outras variantes de cores, que também não parecem elegantes como esta. No entanto, essa é a minha opinião pessoal sobre o esquema de cores, então talvez você possa achar que o esquema de cores é bom. Design do barco. Possui tiras de silício, que são bastante confortáveis. As tiras são tiras de boa qualidade que você achará confortável com o uso regular. O que você vê neste é um painel TFT. A tela possui grandes molduras, no entanto, a parte boa é que a tela remonta completamente quando está desligada, para que você não note as molduras e a qualidade da tela não se sentirá barata. Ele não tem uma tela sempre ativa, mas não podemos reclamar disso. O relógio oferece uma tela no horário de até 20 segundos e até 12 níveis de controle de brilho. O View Angle é bom neste, e você pode ver claramente o conteúdo deste smartwatch, mesmo à luz do sol. A cor neste não está muito saturada, mas isso não é algo que podemos reclamar nessa faixa de preço. Apresentar a interface do usuário e a interface do usuário deste smartwatch é limpo e fácil de usar. Há um único botão no relógio que funciona como o botão Power/Off, bem como o botão traseiro. Além disso, a tela é uma tela de toques que funciona sem nenhum problema. Não há muita animação no menu do bar, e a navegação é simples, então você não achará difícil de usar. No entanto, o relógio pode ficar um pouco para ficar um pouco. A empresa fez corte de custos em termos de processador, é por isso que você pode encontrar um pouco para ficar um pouco, mas tudo bem, e não é grande coisa no preço que você obtém. Recursos de condicionamento físico, como atividade diária (que incluem etapas totais, as calorias queimadas e o tempo), freqüência cardíaca, rastreamento do sono, treinamento de rastreamento de estresse, treinamento em SPO2, meditação, encontre meu telefone e controle musical. Além disso, existem 14 modos de suporte diferentes neste relógio. Eu tentei alguns deles, e eles funcionaram bem. O relógio notifica as chamadas recebidas, as mensagens recebidas e várias outras notificações em detalhes. O relógio possui um microfone embutido e você pode acessá-lo pressionando há muito tempo o botão traseiro. Observe que você só pode executar algumas tarefas básicas com o Alexa no relógio, como definir um alarme, definir um cronômetro e tal. Bem, é bom ter Alexa em um relógio, mas você não achará muito útil. Provavelmente, você o usará por um dia ou dois por emoção e, em seguida, não prefere usá -lo porque apenas faz algumas tarefas básicas. Portanto, mesmo que o barco tenha perdido esse recurso, não será um problema. Você recebe mais de 100 rostos de relógio no relógio, e provavelmente mais rostos de relógio serão adicionados a ele. Além disso, você também pode definir um rosto de relógio personalizado. O aplicativo está disponível para dispositivos Android e iOS. Você não verá bugs no aplicativo e funciona perfeitamente. Não notei nenhum problema com a conectividade como a desconexão frequente. A interface da onda de barco é limpa e simples. Você obterá todas as opções relacionadas a fitness e todas as configurações do relógio no próprio aplicativo.ABOT XTEND O WAPA APCACCURACIDACURACIDADE É UM DOS ASPECTOS IMPORTANTES dos quais se deve cuidar ao comprar um smartwatch. Então, falando sobre a precisão, testei tudo neste relógio, da caminhada normal a correr, dormir e muito mais, e acho que os resultados são precisos. todos eles. Portanto, não há problema com a precisão. Não acho que os resultados sejam precisos na maioria dos rastreadores de condicionamento físico, mas sim, este smartwatch é preciso em termos de rastreamento de fitness, rastreamento do sono e tudo o que faz. Recentemente, o nível de estresse e o rastreamento SPO2 são muito mais precisos nesse. Ele também tem a opção de rastrear o ciclo menstrual em mulheres. No entanto, se você usar a maioria dos recursos do relógio, a bateria durará cerca de dois dias e meio. Se você mantiver o brilho baixo, a bateria durará cerca de 3-4 dias. Acho que a duração da bateria é uma desvantagem do relógio. Ele vem com suporte de carregamento do gancho do Magnet. Ele oferece todos os recursos básicos de fitness que você encontrará em um rastreador de fitness orçamentário, uma boa exibição, suporte Alexa, bom design e construção e muito mais. O smartwatch a esse preço é muito bom. Pessoalmente, o que eu não gostei neste smartwatch é seu esquema de cores. No entanto, se você gosta do esquema de cores, eu recomendaria que você vá em frente. No geral, o relógio é bom, sem nada a não gostar, exceto pela duração da bateria. A duração da bateria neste é bastante baixa. A empresa afirma ter uma vida útil da bateria de 7 dias, mas com uso regular, durará 2-3 dias. Se você estiver procurando um bom smartwatch com Rs.5000 e pode se ajustar com a duração da bateria e gosta do esquema de cores, eu recomendaria que você opte por este smartwatch. Oferece todos os recursos que devem estar lá em um smartwatch sob Rs.5000., Pros: 1. Qualidade de construção premium com estrutura de policarbonato de acabamento fosco, boas tiras de silicone macias que estão absolutamente niveladas com o corpo do relógio. Colorias atraentes e modernas. A freqüência cardíaca (exceto picos de freqüência cardíaca no treinamento com pesos), o pedômetro (etapa contador) são precisos, mas o SPO2 está desativado em +/- 2% quando comparado às leituras de oxímetro de pulso. Mas a maioria dos relógios inteligentes oferece a mesma precisão. O rastreamento do sono é preciso apenas para a hora de dormir e acordar, duração, mas os estágios do sono são imprecisos. Sono leve, profundo, acordar detectado, mas nenhum sono REM detectado. Os dados do sono do relógio sincronizam suavemente com o aplicativo de onda de barco. Problemas Aviso de msg se o relógio não estiver usado à mão corretamente e não detecta dados de superfícies. Grande (1,69 "), LCD IPS claro e claro, exibida no sol. Resposta de rolagem aceitável se o dedo se moveu na diagonal em vez de verticalmente.5. No aplicativo, o GPS funciona de maneira excelente. Excelente rastreamento de rota no mapa. Esse recurso não é anunciado em sua descrição.6. A conectividade Bluetooth 5.0 é boa se o celular for mantido próximo ( 7m). O aplicativo de onda de barco deve permanecer em segundo plano em todos os momentos.7. Definitivamente, a prova de respingos, embora não tenha corrigido o risco de submergir o relógio.8. Todas as notificações estão funcionando, nenhum problema com alertas de chamada ou msgs sms ou Notificações de aplicativos de mídia social. Não há atrasos, embora haja provisão para um atraso de 3 segundos que pode ser ativado. pode ser controlado facilmente usando o Alexa embutido no relógio. O Alexa pode fazer cálculos matemáticos, conversões de moeda e até traduções de língua estrangeira, além de fornecer informações sobre qualquer coisa sob o sol. Mas, é claro, Alexa não pode fazer ligações. Alexa pode definir alarme, timer também.10. Alerta sedentário, lembrete de água potável, alerta de tensão, alerta de ciclo menstrual, alarmes, temporizadores funcionam bem.11. O aplicativo de onda de barco se conecta facilmente e nenhum atraso observado. Os dados sincronizam sem problemas com o aplicativo Google Fit. Excelentes relatórios de saúde e sistema de recompensas motivacionais na forma de crachás. Mas as configurações podem ser alteradas apenas através do aplicativo e o relógio precisa ser reiniciado para que as novas configurações sejam efetivas.12. Treinamento, modos esportivos r bons.13. O modo de respiração guiada também é bom. Encontre meu telefone funciona bem. Extremamente elegante, leve e confortável para o uso do dia todo. 07 ASSISTA ROSTOS DISPONÍVEIS NO DEPISTADO COM 04 predefinição que não pode ser excluída. O restante pode ser alterado a partir do aplicativo de onda de barco.CONS: 1. Não possui controle de intensidade de vibração. Falte o obturador de controle da câmera. Mas não consigo descobrir seu uso, pois meu aparelho aceita comandos de voz e gestos para clicar em fotos. Não há mensagens de resposta rápidas para notificações/alertas de chamada.4. Nenhum recurso de aceitação ou silenciamento de chamada. Uma contorna pode ser se o aparelho Bluetooth estiver conectado ao mesmo tempo. O SPO2 não é preciso e às vezes congela 97%. Mas isso é comum em todos os relógios inteligentes. A bateria não dura mais de 03 dias se a medição contínua de RH estiver ligada. Caso contrário, dura facilmente 7 dias. Os rostos de assistir são muito infantis. Designs de melhor qualidade esperados. A empresa pode melhorar facilmente isso em sua próxima atualização. Substituição apenas do Amazon Prime, nenhuma política de reembolso não é boa. Pelo menos a mudança de cor deve ser permitida uma vez. O recurso de controle musical não exibe o título da música. Nenhum recurso de monitoramento da BP ou monitoramento de temperatura. Os relógios inteligentes geralmente não fornecem dados de BP confiáveis. Nenhum recurso de chamada. Mas não importa, pois a maioria não quer que as conversas sejam públicas. Um pouco grande para pulsos estreitos, a banda @22 mm é um pouco larga.13. A empresa deve fornecer um protetor de vidro temperado. Nenhuma menção de vidro de proteção na tela mencionada. Anexou um vidro temperado escocês comprado separadamente.14. Na verdade, existem apenas 10 modos esportivos. O barco inchou a lista com combate interno outdoor de 4 esportes (caminhada, corrida, natação, ciclismo) .15. Não há sensor de luz. O brilho automático depende apenas do tempo, mas funciona bem. Foi um presente de aniversário de casamento para minha esposa, que gostou muito da cor- o sempre-verde e clássico-preto dourado. No geral, o melhor relógio inteligente com o Alexa incorporado, disponível pelo preço do orçamento abaixo de Rs 3000. Um excelente rastreador de fitness, mas médio de monitor de saúde., 👍, por favor, adicione o recurso de chamada com isso, caso contrário, está bom, bom, é pouco caro Mas Okkk,</v>
      </c>
    </row>
    <row r="423">
      <c r="A423" s="9" t="s">
        <v>1733</v>
      </c>
      <c r="B423" s="29" t="str">
        <f>VLOOKUP(dados!A423, reviews!A:G, 5, FALSE)</f>
        <v>Not Polished Enough. (Improving with updates),Best for the budget 👍,Value of money,nice product,Good product,Super value for money,Awesome product,Product itv</v>
      </c>
      <c r="C423" s="29" t="str">
        <f>VLOOKUP(dados!A423, reviews!A:G, 6, FALSE)</f>
        <v>[Update: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v>
      </c>
      <c r="D423" s="29" t="str">
        <f>IFERROR(__xludf.DUMMYFUNCTION("GOOGLETRANSLATE(B423, ""en"", ""pt-br"")"),"Não polido o suficiente. (Melhorando com atualizações), melhor para o orçamento 👍, valor do dinheiro, bom produto, bom produto, super valor ao dinheiro, produto incrível, produto ITV")</f>
        <v>Não polido o suficiente. (Melhorando com atualizações), melhor para o orçamento 👍, valor do dinheiro, bom produto, bom produto, super valor ao dinheiro, produto incrível, produto ITV</v>
      </c>
      <c r="E423" s="29" t="str">
        <f>IFERROR(__xludf.DUMMYFUNCTION("GOOGLETRANSLATE(C423, ""en"", ""pt-br"")"),"[Atualização: 29 de setembro] O barco parece ter ouvido o feedback 😀 e atualizado os rostos do relógio. Agora, existem alguns bons para escolher, mas uma ligeira melhora em relação àqueles que o relógio já teve. Um pouco impressionado. Adicionou uma estr"&amp;"ela para isso. Não é um produto muito polido. As fontes são brega e parecem feias no texto do texto do texto e do nome do nome do chamador. Os rostos do relógio são um trabalho de design preguiçoso. Não faz sentido ter 150 rostos de relógio se apenas 10-2"&amp;"0 forem bons ou utilizáveis. REST é inútil. [Atualização: 11 de outubro] O barco parece estar em uma onda de lançamento do Smartwatch. E graças a isso, eles estão constantemente atualizando o aplicativo de telefone e os rostos do relógio. Agora você tem m"&amp;"uitos rostos de relógio de boa aparência para escolher. Então, no geral, ainda a interface do usuário do SmartWatch precisa de trabalho. Mas pelo menos você tem um bom relógio faces. Eles poderiam ter tentado fazer alguma reforma no software chinês. Mas é"&amp;" um trabalho claramente preguiçoso da equipe de tecnologia. Um trabalho de cola de cópia para ser preciso para obter um software terceirizado e rebocar-o com logotipos de marca. Novamente, um trabalho da equipe de design / tecnologia / UI. O barco não pos"&amp;"sui uma boa equipe de designers e caras da interface do usuário para realmente oferecer recursos de software simples, porém bons, como bons rostos de relógio e bom relógio. Mesmo intervalo. Ruído colorfit pulse go buzz é mais barato e melhor alternativa +"&amp;" tem melhor relógio rostos e interface de usuário e resposta rápida às notificações e chama as opções de silêncio e mudo para preços mais baixos que este relógio claramente perdeu. Você pode optar por chamada de onda de barco - ele não é Um relógio ruim, "&amp;"mas há melhores opções disponíveis para o preço. Seus produtos são bons, mas a interface do usuário e o design são o que as pessoas veem e é isso que as faz se sentir bem com seus produtos. Você tem realmente uma interface do usuário médio., O relógio de "&amp;"chamada de ondas de barco é o melhor para o orçamento. peso. Touch é suave. Todos os recursos são 90-95% precisos., Um bom produto nessa faixa de preço deve comprar a qualidade da Itgood, boa qualidade, o bom produto é MST H, média para chamar de boa apar"&amp;"ência, estou muito feliz em comprar este relógio! É muito acessível ter tantos recursos. O recurso de chamada funciona muito bem! No geral, se você estiver com uma marca tão boa e bons recursos, vá para isso .., o produto não vira o retorno, retorne o ite"&amp;"m. Por favor.")</f>
        <v>[Atualização: 29 de setembro] O barco parece ter ouvido o feedback 😀 e atualizado os rostos do relógio. Agora, existem alguns bons para escolher, mas uma ligeira melhora em relação àqueles que o relógio já teve. Um pouco impressionado. Adicionou uma estrela para isso. Não é um produto muito polido. As fontes são brega e parecem feias no texto do texto do texto e do nome do nome do chamador. Os rostos do relógio são um trabalho de design preguiçoso. Não faz sentido ter 150 rostos de relógio se apenas 10-20 forem bons ou utilizáveis. REST é inútil. [Atualização: 11 de outubro] O barco parece estar em uma onda de lançamento do Smartwatch. E graças a isso, eles estão constantemente atualizando o aplicativo de telefone e os rostos do relógio. Agora você tem muitos rostos de relógio de boa aparência para escolher. Então, no geral, ainda a interface do usuário do SmartWatch precisa de trabalho. Mas pelo menos você tem um bom relógio faces. Eles poderiam ter tentado fazer alguma reforma no software chinês. Mas é um trabalho claramente preguiçoso da equipe de tecnologia. Um trabalho de cola de cópia para ser preciso para obter um software terceirizado e rebocar-o com logotipos de marca. Novamente, um trabalho da equipe de design / tecnologia / UI. O barco não possui uma boa equipe de designers e caras da interface do usuário para realmente oferecer recursos de software simples, porém bons, como bons rostos de relógio e bom relógio. Mesmo intervalo. Ruído colorfit pulse go buzz é mais barato e melhor alternativa + tem melhor relógio rostos e interface de usuário e resposta rápida às notificações e chama as opções de silêncio e mudo para preços mais baixos que este relógio claramente perdeu. Você pode optar por chamada de onda de barco - ele não é Um relógio ruim, mas há melhores opções disponíveis para o preço. Seus produtos são bons, mas a interface do usuário e o design são o que as pessoas veem e é isso que as faz se sentir bem com seus produtos. Você tem realmente uma interface do usuário médio., O relógio de chamada de ondas de barco é o melhor para o orçamento. peso. Touch é suave. Todos os recursos são 90-95% precisos., Um bom produto nessa faixa de preço deve comprar a qualidade da Itgood, boa qualidade, o bom produto é MST H, média para chamar de boa aparência, estou muito feliz em comprar este relógio! É muito acessível ter tantos recursos. O recurso de chamada funciona muito bem! No geral, se você estiver com uma marca tão boa e bons recursos, vá para isso .., o produto não vira o retorno, retorne o item. Por favor.</v>
      </c>
    </row>
    <row r="424">
      <c r="A424" s="9" t="s">
        <v>50</v>
      </c>
      <c r="B424" s="29" t="str">
        <f>VLOOKUP(dados!A424, reviews!A:G, 5, FALSE)</f>
        <v>Worth for money - suitable for Android auto,Good Product,Length,Nice,Original,Very good quay Cable support fast charging.,Original MI cable for charging upto 33 watt,I am veri happy with this product as it provide turbo charging.</v>
      </c>
      <c r="C424" s="29" t="str">
        <f>VLOOKUP(dados!A424, reviews!A:G, 6, FALSE)</f>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v>
      </c>
      <c r="D424" s="29" t="str">
        <f>IFERROR(__xludf.DUMMYFUNCTION("GOOGLETRANSLATE(B424, ""en"", ""pt-br"")"),"Worth for Money - Adequado para Android Auto, bom produto, comprimento, bom, original, muito bom, carregamento rápido de suporte a cabo.")</f>
        <v>Worth for Money - Adequado para Android Auto, bom produto, comprimento, bom, original, muito bom, carregamento rápido de suporte a cabo.</v>
      </c>
      <c r="E424" s="29" t="str">
        <f>IFERROR(__xludf.DUMMYFUNCTION("GOOGLETRANSLATE(C424, ""en"", ""pt-br"")"),"Valor de dinheiro - Adequado para Android Auto ... Meu propósito servido em carro ... Peguei por Rs.150, está tudo bem. Mas a embalagem não é uma boa sensação de que o vendedor deu é o cabo usado., Bom produto, bom produto, mas o custo é mais., Cabo origi"&amp;"nal, comprei este cabo em 129. Usando este cabo para Android Auto no meu carro. Funciona perfeitamente sem falha., Cabo Mi original. Cobrará até 33 watts. Consegui por Rs 150. Eu tenho um carregador de 67 watts e quero um cabo para o meu carro, então fui "&amp;"em frente. Eu verifiquei o desempenho com o aplicativo de carregamento da bateria. A velocidade de carregamento é exatamente metade do meu cabo original de 67 watts. Vá em frente., Isso me proporcionou um carregamento turbo. Eu recomendo para todos os tel"&amp;"efones celulares do Redmi Note 10s. Como fornece carregamento turbo. Estou feliz com este produto.")</f>
        <v>Valor de dinheiro - Adequado para Android Auto ... Meu propósito servido em carro ... Peguei por Rs.150, está tudo bem. Mas a embalagem não é uma boa sensação de que o vendedor deu é o cabo usado., Bom produto, bom produto, mas o custo é mais., Cabo original, comprei este cabo em 129. Usando este cabo para Android Auto no meu carro. Funciona perfeitamente sem falha., Cabo Mi original. Cobrará até 33 watts. Consegui por Rs 150. Eu tenho um carregador de 67 watts e quero um cabo para o meu carro, então fui em frente. Eu verifiquei o desempenho com o aplicativo de carregamento da bateria. A velocidade de carregamento é exatamente metade do meu cabo original de 67 watts. Vá em frente., Isso me proporcionou um carregamento turbo. Eu recomendo para todos os telefones celulares do Redmi Note 10s. Como fornece carregamento turbo. Estou feliz com este produto.</v>
      </c>
    </row>
    <row r="425">
      <c r="A425" s="9" t="s">
        <v>62</v>
      </c>
      <c r="B425" s="29" t="str">
        <f>VLOOKUP(dados!A425, reviews!A:G, 5, FALSE)</f>
        <v>A Good Braided Cable for Your Type C Device,Good quality product from ambrane,Super cable,As,Good quality,Good product,its good,Good quality for the price but one issue with my unit</v>
      </c>
      <c r="C425" s="29" t="str">
        <f>VLOOKUP(dados!A425, reviews!A:G, 6, FALSE)</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c r="D425" s="29" t="str">
        <f>IFERROR(__xludf.DUMMYFUNCTION("GOOGLETRANSLATE(B425, ""en"", ""pt-br"")"),"Um bom cabo trançado para o seu dispositivo Tipo C, produto de boa qualidade da Ambrane, Super Cable, como, boa qualidade, bom produto, é boa, boa qualidade para o preço, mas um problema com minha unidade")</f>
        <v>Um bom cabo trançado para o seu dispositivo Tipo C, produto de boa qualidade da Ambrane, Super Cable, como, boa qualidade, bom produto, é boa, boa qualidade para o preço, mas um problema com minha unidade</v>
      </c>
      <c r="E425" s="29" t="str">
        <f>IFERROR(__xludf.DUMMYFUNCTION("GOOGLETRANSLATE(C425, ""en"", ""pt-br"")"),"Encomendei este cabo para conectar meu telefone ao Android Auto of Car. O cabo é realmente forte e as portas de conexão são muito bem feitas. Eu já tenho um cabo micro USB da Ambrane e ainda está em boa forma. Conectei meu telefone ao carro usando o cabo "&amp;"e ele foi conectado bem e sem problemas. Eu também o conectei à porta de carregamento e sim, ele tem suporte de carregamento rápido. A qualidade de TI é boa nesse preço e o principal é que eu nunca pensei que esse cabo seria tão longo que é bom e o poder "&amp;"de carregamento é Muito bom e também suporta carregamento rápido, valor ao dinheiro, com comprimento extra👍, bom, funcionando bem, a qualidade do produto é boa, boa, muito boa, comprada para o telefone antigo da minha filha. e solicitado para substituiçã"&amp;"o. Verifiquei novamente e havia uma pasta/fungo de cor verde dentro do conector micro USB. Limpei com um alcoólatra e comecei a trabalhar novamente. Chequei a ampere de velocidade de carregamento obteve cerca de 1400mA -1500mA - não é ruim, veio com um ca"&amp;"bo trançado de 1,5 m de comprimento, bastante impressionante pelo preço. Não posso culpar o fabricante. Mas os problemas de qualidade por O distribuidor, eles podem ter armazenado em um lugar muito úmido.")</f>
        <v>Encomendei este cabo para conectar meu telefone ao Android Auto of Car. O cabo é realmente forte e as portas de conexão são muito bem feitas. Eu já tenho um cabo micro USB da Ambrane e ainda está em boa forma. Conectei meu telefone ao carro usando o cabo e ele foi conectado bem e sem problemas. Eu também o conectei à porta de carregamento e sim, ele tem suporte de carregamento rápido. A qualidade de TI é boa nesse preço e o principal é que eu nunca pensei que esse cabo seria tão longo que é bom e o poder de carregamento é Muito bom e também suporta carregamento rápido, valor ao dinheiro, com comprimento extra👍, bom, funcionando bem, a qualidade do produto é boa, boa, muito boa, comprada para o telefone antigo da minha filha. e solicitado para substituição. Verifiquei novamente e havia uma pasta/fungo de cor verde dentro do conector micro USB. Limpei com um alcoólatra e comecei a trabalhar novamente. Chequei a ampere de velocidade de carregamento obteve cerca de 1400mA -1500mA - não é ruim, veio com um cabo trançado de 1,5 m de comprimento, bastante impressionante pelo preço. Não posso culpar o fabricante. Mas os problemas de qualidade por O distribuidor, eles podem ter armazenado em um lugar muito úmido.</v>
      </c>
    </row>
    <row r="426">
      <c r="A426" s="9" t="s">
        <v>1738</v>
      </c>
      <c r="B426" s="29" t="str">
        <f>VLOOKUP(dados!A426, reviews!A:G, 5, FALSE)</f>
        <v>Item is good.  No issues at all.,Charging is good but cable quality not good,Good,It does the job,Decent and durable fast charger,very nice  product,Working as expected.,best value for money</v>
      </c>
      <c r="C426" s="29" t="str">
        <f>VLOOKUP(dados!A426, reviews!A:G, 6, FALSE)</f>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v>
      </c>
      <c r="D426" s="29" t="str">
        <f>IFERROR(__xludf.DUMMYFUNCTION("GOOGLETRANSLATE(B426, ""en"", ""pt-br"")"),"Item é bom. Não há problemas., Catilhão é bom, mas a qualidade do cabo não é boa, boa, faz o trabalho, carregador rápido decente e durável, produto muito bom, funcionando como esperado., Melhor valor para o dinheiro")</f>
        <v>Item é bom. Não há problemas., Catilhão é bom, mas a qualidade do cabo não é boa, boa, faz o trabalho, carregador rápido decente e durável, produto muito bom, funcionando como esperado., Melhor valor para o dinheiro</v>
      </c>
      <c r="E426" s="29" t="str">
        <f>IFERROR(__xludf.DUMMYFUNCTION("GOOGLETRANSLATE(C426, ""en"", ""pt-br"")"),"Item é bom. Sem problemas. Ele suporta o celular que possui um ótimo recurso de carregamento. Deseja algo com mais comprimento, mas o cabo padrão que ele vem é bastante sólido, sem sentimento barato, carregador muito bom para qualquer dispositivo móvel, d"&amp;"esde que o dispositivo suporta 18 W de carregamento rápido e porta USB tipo C. (Claro que é 22,5 W ) Gostaria de sugerir isso a todos eles que são submetidos a irreparáveis ​​no carregador de caixas, especialmente os usuários do Redmi Note 8 Pro😬, um pro"&amp;"duto muito bom, comprei isso para carregar meu Mi A1 Mobile. Mesmo que o Mi A1 tenha um amplificador mais baixo e Classificação de tensão do que esse carregador, após a pesquisa, descobri que um celular se comunica com o carregador e solicita apenas os am"&amp;"plificadores e a tensão necessários. E isso provou estar certo, pois meu celular está cobrando perfeitamente com este carregador. Você não encontrará Este bom combo de carregador e cabo por este preço 649.")</f>
        <v>Item é bom. Sem problemas. Ele suporta o celular que possui um ótimo recurso de carregamento. Deseja algo com mais comprimento, mas o cabo padrão que ele vem é bastante sólido, sem sentimento barato, carregador muito bom para qualquer dispositivo móvel, desde que o dispositivo suporta 18 W de carregamento rápido e porta USB tipo C. (Claro que é 22,5 W ) Gostaria de sugerir isso a todos eles que são submetidos a irreparáveis ​​no carregador de caixas, especialmente os usuários do Redmi Note 8 Pro😬, um produto muito bom, comprei isso para carregar meu Mi A1 Mobile. Mesmo que o Mi A1 tenha um amplificador mais baixo e Classificação de tensão do que esse carregador, após a pesquisa, descobri que um celular se comunica com o carregador e solicita apenas os amplificadores e a tensão necessários. E isso provou estar certo, pois meu celular está cobrando perfeitamente com este carregador. Você não encontrará Este bom combo de carregador e cabo por este preço 649.</v>
      </c>
    </row>
    <row r="427">
      <c r="A427" s="9" t="s">
        <v>1742</v>
      </c>
      <c r="B427" s="29" t="str">
        <f>VLOOKUP(dados!A427, reviews!A:G, 5, FALSE)</f>
        <v>Phone, camera, heating - works for me, may not for all,Good Mobile,Good but not excellent under this budget,Worth the price at 9499,Ok type phone... but unable to make videocall within same service provider.,Phone review,Budget king,Battery backup is good</v>
      </c>
      <c r="C427" s="29" t="str">
        <f>VLOOKUP(dados!A427, reviews!A:G,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D427" s="29" t="str">
        <f>IFERROR(__xludf.DUMMYFUNCTION("GOOGLETRANSLATE(B427, ""en"", ""pt-br"")"),"Telefone, câmera, aquecimento - funciona para mim, pode não para todos, bom celular, bom, mas não excelente sob esse orçamento, vale o preço em 9499, ok tipo telefone ... mas não consegue fazer videocall no mesmo provedor de serviços., Telefone Revisão, o"&amp;"rçamento rei, backup de bateria é bom")</f>
        <v>Telefone, câmera, aquecimento - funciona para mim, pode não para todos, bom celular, bom, mas não excelente sob esse orçamento, vale o preço em 9499, ok tipo telefone ... mas não consegue fazer videocall no mesmo provedor de serviços., Telefone Revisão, orçamento rei, backup de bateria é bom</v>
      </c>
      <c r="E427" s="29" t="str">
        <f>IFERROR(__xludf.DUMMYFUNCTION("GOOGLETRANSLATE(C427, ""en"", ""pt-br"")"),"Não sou grande uso da câmera, pessoalmente. Eu até estava mentalmente preparado para uma câmera ruim, com base em alguns comentários aqui. Mas fiquei agradavelmente surpreso que a câmera clique em boas fotos. Eles não são impressionantes, mas são fotos de"&amp;"centes que podem até ser compartilhadas. Agora, chegando ao meu maior galope; problema de aquecimento. O telefone começou a esquentar durante o carregamento, mas era apenas um pouco e eu poderia ter ignorado. Mas então começou a esquentar mais e me deixou"&amp;" muito preocupado. Eu até pedi um substituto pensando que recebi uma peça defeituosa. Mas depois, após mais testes, descobri que está aquecendo mais quando baixo grandes quantidades de dados, por exemplo, quando restaurar os dados do meu telefone antigo, "&amp;"de backup. Tudo bem comigo, pois, eu não executo enormes dados de dados regularmente, definitivamente não no telefone. Então eu testei executando tarefas que normalmente realizo, como verificação de e -mails do Office, participando da reunião do escritóri"&amp;"o por telefone, assistindo a um vídeo da Amazon Prime e assim por diante. O telefone não esquentou nem um pouco. Pessoalmente, isso é bom para mim. Nesta faixa de preço, este é um bom telefone. Mas se você é um usuário pesado da câmera e espera executar d"&amp;"ownloads pesados ​​com frequência, este telefone pode não para você. Estou pessoalmente satisfeito com este telefone, pois ele funciona para o meu tipo de uso. Não vou entrar em pontos positivos deste telefone, pois eles já estão cobertos por outras críti"&amp;"cas. Estou apenas tentando esclarecer como este telefone pode se adequar a você (ou não) em termos de câmera e aquecimento. Eu tive muitas perguntas sobre esses aspectos antes de comprar. Talvez esta revisão o ajude a tomar uma decisão informada de compra"&amp;"r (ou evitar). Cheers., Display - Beautycamera - DecentPerformance - AmazingBattery - OK (em 5000mAh, você espera mais TBH). Este telefone, mas continuarei atualizando esta revisão após 1 meses de uso!, É um celular decente sob esse preço, mas poucas cois"&amp;"as me preocuparam, o peso do telefone, muitos procedimentos para alterar algumas configurações, sem fundição de tela. Além disso, tem um bom toque, uma câmera decente para a luz do dia, a duração da bateria é boa. Comprei este smartphone para minha mãe. A"&amp;" interface Samusung é muito punhada para facilitar o uso. A bateria é excelente, o último dia inteiro. A câmera é medíocre, mas fornece imagens coloridas originais. No geral, está satisfeito com este smartphone que recebi à venda por 9499., não conseguiu "&amp;"fazer videochamadas dentro do mesmo provedor de serviços que em VoLTE no mesmo recurso de chamada de videochamada do provedor de serviços está disponível., O produto está bem. Nada chique, mas para o orçamento, é um bom telefone., Bateria: mais do que suf"&amp;"iciente para uso normal, não tenho certeza em gamingcamera: bom neste segmento, pode gravar vídeos em FHD 30fpsDisplay: como é uma tela LCD, a qualidade é um pouco menor, Mas Goodv Ram: você pode adicionar até 2 GB de RAM virtual, mas precisa sacrificar s"&amp;"eu espaço de armazenamento para usá -lo em geral um bom telefone orçamentário, a impressão digital está funcionando com o backup rápido da bateria é boa a qualidade da câmera também é boa")</f>
        <v>Não sou grande uso da câmera, pessoalmente. Eu até estava mentalmente preparado para uma câmera ruim, com base em alguns comentários aqui. Mas fiquei agradavelmente surpreso que a câmera clique em boas fotos. Eles não são impressionantes, mas são fotos decentes que podem até ser compartilhadas. Agora, chegando ao meu maior galope; problema de aquecimento. O telefone começou a esquentar durante o carregamento, mas era apenas um pouco e eu poderia ter ignorado. Mas então começou a esquentar mais e me deixou muito preocupado. Eu até pedi um substituto pensando que recebi uma peça defeituosa. Mas depois, após mais testes, descobri que está aquecendo mais quando baixo grandes quantidades de dados, por exemplo, quando restaurar os dados do meu telefone antigo, de backup. Tudo bem comigo, pois, eu não executo enormes dados de dados regularmente, definitivamente não no telefone. Então eu testei executando tarefas que normalmente realizo, como verificação de e -mails do Office, participando da reunião do escritório por telefone, assistindo a um vídeo da Amazon Prime e assim por diante. O telefone não esquentou nem um pouco. Pessoalmente, isso é bom para mim. Nesta faixa de preço, este é um bom telefone. Mas se você é um usuário pesado da câmera e espera executar downloads pesados ​​com frequência, este telefone pode não para você. Estou pessoalmente satisfeito com este telefone, pois ele funciona para o meu tipo de uso. Não vou entrar em pontos positivos deste telefone, pois eles já estão cobertos por outras críticas. Estou apenas tentando esclarecer como este telefone pode se adequar a você (ou não) em termos de câmera e aquecimento. Eu tive muitas perguntas sobre esses aspectos antes de comprar. Talvez esta revisão o ajude a tomar uma decisão informada de comprar (ou evitar). Cheers., Display - Beautycamera - DecentPerformance - AmazingBattery - OK (em 5000mAh, você espera mais TBH). Este telefone, mas continuarei atualizando esta revisão após 1 meses de uso!, É um celular decente sob esse preço, mas poucas coisas me preocuparam, o peso do telefone, muitos procedimentos para alterar algumas configurações, sem fundição de tela. Além disso, tem um bom toque, uma câmera decente para a luz do dia, a duração da bateria é boa. Comprei este smartphone para minha mãe. A interface Samusung é muito punhada para facilitar o uso. A bateria é excelente, o último dia inteiro. A câmera é medíocre, mas fornece imagens coloridas originais. No geral, está satisfeito com este smartphone que recebi à venda por 9499., não conseguiu fazer videochamadas dentro do mesmo provedor de serviços que em VoLTE no mesmo recurso de chamada de videochamada do provedor de serviços está disponível., O produto está bem. Nada chique, mas para o orçamento, é um bom telefone., Bateria: mais do que suficiente para uso normal, não tenho certeza em gamingcamera: bom neste segmento, pode gravar vídeos em FHD 30fpsDisplay: como é uma tela LCD, a qualidade é um pouco menor, Mas Goodv Ram: você pode adicionar até 2 GB de RAM virtual, mas precisa sacrificar seu espaço de armazenamento para usá -lo em geral um bom telefone orçamentário, a impressão digital está funcionando com o backup rápido da bateria é boa a qualidade da câmera também é boa</v>
      </c>
    </row>
    <row r="428">
      <c r="A428" s="9" t="s">
        <v>1744</v>
      </c>
      <c r="B428" s="29" t="str">
        <f>VLOOKUP(dados!A428, reviews!A:G, 5, FALSE)</f>
        <v>Awesome Product,Good product,Good quality,Good but overpriced,Gud quality but expansive,Not bad,Ok,Worth product</v>
      </c>
      <c r="C428" s="29" t="str">
        <f>VLOOKUP(dados!A428, reviews!A:G, 6, FALSE)</f>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it’s useful for not to brake the cable</v>
      </c>
      <c r="D428" s="29" t="str">
        <f>IFERROR(__xludf.DUMMYFUNCTION("GOOGLETRANSLATE(B428, ""en"", ""pt-br"")"),"Produto incrível, bom produto, boa qualidade, bom, mas muito caro, qualidade Gud, mas expansiva, não ruim, ok, vale a pena")</f>
        <v>Produto incrível, bom produto, boa qualidade, bom, mas muito caro, qualidade Gud, mas expansiva, não ruim, ok, vale a pena</v>
      </c>
      <c r="E428" s="29" t="str">
        <f>IFERROR(__xludf.DUMMYFUNCTION("GOOGLETRANSLATE(C428, ""en"", ""pt-br"")"),"É bom para cabos de dados ... Gostei, https: //m.media-amazon.com/images/i/81qhcls+4gl._sy88.jpg,nice, então basicamente seu bom produto com boa qualidade, mas isso O produto é muito caro porque o mesmo produto de uma marca diferente está vendendo a 25% o"&amp;"u menos de dinheiro, ainda o comprei por causa do nome da marca., Gud Quality and Packaging, mas um pouco caro., https: //m.media-amazon.com /images/i/61w2kontcal._sy88.jpg,Ok.Using isso para o meu cabo de carregamento móvel É útil para não frear o cabo")</f>
        <v>É bom para cabos de dados ... Gostei, https: //m.media-amazon.com/images/i/81qhcls+4gl._sy88.jpg,nice, então basicamente seu bom produto com boa qualidade, mas isso O produto é muito caro porque o mesmo produto de uma marca diferente está vendendo a 25% ou menos de dinheiro, ainda o comprei por causa do nome da marca., Gud Quality and Packaging, mas um pouco caro., https: //m.media-amazon.com /images/i/61w2kontcal._sy88.jpg,Ok.Using isso para o meu cabo de carregamento móvel É útil para não frear o cabo</v>
      </c>
    </row>
    <row r="429">
      <c r="A429" s="9" t="s">
        <v>1750</v>
      </c>
      <c r="B429" s="29" t="str">
        <f>VLOOKUP(dados!A429, reviews!A:G, 5, FALSE)</f>
        <v>Excellent Phone in the budget segment,Best value for money... But afraid of future MIUI updates.,Don't purchase it as camera phone 😤,Dependable &amp; it's been a year.,Budget mobile,Good for basic use,Phone is nice , but software is not</v>
      </c>
      <c r="C429" s="29" t="str">
        <f>VLOOKUP(dados!A429, reviews!A:G, 6, FALSE)</f>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v>
      </c>
      <c r="D429" s="29" t="str">
        <f>IFERROR(__xludf.DUMMYFUNCTION("GOOGLETRANSLATE(B429, ""en"", ""pt-br"")"),"Excelente telefone no segmento de orçamento, melhor valor para dinheiro ... mas com medo das futuras atualizações do MIUI., Não o compre como telefone da câmera 😤, confiável e já faz um ano., Orçamento móvel, bom para uso básico, o telefone é Bom, mas o "&amp;"software não é")</f>
        <v>Excelente telefone no segmento de orçamento, melhor valor para dinheiro ... mas com medo das futuras atualizações do MIUI., Não o compre como telefone da câmera 😤, confiável e já faz um ano., Orçamento móvel, bom para uso básico, o telefone é Bom, mas o software não é</v>
      </c>
      <c r="E429" s="29" t="str">
        <f>IFERROR(__xludf.DUMMYFUNCTION("GOOGLETRANSLATE(C429, ""en"", ""pt-br"")"),"Eu estava procurando um telefone abaixo de 10k. Não sou uma pessoa que acredita queimar dinheiro para telefones. Meu requisito era um telefone que tenha uma boa recepção de rede, boa recepção de Wi -Fi, um software equilibrado, boa duração da bateria, boa"&amp;" tela que não lidera os olhos, um bom hardware, o fone de ouvido de 3,5 mm e um carregador. Não preciso da rede 5G porque o 5G drena muito a bateria e o 5G gasta muitos dados. Não assisto filme ou YT na rede móvel e me pergunto quantos assistem a vídeos F"&amp;"HD, 2K e 4K sobre a rede móvel. Para baixar documentos, as redes sociais, os aplicativos bancários 4G são mais do que suficientes. No meu orçamento, descobri que todos os telefones têm 4 GB de RAM. Realme Narzo 50 foi 9999/- durante o GIF e tinha todos es"&amp;"ses recursos junto com um bom processador e outro foi o Redmi Note 11. Mas descobri que, se eu puder estender meu orçamento um pouco mais com todos os cupons e ofertas bancários, posso obter um Redmi Nota 11 com 6 GB de RAM em 11749/-. A RAM de 6 GB é sem"&amp;"pre preferida em 4 GB de RAM, porque ninguém sabe se, com atualizações futuras, o sistema operacional exigiria mais RAM ou não, também os softwares podem exigir mais RAM com o passar do tempo. Portanto, essa era a única opção que eu conhecia, então dispon"&amp;"ível. A Nota 11 do AMOLED tem uma tela AMOLED, não estou incomodado com 60Hz, 90Hz, 120Hz. Eu mantenho a taxa de atualização em 60Hz e o visor funciona sem lag ou gagueira zero. Toda a minha tela de mesa tem uma taxa de atualização de 60Hz e estou feliz c"&amp;"om eles, então por que preciso de uma tela de 90 Hz? Eu acho que tudo isso é apenas um truque comercializado por empresas e revisores on -line. A tela possui excelente capacidade de reprodução de cores e as cores parecem ricas. Você pode ajustar a tempera"&amp;"tura da cor para aquecer ou esfriar, mas acho que o padrão é bom para mim. Além disso, você pode calibrar as cores de exibição nas configurações, mas acho que você não precisa disso. O tamanho da tela é de 6,43 polegadas, poderia ter sido melhor se fosse "&amp;"de 6,7 polegadas. Eu prefiro um grande telefone de exibição. O Redmi Note 12 tem essa grande tela. Um protetor de tela de plástico é pré -aplicado na tela e estou feliz com isso. O protetor da tela parece suave e as impressões digitais podem ser facilment"&amp;"e removidas limpando com um pano úmido. A tela possui uma câmera de furo que parece boa. Este telefone duelo. Um é mais poderoso no fundo e outro no topo. Mas acho que o segundo alto -falante é na verdade o fone de ouvido que amplifica enquanto assiste a "&amp;"filmes ou YT. O alto -falante inferior é mais alto que o alto -falante e o volume é bom. O que mais você espera de tão pequenos alto -falantes! O telefone tem excelente recepção de wifi e rede móvel. Muitos se queixaram da baixa conectividade WiFi, mas da"&amp;" minha experiência, posso dizer que meu telefone e o modem wifi permanecem em diferentes andares, ainda assim recebo um bom sinal e nunca desconectei. A Voice Over Mobile Network parece agradável e clara e a outra parte pode ouvi -lo bem e limpar. No enta"&amp;"nto, como o segundo alto -falante é uma extensão da peça de fone de ouvido, o som vazará se a outra pessoa estiver gritando por telefone. O telefone possui bateria de 5000mAh e vem com carregador de 33W, que é um bônus nesse preço. A bateria oferece backu"&amp;"p longo. Com uma boa rede móvel, você pode usá -lo por 3 dias sem carregar usando recursos básicos, como telefone, SMS, e -mail, FB, WA etc. Mas eu o carrego regularmente e a carga da bateria nunca cai abaixo de 70%. O telefone possui processador SD680 qu"&amp;"e é Mais o suficiente para tarefas básicas e um desempenho bom sem qualquer atraso. A experiência é a manteiga suave. No entanto, os aplicativos são limpos automaticamente da RAM, que eu gosto, porque não preciso limpar a RAM manualmente. No entanto, após"&amp;" o Android 12, atualize o aplicativo Ram Hold por mais tempo, mas acabou com a limpeza. O SD 680 não aquece e é muito eficiente em termos de energia. Por causa dessa bateria, drena muito pouco e 33W carrega telefone dentro de 30 minutos pelo meu uso. O ca"&amp;"bo é USB A a C e se sente bom. Este telefone possui IR Blaster; portanto, em seu escritório em casa, você pode controlar o CA ou outros gadgets suportados com este telefone quando o controle remoto não estiver disponível. A RAM é de 6 GB e pode ser expand"&amp;"ida adicional 1 GB como RAM virtual ocupando o armazenamento. Mas desativei essa opção de configurações porque aumenta a vida de SSD. Isso possui 2 slot para cartão SIM + SD. O que é ótimo. Ambos o SIM têm a agregação VoLTE e da transportadora. O telefone"&amp;" tem belas costas e a cor é atraente. Algumas pessoas podem reclamar de plástico, mas lembre -se de que o telefone traseiro plástico tem melhor recepção de rede do que os telefones traseiros de metal ou vidro. E não tenho nenhum problema com o plástico. E"&amp;"u não acho que o plástico de volta faz seu telefone ou você parece barato. Estou feliz com o plástico de volta. O telefone também fornece uma tampa de TPU e a capa, por mais amarelencial que seja o mês. Esta é a química inerente à TPU, e ninguém pode impe"&amp;"dir essa degradação química. Como sempre pode ser desacelerado por não expor -o à luz solar. O scanner de impressão digital é excelente, funciona perfeitamente. A tela de toque também é excelente. No entanto, eu não gosto de alguns dos aplicativos pré -in"&amp;"stalados. Alguns podem ser desinstalados que alguns não podem especialmente o Mi Pay e GetApps da Mi Store. Eu não gosto deles. No entanto, eu gosto do aplicativo de segurança pré -instalado. Não há anúncio na notificação e tudo pode ser facilmente desati"&amp;"vado. A câmera na parte de trás é boa e suficiente para mim, no entanto, a câmera frontal não é boa. Não mostra fotos como câmera de 8MP. Eu adicionei algumas fotos clicadas pela câmera traseira Redmi Note 11. O MIUI é fluido e tem muitos usuários como On"&amp;"eui. O MIUI agora está livre de bugs e tem uma versão extremamente polida que agradará o usuário. Então, eu dou a Redmi 11 uma pontuação de 9,5/10. Este é um excelente telefone que eu recebi em 11749/- durante o Great Indian Festival. Eu recomendo Anyboy "&amp;"com uso básico para comprar este telefone. Este telefone não é para jogadores ou pessoas que assistem a vídeos 2K, $ K ou filmam essas coisas. Isso não é ou aqueles que são loucos por 5G. Caso contrário, este telefone atenderá a todos os seus requisitos n"&amp;"este segmento de preços., Uso de 50 dias ... 1. Boa duração da bateria. BQEST para uso diário. 33w carregador também bom. Melhor exibição, mas deveria ter 120Hz em vez de 90,3. Fense-in-de-mão 4. O alto-falante estéreo é alto e nítido (65-35 dividido) .5."&amp;" Câmera acima da média ... mas bom em relação ao preço. Ui de buggy (menor) como esperado. Mas UI13 melhor do que MIUI Bloody 12.5.7. 4G Chipset SD 680, o que é bom ... 4G+ sempre disponível.8. Algum problema menor com a recepção Wi -Fi. Não sei que eles "&amp;"vão corrigi -lo através da OTA. PUBG, amantes de bacalhau., O primeiro visual desse design de Starbust é atraente ... nenhuma palavra para expressar seu design, na sensação de mão e é toda a dimensão física. O segundo que me impressiona, é o backup da bat"&amp;"eria ..... E mesmo você joga quase por um longo tempo .... Isso oferece backup suficiente e velocidade de cobrança também 33W, também é um bom negócio a esse preço. O terceiro fator impressionante é o alto -falante duplo ... Tenho outro telefone de 40k e "&amp;"a qualidade do som é quase a mesma que. A experiência de reprodução de mídia também é aprimorada pela tela AMOLED, tela muito charmosa muito cor ...... literalmente, a qualidade da exibição é imbatível. O entalhe da câmera e o alto -falante duplo aumentam"&amp;" a experiência de reprodução da mídia. Outro desempenho como os jogos também é bom nesse preço. O botão de impressão digital também é muito receptivo. Todas as outras coisas e recursos são bons para o preço. Somente uma coisa é muito decepcionante BCOZ O "&amp;"hype de sua câmera que a empresa mostra depende muito da marca e da fotografia profissional, mas a câmera é de menor grau ... até meu velho Redmi Y2 que eu trocei com isso, tinha uma câmera melhor do que isso ... então, por favor, peço a todos .... não co"&amp;"mpre isso para a câmera .... apenas não. As imagens são mostradas nas imagens da câmera no site é ilustração de acordo comigo ...... Eu não recomendo que você compre este telefone como telefone da câmera. Se você não é usuário de câmera, certamente irá em"&amp;" frente. PROS- Design, sensação em mãos, bateria e carregamento, tela AMOLED, Dual SpeitherCons- Camera😤😤, um telefone de motorista diário bastante suave. A experiência geral tem sido satisfatória, a boa durabilidade da câmera também parece ser boa, eu "&amp;"o soltei algumas vezes e o Gorilla Glass 5 parece estar se sustentando. 120Hz é ótimo. A velocidade de carregamento também é boa, porém, nada alucinante. A duração da bateria é decente. Dura bastante, mas como eu o mantenho no modo 120Hz o tempo todo, é u"&amp;"m pouco menos para mim. Mas não tenho nenhum problema com a duração da bateria por enquanto., Faz o que a descrição diz. Qualidade da câmera não está até a marca, em comparação com outros celulares do Redmi. Até o modelo A3 clica melhor fotos. Você precis"&amp;"a pressionar o botão de bloqueio toda vez para ler a impressão digital. SREAMING. Se você planeja entregá -lo a seus pais ou idosos em sua família, basta instalar o lançador de terceiros e esconder o aplicativo desnecessário ASLO, desative a notificação d"&amp;"e spam e os anúncios em tela de bloqueio geral para os idosos ou o usuário do smartphone pela primeira vez., o telefone é bom, mas Estou enfrentando bugs estranhos devido a problemas de software. Depois disso, instalei manualmente o software global mais r"&amp;"ecente e funcionando bem.")</f>
        <v>Eu estava procurando um telefone abaixo de 10k. Não sou uma pessoa que acredita queimar dinheiro para telefones. Meu requisito era um telefone que tenha uma boa recepção de rede, boa recepção de Wi -Fi, um software equilibrado, boa duração da bateria, boa tela que não lidera os olhos, um bom hardware, o fone de ouvido de 3,5 mm e um carregador. Não preciso da rede 5G porque o 5G drena muito a bateria e o 5G gasta muitos dados. Não assisto filme ou YT na rede móvel e me pergunto quantos assistem a vídeos FHD, 2K e 4K sobre a rede móvel. Para baixar documentos, as redes sociais, os aplicativos bancários 4G são mais do que suficientes. No meu orçamento, descobri que todos os telefones têm 4 GB de RAM. Realme Narzo 50 foi 9999/- durante o GIF e tinha todos esses recursos junto com um bom processador e outro foi o Redmi Note 11. Mas descobri que, se eu puder estender meu orçamento um pouco mais com todos os cupons e ofertas bancários, posso obter um Redmi Nota 11 com 6 GB de RAM em 11749/-. A RAM de 6 GB é sempre preferida em 4 GB de RAM, porque ninguém sabe se, com atualizações futuras, o sistema operacional exigiria mais RAM ou não, também os softwares podem exigir mais RAM com o passar do tempo. Portanto, essa era a única opção que eu conhecia, então disponível. A Nota 11 do AMOLED tem uma tela AMOLED, não estou incomodado com 60Hz, 90Hz, 120Hz. Eu mantenho a taxa de atualização em 60Hz e o visor funciona sem lag ou gagueira zero. Toda a minha tela de mesa tem uma taxa de atualização de 60Hz e estou feliz com eles, então por que preciso de uma tela de 90 Hz? Eu acho que tudo isso é apenas um truque comercializado por empresas e revisores on -line. A tela possui excelente capacidade de reprodução de cores e as cores parecem ricas. Você pode ajustar a temperatura da cor para aquecer ou esfriar, mas acho que o padrão é bom para mim. Além disso, você pode calibrar as cores de exibição nas configurações, mas acho que você não precisa disso. O tamanho da tela é de 6,43 polegadas, poderia ter sido melhor se fosse de 6,7 polegadas. Eu prefiro um grande telefone de exibição. O Redmi Note 12 tem essa grande tela. Um protetor de tela de plástico é pré -aplicado na tela e estou feliz com isso. O protetor da tela parece suave e as impressões digitais podem ser facilmente removidas limpando com um pano úmido. A tela possui uma câmera de furo que parece boa. Este telefone duelo. Um é mais poderoso no fundo e outro no topo. Mas acho que o segundo alto -falante é na verdade o fone de ouvido que amplifica enquanto assiste a filmes ou YT. O alto -falante inferior é mais alto que o alto -falante e o volume é bom. O que mais você espera de tão pequenos alto -falantes! O telefone tem excelente recepção de wifi e rede móvel. Muitos se queixaram da baixa conectividade WiFi, mas da minha experiência, posso dizer que meu telefone e o modem wifi permanecem em diferentes andares, ainda assim recebo um bom sinal e nunca desconectei. A Voice Over Mobile Network parece agradável e clara e a outra parte pode ouvi -lo bem e limpar. No entanto, como o segundo alto -falante é uma extensão da peça de fone de ouvido, o som vazará se a outra pessoa estiver gritando por telefone. O telefone possui bateria de 5000mAh e vem com carregador de 33W, que é um bônus nesse preço. A bateria oferece backup longo. Com uma boa rede móvel, você pode usá -lo por 3 dias sem carregar usando recursos básicos, como telefone, SMS, e -mail, FB, WA etc. Mas eu o carrego regularmente e a carga da bateria nunca cai abaixo de 70%. O telefone possui processador SD680 que é Mais o suficiente para tarefas básicas e um desempenho bom sem qualquer atraso. A experiência é a manteiga suave. No entanto, os aplicativos são limpos automaticamente da RAM, que eu gosto, porque não preciso limpar a RAM manualmente. No entanto, após o Android 12, atualize o aplicativo Ram Hold por mais tempo, mas acabou com a limpeza. O SD 680 não aquece e é muito eficiente em termos de energia. Por causa dessa bateria, drena muito pouco e 33W carrega telefone dentro de 30 minutos pelo meu uso. O cabo é USB A a C e se sente bom. Este telefone possui IR Blaster; portanto, em seu escritório em casa, você pode controlar o CA ou outros gadgets suportados com este telefone quando o controle remoto não estiver disponível. A RAM é de 6 GB e pode ser expandida adicional 1 GB como RAM virtual ocupando o armazenamento. Mas desativei essa opção de configurações porque aumenta a vida de SSD. Isso possui 2 slot para cartão SIM + SD. O que é ótimo. Ambos o SIM têm a agregação VoLTE e da transportadora. O telefone tem belas costas e a cor é atraente. Algumas pessoas podem reclamar de plástico, mas lembre -se de que o telefone traseiro plástico tem melhor recepção de rede do que os telefones traseiros de metal ou vidro. E não tenho nenhum problema com o plástico. Eu não acho que o plástico de volta faz seu telefone ou você parece barato. Estou feliz com o plástico de volta. O telefone também fornece uma tampa de TPU e a capa, por mais amarelencial que seja o mês. Esta é a química inerente à TPU, e ninguém pode impedir essa degradação química. Como sempre pode ser desacelerado por não expor -o à luz solar. O scanner de impressão digital é excelente, funciona perfeitamente. A tela de toque também é excelente. No entanto, eu não gosto de alguns dos aplicativos pré -instalados. Alguns podem ser desinstalados que alguns não podem especialmente o Mi Pay e GetApps da Mi Store. Eu não gosto deles. No entanto, eu gosto do aplicativo de segurança pré -instalado. Não há anúncio na notificação e tudo pode ser facilmente desativado. A câmera na parte de trás é boa e suficiente para mim, no entanto, a câmera frontal não é boa. Não mostra fotos como câmera de 8MP. Eu adicionei algumas fotos clicadas pela câmera traseira Redmi Note 11. O MIUI é fluido e tem muitos usuários como Oneui. O MIUI agora está livre de bugs e tem uma versão extremamente polida que agradará o usuário. Então, eu dou a Redmi 11 uma pontuação de 9,5/10. Este é um excelente telefone que eu recebi em 11749/- durante o Great Indian Festival. Eu recomendo Anyboy com uso básico para comprar este telefone. Este telefone não é para jogadores ou pessoas que assistem a vídeos 2K, $ K ou filmam essas coisas. Isso não é ou aqueles que são loucos por 5G. Caso contrário, este telefone atenderá a todos os seus requisitos neste segmento de preços., Uso de 50 dias ... 1. Boa duração da bateria. BQEST para uso diário. 33w carregador também bom. Melhor exibição, mas deveria ter 120Hz em vez de 90,3. Fense-in-de-mão 4. O alto-falante estéreo é alto e nítido (65-35 dividido) .5. Câmera acima da média ... mas bom em relação ao preço. Ui de buggy (menor) como esperado. Mas UI13 melhor do que MIUI Bloody 12.5.7. 4G Chipset SD 680, o que é bom ... 4G+ sempre disponível.8. Algum problema menor com a recepção Wi -Fi. Não sei que eles vão corrigi -lo através da OTA. PUBG, amantes de bacalhau., O primeiro visual desse design de Starbust é atraente ... nenhuma palavra para expressar seu design, na sensação de mão e é toda a dimensão física. O segundo que me impressiona, é o backup da bateria ..... E mesmo você joga quase por um longo tempo .... Isso oferece backup suficiente e velocidade de cobrança também 33W, também é um bom negócio a esse preço. O terceiro fator impressionante é o alto -falante duplo ... Tenho outro telefone de 40k e a qualidade do som é quase a mesma que. A experiência de reprodução de mídia também é aprimorada pela tela AMOLED, tela muito charmosa muito cor ...... literalmente, a qualidade da exibição é imbatível. O entalhe da câmera e o alto -falante duplo aumentam a experiência de reprodução da mídia. Outro desempenho como os jogos também é bom nesse preço. O botão de impressão digital também é muito receptivo. Todas as outras coisas e recursos são bons para o preço. Somente uma coisa é muito decepcionante BCOZ O hype de sua câmera que a empresa mostra depende muito da marca e da fotografia profissional, mas a câmera é de menor grau ... até meu velho Redmi Y2 que eu trocei com isso, tinha uma câmera melhor do que isso ... então, por favor, peço a todos .... não compre isso para a câmera .... apenas não. As imagens são mostradas nas imagens da câmera no site é ilustração de acordo comigo ...... Eu não recomendo que você compre este telefone como telefone da câmera. Se você não é usuário de câmera, certamente irá em frente. PROS- Design, sensação em mãos, bateria e carregamento, tela AMOLED, Dual SpeitherCons- Camera😤😤, um telefone de motorista diário bastante suave. A experiência geral tem sido satisfatória, a boa durabilidade da câmera também parece ser boa, eu o soltei algumas vezes e o Gorilla Glass 5 parece estar se sustentando. 120Hz é ótimo. A velocidade de carregamento também é boa, porém, nada alucinante. A duração da bateria é decente. Dura bastante, mas como eu o mantenho no modo 120Hz o tempo todo, é um pouco menos para mim. Mas não tenho nenhum problema com a duração da bateria por enquanto., Faz o que a descrição diz. Qualidade da câmera não está até a marca, em comparação com outros celulares do Redmi. Até o modelo A3 clica melhor fotos. Você precisa pressionar o botão de bloqueio toda vez para ler a impressão digital. SREAMING. Se você planeja entregá -lo a seus pais ou idosos em sua família, basta instalar o lançador de terceiros e esconder o aplicativo desnecessário ASLO, desative a notificação de spam e os anúncios em tela de bloqueio geral para os idosos ou o usuário do smartphone pela primeira vez., o telefone é bom, mas Estou enfrentando bugs estranhos devido a problemas de software. Depois disso, instalei manualmente o software global mais recente e funcionando bem.</v>
      </c>
    </row>
    <row r="430">
      <c r="A430" s="9" t="s">
        <v>66</v>
      </c>
      <c r="B430" s="29" t="str">
        <f>VLOOKUP(dados!A430, reviews!A:G, 5, FALSE)</f>
        <v>Good for fast charge but not for data transfer,Good cable compares to local the brand.,good but doesnt last,Good product,Good Product,Good and worth it,very good material quality charging speed is 15 watt,Not a fast charger</v>
      </c>
      <c r="C430" s="29" t="str">
        <f>VLOOKUP(dados!A430, reviews!A:G, 6, FALSE)</f>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money,பொருள் உடைய கடினத்தன்மையின் நன்றாக உள்ளது சார்ஜ் ஏறும் வேகம் 15wat,Not a fast charger.  Very slow charging with 65w.  L-shape pin is very useful.</v>
      </c>
      <c r="D430" s="29" t="str">
        <f>IFERROR(__xludf.DUMMYFUNCTION("GOOGLETRANSLATE(B430, ""en"", ""pt-br"")"),"Bom para carga rápida, mas não para transferência de dados, um bom cabo se compara à marca local., Bom, mas não dura, bom produto, bom produto, bom e vale a pena, uma velocidade de carregamento de qualidade muito boa é de 15 watts, não um carregador rápid"&amp;"o")</f>
        <v>Bom para carga rápida, mas não para transferência de dados, um bom cabo se compara à marca local., Bom, mas não dura, bom produto, bom produto, bom e vale a pena, uma velocidade de carregamento de qualidade muito boa é de 15 watts, não um carregador rápido</v>
      </c>
      <c r="E430" s="29" t="str">
        <f>IFERROR(__xludf.DUMMYFUNCTION("GOOGLETRANSLATE(C430, ""en"", ""pt-br"")"),"O cabo é eficiente em carregamento rápido, mas na transferência rápida de dados. No geral, tudo bem., Gosto da forma USB C L. O fio do núcleo protegido de nylon melhora a vida útil do cabo., Acho que compro -os a cada 6 meses. O carregamento rápido para d"&amp;"e funcionar depois de um tempo. provavelmente algo a ver com o design do cabo. O cabo é torcido com o tempo e suspeito que quebre os fios de alta capacidade dentro. Mas continuo comprando porque não há muitas opções em um design em forma de L, produto bom"&amp;" e durável. Em algum momento, as acusações não funcionam em poucos adaptadores. Pode haver poucos cortes ou algo assim, mas funciona bem no adaptador da Apple, carregador de carros, USB, o produto é realmente bom em preço acessível., Cargo bom e rápido e "&amp;"valor por dinheiro, பொருள் உடைய கடினத்தன்மையின் உள்ளது சார்ஜ் சார்ஜ் ஏறும் வேகம் வேகம் 15wat, Não é um carregador rápido. Carregamento muito lento com 65W. O pino em forma de L é muito útil.")</f>
        <v>O cabo é eficiente em carregamento rápido, mas na transferência rápida de dados. No geral, tudo bem., Gosto da forma USB C L. O fio do núcleo protegido de nylon melhora a vida útil do cabo., Acho que compro -os a cada 6 meses. O carregamento rápido para de funcionar depois de um tempo. provavelmente algo a ver com o design do cabo. O cabo é torcido com o tempo e suspeito que quebre os fios de alta capacidade dentro. Mas continuo comprando porque não há muitas opções em um design em forma de L, produto bom e durável. Em algum momento, as acusações não funcionam em poucos adaptadores. Pode haver poucos cortes ou algo assim, mas funciona bem no adaptador da Apple, carregador de carros, USB, o produto é realmente bom em preço acessível., Cargo bom e rápido e valor por dinheiro, பொருள் உடைய கடினத்தன்மையின் உள்ளது சார்ஜ் சார்ஜ் ஏறும் வேகம் வேகம் 15wat, Não é um carregador rápido. Carregamento muito lento com 65W. O pino em forma de L é muito útil.</v>
      </c>
    </row>
    <row r="431">
      <c r="A431" s="9" t="s">
        <v>1755</v>
      </c>
      <c r="B431" s="29" t="str">
        <f>VLOOKUP(dados!A431, reviews!A:G, 5, FALSE)</f>
        <v>Solid phone, worth considering,Good Phone,Overall decent product,Apart from the camera everything is fine,Product is good,Honest Review after 14 days usage,Superb but need improvement in camera,Best camera</v>
      </c>
      <c r="C431" s="29" t="str">
        <f>VLOOKUP(dados!A431, reviews!A:G, 6, FALSE)</f>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v>
      </c>
      <c r="D431" s="29" t="str">
        <f>IFERROR(__xludf.DUMMYFUNCTION("GOOGLETRANSLATE(B431, ""en"", ""pt-br"")"),"Telefone sólido, vale a pena considerar, bom telefone, produto decente geral, além da câmera, está tudo bem, o produto é bom, revisão honesta após 14 dias de uso, excelente, mas precisa de melhorias na câmera, melhor câmera")</f>
        <v>Telefone sólido, vale a pena considerar, bom telefone, produto decente geral, além da câmera, está tudo bem, o produto é bom, revisão honesta após 14 dias de uso, excelente, mas precisa de melhorias na câmera, melhor câmera</v>
      </c>
      <c r="E431" s="29" t="str">
        <f>IFERROR(__xludf.DUMMYFUNCTION("GOOGLETRANSLATE(C431, ""en"", ""pt-br"")"),"Comprei este telefone após toneladas de pesquisa e assistindo e lendo vários vídeos do YouTube e críticas de blog de vários telefones. Meu orçamento era de cerca de 20 mil no máximo, e este de alguma forma se encaixa de todas as maneiras. Eu quase tinha f"&amp;"inalizado um mais Nord CE, mas mudei de idéia no último momento e não me arrependo. Eu já usei telefones Redmi antes, por isso estou ciente da robustez e do valor pelo dinheiro que eles oferecem. Peguei isso por 13k com quase 6k+ troca no meu telefone Tec"&amp;"no Spark 7 de um ano (um dos piores telefones que já usei, consulte minha revisão do Tecno Spark 7 para isso). Aqui está minha revisão deste telefone com base em 2 meses de uso: Prós: 1. A qualidade de construção é boa. Terminando e parece ser elegante e "&amp;"bastante confortável na mão. A câmera traseira é muito boa, melhor com a câmera da IA. O 108 MP fornece boas imagens, embora não seja comparável à qualidade do iPhone ou Google Pixel, mas para a faixa de preço não é ruim. O modo retrato fornece ótimas ima"&amp;"gens em condições bem iluminadas, decentes com pouca luz com o modo noturno.3. O carregador 67W é muito eficiente. O telefone é totalmente carregado dentro de 40-45 minutos abaixo dos níveis de bateria abaixo de 10%. O backup da bateria é decente, com a c"&amp;"arga de uso normal facilmente dura um dia e meio ou mais.4. Dolby Atmos Dual Alto -falantes são realmente bons! Você pode estar assistindo filmes nisso e sentir o som surround através dos alto -falantes. Muito alto também. Sem atraso e toque suave, a taxa"&amp;" de atualização é muito boa. Ao contrário de alguns dos telefones Redmi anteriores ou telefones chineses em geral, existem instanturas automáticas insignificantes. O desempenho do Android 11 até agora tem sido satisfatório. Uso de Hasslefree em geral, alg"&amp;"o com o qual lutei muito com meu telefone Spark techno anterior para funcionalidades básicas. A câmera frontal poderia ter sido muito melhor. Nas condições do dia, as cores da imagem não são vibrantes o suficiente e, com pouca luz, as imagens são granulad"&amp;"as. Insatisfeito com isso. A tela AMOLED não é tão boa quanto eu esperava, especialmente fica evidente quando a luz reflete na tela enquanto você está assistindo a algo. Nada mais vale a pena mencionar que eu posso pensar agora. Pode atualizar esta revisã"&amp;"o se algo encontrado. Corpo e boa velocidade do processo ... A qualidade da câmera não é boa o suficiente ... mas em geral .. bom orçamento. Bug Se você estiver procurando uma boa câmera, este não é o único., O preço do produto é maior no momento do lança"&amp;"mento. Dentro de 1 mês, caiu 3k. O preço do QTY está ok. Alguns recursos estão faltando que estão disponíveis no modelo de make chineses., Pros1. Exibir (Super AMOLED) 2. Vida da bateria (uso moderado de 24 horas) 3. Carregamento rápido4. Taxa de atualiza"&amp;"ção de 120 Hz Trabalho perfeitamente de1. MIUI (muitos aplicativos desnecessários) 2.Processador (SD 695 é muito velho) 3.Main Câmera não está à altura do MarkOverall, eu só quero dizer se você está procurando um telefone para assistir filmes e séries e j"&amp;"ogos casuais vão para isso . (PUBG, COD se sente fantástico nisso sem atraso) Se estiver procurando por jogos pesados ​​ou procurar um telefone de câmera, este não é para você irmão., Bom telefone precisa de melhorias na câmera, este celular tem a melhor "&amp;"câmera em comparação com outros modelos")</f>
        <v>Comprei este telefone após toneladas de pesquisa e assistindo e lendo vários vídeos do YouTube e críticas de blog de vários telefones. Meu orçamento era de cerca de 20 mil no máximo, e este de alguma forma se encaixa de todas as maneiras. Eu quase tinha finalizado um mais Nord CE, mas mudei de idéia no último momento e não me arrependo. Eu já usei telefones Redmi antes, por isso estou ciente da robustez e do valor pelo dinheiro que eles oferecem. Peguei isso por 13k com quase 6k+ troca no meu telefone Tecno Spark 7 de um ano (um dos piores telefones que já usei, consulte minha revisão do Tecno Spark 7 para isso). Aqui está minha revisão deste telefone com base em 2 meses de uso: Prós: 1. A qualidade de construção é boa. Terminando e parece ser elegante e bastante confortável na mão. A câmera traseira é muito boa, melhor com a câmera da IA. O 108 MP fornece boas imagens, embora não seja comparável à qualidade do iPhone ou Google Pixel, mas para a faixa de preço não é ruim. O modo retrato fornece ótimas imagens em condições bem iluminadas, decentes com pouca luz com o modo noturno.3. O carregador 67W é muito eficiente. O telefone é totalmente carregado dentro de 40-45 minutos abaixo dos níveis de bateria abaixo de 10%. O backup da bateria é decente, com a carga de uso normal facilmente dura um dia e meio ou mais.4. Dolby Atmos Dual Alto -falantes são realmente bons! Você pode estar assistindo filmes nisso e sentir o som surround através dos alto -falantes. Muito alto também. Sem atraso e toque suave, a taxa de atualização é muito boa. Ao contrário de alguns dos telefones Redmi anteriores ou telefones chineses em geral, existem instanturas automáticas insignificantes. O desempenho do Android 11 até agora tem sido satisfatório. Uso de Hasslefree em geral, algo com o qual lutei muito com meu telefone Spark techno anterior para funcionalidades básicas. A câmera frontal poderia ter sido muito melhor. Nas condições do dia, as cores da imagem não são vibrantes o suficiente e, com pouca luz, as imagens são granuladas. Insatisfeito com isso. A tela AMOLED não é tão boa quanto eu esperava, especialmente fica evidente quando a luz reflete na tela enquanto você está assistindo a algo. Nada mais vale a pena mencionar que eu posso pensar agora. Pode atualizar esta revisão se algo encontrado. Corpo e boa velocidade do processo ... A qualidade da câmera não é boa o suficiente ... mas em geral .. bom orçamento. Bug Se você estiver procurando uma boa câmera, este não é o único., O preço do produto é maior no momento do lançamento. Dentro de 1 mês, caiu 3k. O preço do QTY está ok. Alguns recursos estão faltando que estão disponíveis no modelo de make chineses., Pros1. Exibir (Super AMOLED) 2. Vida da bateria (uso moderado de 24 horas) 3. Carregamento rápido4. Taxa de atualização de 120 Hz Trabalho perfeitamente de1. MIUI (muitos aplicativos desnecessários) 2.Processador (SD 695 é muito velho) 3.Main Câmera não está à altura do MarkOverall, eu só quero dizer se você está procurando um telefone para assistir filmes e séries e jogos casuais vão para isso . (PUBG, COD se sente fantástico nisso sem atraso) Se estiver procurando por jogos pesados ​​ou procurar um telefone de câmera, este não é para você irmão., Bom telefone precisa de melhorias na câmera, este celular tem a melhor câmera em comparação com outros modelos</v>
      </c>
    </row>
    <row r="432">
      <c r="A432" s="9" t="s">
        <v>1759</v>
      </c>
      <c r="B432" s="29" t="str">
        <f>VLOOKUP(dados!A432, reviews!A:G, 5, FALSE)</f>
        <v>Good,NICE 👍 IN VALUE.PARACASED ON TWO OLY,Working fine,Good product,Good one,Good one,Very good product,Decent product, worth every penny</v>
      </c>
      <c r="C432" s="29" t="str">
        <f>VLOOKUP(dados!A432, reviews!A:G, 6, FALSE)</f>
        <v>Expect it will last long, price wise it's a good product. Till date it's working well.,One slot got out of order and one using now.value of money and second slot of the charger is average to use.🤪🤪🤪😂😂🇮🇳,Good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v>
      </c>
      <c r="D432" s="29" t="str">
        <f>IFERROR(__xludf.DUMMYFUNCTION("GOOGLETRANSLATE(B432, ""en"", ""pt-br"")"),"Bom, bom 👍 em valor.")</f>
        <v>Bom, bom 👍 em valor.</v>
      </c>
      <c r="E432" s="29" t="str">
        <f>IFERROR(__xludf.DUMMYFUNCTION("GOOGLETRANSLATE(C432, ""en"", ""pt-br"")"),"Espere que durará muito, em termos de preço, é um bom produto. Até a data, está funcionando bem., Um slot ficou fora de ordem e um usando agora. 2ampas é carregador de 10 watts., Carregamento rápido, sim, é muito bom, https: //m.media-amazon.com/images/i/"&amp;"61pgvx61i7l._sy88.jpg. Ótimo poder de carregamento até dois dispositivos conectados ao carregador. Carreguei meu pixel 6A e fone de ouvido sem fio juntos, ambos são carregados rapidamente. Mas problema com a qualidade de construção. Uma vez, por engano, f"&amp;"iquei no carregador e a extremidade do soquete quebrou das bordas e saí completamente. Eu tive que consertar isso com um FEVI rápido. Agora funcionando bem. No geral, um produto muito bom. Não pense, basta seguir em frente., É um bom produto para essa fai"&amp;"xa de preço. Funciona bem.")</f>
        <v>Espere que durará muito, em termos de preço, é um bom produto. Até a data, está funcionando bem., Um slot ficou fora de ordem e um usando agora. 2ampas é carregador de 10 watts., Carregamento rápido, sim, é muito bom, https: //m.media-amazon.com/images/i/61pgvx61i7l._sy88.jpg. Ótimo poder de carregamento até dois dispositivos conectados ao carregador. Carreguei meu pixel 6A e fone de ouvido sem fio juntos, ambos são carregados rapidamente. Mas problema com a qualidade de construção. Uma vez, por engano, fiquei no carregador e a extremidade do soquete quebrou das bordas e saí completamente. Eu tive que consertar isso com um FEVI rápido. Agora funcionando bem. No geral, um produto muito bom. Não pense, basta seguir em frente., É um bom produto para essa faixa de preço. Funciona bem.</v>
      </c>
    </row>
    <row r="433">
      <c r="A433" s="9" t="s">
        <v>1763</v>
      </c>
      <c r="B433" s="29" t="str">
        <f>VLOOKUP(dados!A433, reviews!A:G, 5, FALSE)</f>
        <v>Good product at a affordable price point,Nice!,Very good n useful product..,Value for Money.!,It's great,Good 3 pin plug,Useful product,Works as expected.</v>
      </c>
      <c r="C433" s="29" t="str">
        <f>VLOOKUP(dados!A433, reviews!A:G, 6, FALSE)</f>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v>
      </c>
      <c r="D433" s="29" t="str">
        <f>IFERROR(__xludf.DUMMYFUNCTION("GOOGLETRANSLATE(B433, ""en"", ""pt-br"")"),"Bom produto a um preço acessível, bom!, Muito bom e um produto útil .., valor por dinheiro.!, É ótimo, bom plugue de 3 pinos, produto útil, funciona como esperado.")</f>
        <v>Bom produto a um preço acessível, bom!, Muito bom e um produto útil .., valor por dinheiro.!, É ótimo, bom plugue de 3 pinos, produto útil, funciona como esperado.</v>
      </c>
      <c r="E433" s="29" t="str">
        <f>IFERROR(__xludf.DUMMYFUNCTION("GOOGLETRANSLATE(C433, ""en"", ""pt-br"")"),"O produto é exatamente como descrito e faz o que foi descrito para fazer. A durabilidade e outros recursos podem ter que esperar enquanto usamos o produto mais para declarar justificadamente, útil para cobrar vários dispositivos por vez., Produto muito bo"&amp;"m, a qualidade de construção é muito boa. Feliz com a embalagem e a entrega oportuna., Nice, este é um plano muito bom, ele se encaixa confortavelmente em qualquer placa de comutação e um indicador vermelho acende dentro dele, bom produto, boa relação cus"&amp;"to -benefício.")</f>
        <v>O produto é exatamente como descrito e faz o que foi descrito para fazer. A durabilidade e outros recursos podem ter que esperar enquanto usamos o produto mais para declarar justificadamente, útil para cobrar vários dispositivos por vez., Produto muito bom, a qualidade de construção é muito boa. Feliz com a embalagem e a entrega oportuna., Nice, este é um plano muito bom, ele se encaixa confortavelmente em qualquer placa de comutação e um indicador vermelho acende dentro dele, bom produto, boa relação custo -benefício.</v>
      </c>
    </row>
    <row r="434">
      <c r="A434" s="9" t="s">
        <v>1767</v>
      </c>
      <c r="B434" s="29" t="str">
        <f>VLOOKUP(dados!A434, reviews!A:G, 5, FALSE)</f>
        <v>I like the product,Best product with good customer care,Best suction and decent plastic quality,Good product with good quality,Good solution,Good cup adhesion. Overall satisfied.,Overall nice product,Nice One</v>
      </c>
      <c r="C434" s="29" t="str">
        <f>VLOOKUP(dados!A434, reviews!A:G, 6, FALSE)</f>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v>
      </c>
      <c r="D434" s="29" t="str">
        <f>IFERROR(__xludf.DUMMYFUNCTION("GOOGLETRANSLATE(B434, ""en"", ""pt-br"")"),"Gosto do produto, do melhor produto com bom atendimento ao cliente, melhor sucção e qualidade de plástico decente, bom produto com boa qualidade, boa solução, boa adesão à copo. Geral")</f>
        <v>Gosto do produto, do melhor produto com bom atendimento ao cliente, melhor sucção e qualidade de plástico decente, bom produto com boa qualidade, boa solução, boa adesão à copo. Geral</v>
      </c>
      <c r="E434" s="29" t="str">
        <f>IFERROR(__xludf.DUMMYFUNCTION("GOOGLETRANSLATE(C434, ""en"", ""pt-br"")"),"Parece bom, o produto é bom, faz o que diz, especialmente para mencionar sobre o atendimento ao cliente e a política de substituição, que é muito boa com 1 ano de garantia. Parabéns para a equipe!, No geral, um ótimo produto eu tinha esse medo antes de co"&amp;"mprar isso de quão bom ele aderirá, mas é fantástico o único campo em que eles tiveram um escopo de melhoria é a qualidade de plástico, é decente, mas poderia ter sido melhor, bom, bom, Exceto um ruído menor, descanse tudo de bom, permaneceu bem em geral "&amp;"através de uma unidade aproximada de 1000 km e parece resistente o suficiente para durar muito. No entanto, as nozes nas articulações precisavam apertar 3 a 4 vezes durante a viagem e também existem alguns chocalhos. . Então, é bom. Nice um. Se você está "&amp;"procurando o buget segem, basta comprá -lo.")</f>
        <v>Parece bom, o produto é bom, faz o que diz, especialmente para mencionar sobre o atendimento ao cliente e a política de substituição, que é muito boa com 1 ano de garantia. Parabéns para a equipe!, No geral, um ótimo produto eu tinha esse medo antes de comprar isso de quão bom ele aderirá, mas é fantástico o único campo em que eles tiveram um escopo de melhoria é a qualidade de plástico, é decente, mas poderia ter sido melhor, bom, bom, Exceto um ruído menor, descanse tudo de bom, permaneceu bem em geral através de uma unidade aproximada de 1000 km e parece resistente o suficiente para durar muito. No entanto, as nozes nas articulações precisavam apertar 3 a 4 vezes durante a viagem e também existem alguns chocalhos. . Então, é bom. Nice um. Se você está procurando o buget segem, basta comprá -lo.</v>
      </c>
    </row>
    <row r="435">
      <c r="A435" s="9" t="s">
        <v>1771</v>
      </c>
      <c r="B435" s="29" t="str">
        <f>VLOOKUP(dados!A435, reviews!A:G, 5, FALSE)</f>
        <v>Best,genuine,Nice product,Good product,Value for money,Good,worth of purchase,Good 👍</v>
      </c>
      <c r="C435" s="29" t="str">
        <f>VLOOKUP(dados!A435, reviews!A:G, 6, FALSE)</f>
        <v>Best wishes,brought it online as cautious about buying offline coz of fake and overpriced products. using it for my wifi camera. working fine,Nice product,Nice quality product easy to use. Thanks amazon,Well known brand ..Nice product.,Good,worth product,Bahut achcha laga Raha hai</v>
      </c>
      <c r="D435" s="29" t="str">
        <f>IFERROR(__xludf.DUMMYFUNCTION("GOOGLETRANSLATE(B435, ""en"", ""pt-br"")"),"Melhor, genuíno, bom produto, bom produto, valor ao dinheiro, bom, no valor de compra, bom 👍")</f>
        <v>Melhor, genuíno, bom produto, bom produto, valor ao dinheiro, bom, no valor de compra, bom 👍</v>
      </c>
      <c r="E435" s="29" t="str">
        <f>IFERROR(__xludf.DUMMYFUNCTION("GOOGLETRANSLATE(C435, ""en"", ""pt-br"")"),"Os melhores votos, trouxeram -o on -line como cautelosos ao comprar por mais de produtos falsos e muito caros. Usando -o para minha câmera wifi. Trabalhando bem, bom produto, produto de boa qualidade fácil de usar. Obrigado Amazon, marca bem conhecida.")</f>
        <v>Os melhores votos, trouxeram -o on -line como cautelosos ao comprar por mais de produtos falsos e muito caros. Usando -o para minha câmera wifi. Trabalhando bem, bom produto, produto de boa qualidade fácil de usar. Obrigado Amazon, marca bem conhecida.</v>
      </c>
    </row>
    <row r="436">
      <c r="A436" s="9" t="s">
        <v>1775</v>
      </c>
      <c r="B436" s="29" t="str">
        <f>VLOOKUP(dados!A436, reviews!A:G, 5, FALSE)</f>
        <v>Above average phone,Worth For The Money 💰,Okie,Phone is excellent,Purchased in good budget at 12k,It can fulfill basic needs in affordable price range,Nice,About features</v>
      </c>
      <c r="C436" s="29" t="str">
        <f>VLOOKUP(dados!A436, reviews!A:G, 6, FALSE)</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c r="D436" s="29" t="str">
        <f>IFERROR(__xludf.DUMMYFUNCTION("GOOGLETRANSLATE(B436, ""en"", ""pt-br"")"),"Telefone acima da média, que vale o dinheiro 💰, okie, o telefone é excelente, comprado com bom orçamento a 12k, pode atender às necessidades básicas em faixa de preço acessível, agradável, sobre recursos")</f>
        <v>Telefone acima da média, que vale o dinheiro 💰, okie, o telefone é excelente, comprado com bom orçamento a 12k, pode atender às necessidades básicas em faixa de preço acessível, agradável, sobre recursos</v>
      </c>
      <c r="E436" s="29" t="str">
        <f>IFERROR(__xludf.DUMMYFUNCTION("GOOGLETRANSLATE(C436, ""en"", ""pt-br"")"),"Comprei a variante de 6/128 GB. Para resumir para prós e contras. A qualidade da tela é boa com pouco tom de cor impulsionado. O novo processador é muito suave e responsivo. A qualidade do alto -falante é boa sem muito agudo. A câmera é boa para selfie e "&amp;"o desempenho da câmera principal está acima da média com menos ruído. A câmera na frente é pequena, portanto o entalhe não é distraído ao reproduzir vídeos.CONS: -1.Main Camera lutas após o zoom 3x. E a performance de vídeo da câmera frontal é inferior ao"&amp;" estoque de fotos de selfie.2. O carregador de 18 watts levou 1HR30 minutos para cobrar 80% do telefone. A velocidade de carregamento não é economizando tempo para esta grande bateria., Bom sob esse preço ..! Um dos melhores telefones Android da Vivo 💚, "&amp;"é super bom para uso normal, a câmera é boa para o normal, está funcionando bem e sem problemas. IQOO, fornecendo dispositivos de qualidade em comparação com outras marcas, a qualidade da câmera não é tão alta, uma relação custo / benefício, o telefone é "&amp;"muito útil e a bateria também é boa. A qualidade do telefone é boa.")</f>
        <v>Comprei a variante de 6/128 GB. Para resumir para prós e contras. A qualidade da tela é boa com pouco tom de cor impulsionado. O novo processador é muito suave e responsivo. A qualidade do alto -falante é boa sem muito agudo. A câmera é boa para selfie e o desempenho da câmera principal está acima da média com menos ruído. A câmera na frente é pequena, portanto o entalhe não é distraído ao reproduzir vídeos.CONS: -1.Main Camera lutas após o zoom 3x. E a performance de vídeo da câmera frontal é inferior ao estoque de fotos de selfie.2. O carregador de 18 watts levou 1HR30 minutos para cobrar 80% do telefone. A velocidade de carregamento não é economizando tempo para esta grande bateria., Bom sob esse preço ..! Um dos melhores telefones Android da Vivo 💚, é super bom para uso normal, a câmera é boa para o normal, está funcionando bem e sem problemas. IQOO, fornecendo dispositivos de qualidade em comparação com outras marcas, a qualidade da câmera não é tão alta, uma relação custo / benefício, o telefone é muito útil e a bateria também é boa. A qualidade do telefone é boa.</v>
      </c>
    </row>
    <row r="437">
      <c r="A437" s="9" t="s">
        <v>1779</v>
      </c>
      <c r="B437" s="29" t="str">
        <f>VLOOKUP(dados!A437, reviews!A:G, 5, FALSE)</f>
        <v>Above average phone,Worth For The Money 💰,Okie,Phone is excellent,Purchased in good budget at 12k,It can fulfill basic needs in affordable price range,Nice,About features</v>
      </c>
      <c r="C437" s="29" t="str">
        <f>VLOOKUP(dados!A437, reviews!A:G, 6, FALSE)</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c r="D437" s="29" t="str">
        <f>IFERROR(__xludf.DUMMYFUNCTION("GOOGLETRANSLATE(B437, ""en"", ""pt-br"")"),"Telefone acima da média, que vale o dinheiro 💰, okie, o telefone é excelente, comprado com bom orçamento a 12k, pode atender às necessidades básicas em faixa de preço acessível, agradável, sobre recursos")</f>
        <v>Telefone acima da média, que vale o dinheiro 💰, okie, o telefone é excelente, comprado com bom orçamento a 12k, pode atender às necessidades básicas em faixa de preço acessível, agradável, sobre recursos</v>
      </c>
      <c r="E437" s="29" t="str">
        <f>IFERROR(__xludf.DUMMYFUNCTION("GOOGLETRANSLATE(C437, ""en"", ""pt-br"")"),"Comprei a variante de 6/128 GB. Para resumir para prós e contras. A qualidade da tela é boa com pouco tom de cor impulsionado. O novo processador é muito suave e responsivo. A qualidade do alto -falante é boa sem muito agudo. A câmera é boa para selfie e "&amp;"o desempenho da câmera principal está acima da média com menos ruído. A câmera na frente é pequena, portanto o entalhe não é distraído ao reproduzir vídeos.CONS: -1.Main Camera lutas após o zoom 3x. E a performance de vídeo da câmera frontal é inferior ao"&amp;" estoque de fotos de selfie.2. O carregador de 18 watts levou 1HR30 minutos para cobrar 80% do telefone. A velocidade de carregamento não é economizando tempo para esta grande bateria., Bom sob esse preço ..! Um dos melhores telefones Android da Vivo 💚, "&amp;"é super bom para uso normal, a câmera é boa para o normal, está funcionando bem e sem problemas. IQOO, fornecendo dispositivos de qualidade em comparação com outras marcas, a qualidade da câmera não é tão alta, uma relação custo / benefício, o telefone é "&amp;"muito útil e a bateria também é boa. A qualidade do telefone é boa.")</f>
        <v>Comprei a variante de 6/128 GB. Para resumir para prós e contras. A qualidade da tela é boa com pouco tom de cor impulsionado. O novo processador é muito suave e responsivo. A qualidade do alto -falante é boa sem muito agudo. A câmera é boa para selfie e o desempenho da câmera principal está acima da média com menos ruído. A câmera na frente é pequena, portanto o entalhe não é distraído ao reproduzir vídeos.CONS: -1.Main Camera lutas após o zoom 3x. E a performance de vídeo da câmera frontal é inferior ao estoque de fotos de selfie.2. O carregador de 18 watts levou 1HR30 minutos para cobrar 80% do telefone. A velocidade de carregamento não é economizando tempo para esta grande bateria., Bom sob esse preço ..! Um dos melhores telefones Android da Vivo 💚, é super bom para uso normal, a câmera é boa para o normal, está funcionando bem e sem problemas. IQOO, fornecendo dispositivos de qualidade em comparação com outras marcas, a qualidade da câmera não é tão alta, uma relação custo / benefício, o telefone é muito útil e a bateria também é boa. A qualidade do telefone é boa.</v>
      </c>
    </row>
    <row r="438">
      <c r="A438" s="9" t="s">
        <v>1782</v>
      </c>
      <c r="B438" s="29" t="str">
        <f>VLOOKUP(dados!A438, reviews!A:G, 5, FALSE)</f>
        <v>Solid phone, worth considering,Good Phone,Overall decent product,Apart from the camera everything is fine,Product is good,Honest Review after 14 days usage,Superb but need improvement in camera,Best camera</v>
      </c>
      <c r="C438" s="29" t="str">
        <f>VLOOKUP(dados!A438, reviews!A:G, 6, FALSE)</f>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v>
      </c>
      <c r="D438" s="29" t="str">
        <f>IFERROR(__xludf.DUMMYFUNCTION("GOOGLETRANSLATE(B438, ""en"", ""pt-br"")"),"Telefone sólido, vale a pena considerar, bom telefone, produto decente geral, além da câmera, está tudo bem, o produto é bom, revisão honesta após 14 dias de uso, excelente, mas precisa de melhorias na câmera, melhor câmera")</f>
        <v>Telefone sólido, vale a pena considerar, bom telefone, produto decente geral, além da câmera, está tudo bem, o produto é bom, revisão honesta após 14 dias de uso, excelente, mas precisa de melhorias na câmera, melhor câmera</v>
      </c>
      <c r="E438" s="29" t="str">
        <f>IFERROR(__xludf.DUMMYFUNCTION("GOOGLETRANSLATE(C438, ""en"", ""pt-br"")"),"Comprei este telefone após toneladas de pesquisa e assistindo e lendo vários vídeos do YouTube e críticas de blog de vários telefones. Meu orçamento era de cerca de 20 mil no máximo, e este de alguma forma se encaixa de todas as maneiras. Eu quase tinha f"&amp;"inalizado um mais Nord CE, mas mudei de idéia no último momento e não me arrependo. Eu já usei telefones Redmi antes, por isso estou ciente da robustez e do valor pelo dinheiro que eles oferecem. Peguei isso por 13k com quase 6k+ troca no meu telefone Tec"&amp;"no Spark 7 de um ano (um dos piores telefones que já usei, consulte minha revisão do Tecno Spark 7 para isso). Aqui está minha revisão deste telefone com base em 2 meses de uso: Prós: 1. A qualidade de construção é boa. Terminando e parece ser elegante e "&amp;"bastante confortável na mão. A câmera traseira é muito boa, melhor com a câmera da IA. O 108 MP fornece boas imagens, embora não seja comparável à qualidade do iPhone ou Google Pixel, mas para a faixa de preço não é ruim. O modo retrato fornece ótimas ima"&amp;"gens em condições bem iluminadas, decentes com pouca luz com o modo noturno.3. O carregador 67W é muito eficiente. O telefone é totalmente carregado dentro de 40-45 minutos abaixo dos níveis de bateria abaixo de 10%. O backup da bateria é decente, com a c"&amp;"arga de uso normal facilmente dura um dia e meio ou mais.4. Dolby Atmos Dual Alto -falantes são realmente bons! Você pode estar assistindo filmes nisso e sentir o som surround através dos alto -falantes. Muito alto também. Sem atraso e toque suave, a taxa"&amp;" de atualização é muito boa. Ao contrário de alguns dos telefones Redmi anteriores ou telefones chineses em geral, existem instanturas automáticas insignificantes. O desempenho do Android 11 até agora tem sido satisfatório. Uso de Hasslefree em geral, alg"&amp;"o com o qual lutei muito com meu telefone Spark techno anterior para funcionalidades básicas. A câmera frontal poderia ter sido muito melhor. Nas condições do dia, as cores da imagem não são vibrantes o suficiente e, com pouca luz, as imagens são granulad"&amp;"as. Insatisfeito com isso. A tela AMOLED não é tão boa quanto eu esperava, especialmente fica evidente quando a luz reflete na tela enquanto você está assistindo a algo. Nada mais vale a pena mencionar que eu posso pensar agora. Pode atualizar esta revisã"&amp;"o se algo encontrado. Corpo e boa velocidade do processo ... A qualidade da câmera não é boa o suficiente ... mas em geral .. bom orçamento. Bug Se você estiver procurando uma boa câmera, este não é o único., O preço do produto é maior no momento do lança"&amp;"mento. Dentro de 1 mês, caiu 3k. O preço do QTY está ok. Alguns recursos estão faltando que estão disponíveis no modelo de make chineses., Pros1. Exibir (Super AMOLED) 2. Vida da bateria (uso moderado de 24 horas) 3. Carregamento rápido4. Taxa de atualiza"&amp;"ção de 120 Hz Trabalho perfeitamente de1. MIUI (muitos aplicativos desnecessários) 2.Processador (SD 695 é muito velho) 3.Main Câmera não está à altura do MarkOverall, eu só quero dizer se você está procurando um telefone para assistir filmes e séries e j"&amp;"ogos casuais vão para isso . (PUBG, COD se sente fantástico nisso sem atraso) Se estiver procurando por jogos pesados ​​ou procurar um telefone de câmera, este não é para você irmão., Bom telefone precisa de melhorias na câmera, este celular tem a melhor "&amp;"câmera em comparação com outros modelos")</f>
        <v>Comprei este telefone após toneladas de pesquisa e assistindo e lendo vários vídeos do YouTube e críticas de blog de vários telefones. Meu orçamento era de cerca de 20 mil no máximo, e este de alguma forma se encaixa de todas as maneiras. Eu quase tinha finalizado um mais Nord CE, mas mudei de idéia no último momento e não me arrependo. Eu já usei telefones Redmi antes, por isso estou ciente da robustez e do valor pelo dinheiro que eles oferecem. Peguei isso por 13k com quase 6k+ troca no meu telefone Tecno Spark 7 de um ano (um dos piores telefones que já usei, consulte minha revisão do Tecno Spark 7 para isso). Aqui está minha revisão deste telefone com base em 2 meses de uso: Prós: 1. A qualidade de construção é boa. Terminando e parece ser elegante e bastante confortável na mão. A câmera traseira é muito boa, melhor com a câmera da IA. O 108 MP fornece boas imagens, embora não seja comparável à qualidade do iPhone ou Google Pixel, mas para a faixa de preço não é ruim. O modo retrato fornece ótimas imagens em condições bem iluminadas, decentes com pouca luz com o modo noturno.3. O carregador 67W é muito eficiente. O telefone é totalmente carregado dentro de 40-45 minutos abaixo dos níveis de bateria abaixo de 10%. O backup da bateria é decente, com a carga de uso normal facilmente dura um dia e meio ou mais.4. Dolby Atmos Dual Alto -falantes são realmente bons! Você pode estar assistindo filmes nisso e sentir o som surround através dos alto -falantes. Muito alto também. Sem atraso e toque suave, a taxa de atualização é muito boa. Ao contrário de alguns dos telefones Redmi anteriores ou telefones chineses em geral, existem instanturas automáticas insignificantes. O desempenho do Android 11 até agora tem sido satisfatório. Uso de Hasslefree em geral, algo com o qual lutei muito com meu telefone Spark techno anterior para funcionalidades básicas. A câmera frontal poderia ter sido muito melhor. Nas condições do dia, as cores da imagem não são vibrantes o suficiente e, com pouca luz, as imagens são granuladas. Insatisfeito com isso. A tela AMOLED não é tão boa quanto eu esperava, especialmente fica evidente quando a luz reflete na tela enquanto você está assistindo a algo. Nada mais vale a pena mencionar que eu posso pensar agora. Pode atualizar esta revisão se algo encontrado. Corpo e boa velocidade do processo ... A qualidade da câmera não é boa o suficiente ... mas em geral .. bom orçamento. Bug Se você estiver procurando uma boa câmera, este não é o único., O preço do produto é maior no momento do lançamento. Dentro de 1 mês, caiu 3k. O preço do QTY está ok. Alguns recursos estão faltando que estão disponíveis no modelo de make chineses., Pros1. Exibir (Super AMOLED) 2. Vida da bateria (uso moderado de 24 horas) 3. Carregamento rápido4. Taxa de atualização de 120 Hz Trabalho perfeitamente de1. MIUI (muitos aplicativos desnecessários) 2.Processador (SD 695 é muito velho) 3.Main Câmera não está à altura do MarkOverall, eu só quero dizer se você está procurando um telefone para assistir filmes e séries e jogos casuais vão para isso . (PUBG, COD se sente fantástico nisso sem atraso) Se estiver procurando por jogos pesados ​​ou procurar um telefone de câmera, este não é para você irmão., Bom telefone precisa de melhorias na câmera, este celular tem a melhor câmera em comparação com outros modelos</v>
      </c>
    </row>
    <row r="439">
      <c r="A439" s="9" t="s">
        <v>1786</v>
      </c>
      <c r="B439" s="29" t="str">
        <f>VLOOKUP(dados!A439, reviews!A:G, 5, FALSE)</f>
        <v>Good Sound,Not bad,Best gaming earphone,Some what satisfied with the boat 242--- 4.5/5,Outstanding fantastic,Good purchase,Nice product,Good quality</v>
      </c>
      <c r="C439" s="29" t="str">
        <f>VLOOKUP(dados!A439, reviews!A:G, 6, FALSE)</f>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-niceSound-osm😎Disyan-nice and value for moneyThank you amezon ♥️,Iam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v>
      </c>
      <c r="D439" s="29" t="str">
        <f>IFERROR(__xludf.DUMMYFUNCTION("GOOGLETRANSLATE(B439, ""en"", ""pt-br"")"),"Bom som, não é ruim, o melhor evido para jogos, alguns que estão satisfeitos com o barco 242 --- 4.5/5, excelente fantástico, boa compra, bom produto, boa qualidade")</f>
        <v>Bom som, não é ruim, o melhor evido para jogos, alguns que estão satisfeitos com o barco 242 --- 4.5/5, excelente fantástico, boa compra, bom produto, boa qualidade</v>
      </c>
      <c r="E439" s="29" t="str">
        <f>IFERROR(__xludf.DUMMYFUNCTION("GOOGLETRANSLATE(C439, ""en"", ""pt-br"")"),"O som da música é bom, é muito bom ou eu ainda estou usando quase talvez 2 ou 3 meses, talvez mais, mas eles ainda são bons, o produto está em boa qualidade e confortavelmente consertado em nossos ouvidos, mas a principal questão é quando éramos brotos po"&amp;"r alguns minutos, Começará a machucar nossos ouvidos, jogos-nices-osm😎disyan-nice e valor para dinheiro, por exemplo, você amezon ♥ ️, estou satisfeito com a qualidade do som, 4.7/5OK com o desempenho de cancelamento de ruído. Mas quando se trata de qual"&amp;"idade de baixo, é um pouco O que menos do que o barco 225. Não é muito baixo, a clareza no baixo é algo que falta, peso leve quando comparado ao barco 225. Finalmente, o barco 242 é bom. Sua faixa de preço., Microfone, qualidade do som cristalina clara, b"&amp;"aixo também é bom e a qualidade da fiação é muito boa em geral, o fone de ouvido é muito bom nesse intervalo. Vale a pena me produzir, comprei -os há 2 meses ... nenhum outro reclama até agora .... tudo indo muito bem ... mas é um pouco caro por 550, bom,"&amp;" bast")</f>
        <v>O som da música é bom, é muito bom ou eu ainda estou usando quase talvez 2 ou 3 meses, talvez mais, mas eles ainda são bons, o produto está em boa qualidade e confortavelmente consertado em nossos ouvidos, mas a principal questão é quando éramos brotos por alguns minutos, Começará a machucar nossos ouvidos, jogos-nices-osm😎disyan-nice e valor para dinheiro, por exemplo, você amezon ♥ ️, estou satisfeito com a qualidade do som, 4.7/5OK com o desempenho de cancelamento de ruído. Mas quando se trata de qualidade de baixo, é um pouco O que menos do que o barco 225. Não é muito baixo, a clareza no baixo é algo que falta, peso leve quando comparado ao barco 225. Finalmente, o barco 242 é bom. Sua faixa de preço., Microfone, qualidade do som cristalina clara, baixo também é bom e a qualidade da fiação é muito boa em geral, o fone de ouvido é muito bom nesse intervalo. Vale a pena me produzir, comprei -os há 2 meses ... nenhum outro reclama até agora .... tudo indo muito bem ... mas é um pouco caro por 550, bom, bast</v>
      </c>
    </row>
    <row r="440">
      <c r="A440" s="9" t="s">
        <v>1790</v>
      </c>
      <c r="B440" s="29" t="str">
        <f>VLOOKUP(dados!A440, reviews!A:G, 5, FALSE)</f>
        <v>Good one,Cannot set tha 90° vertical angle,Best,Nice to use,Avarage,Value for money.,IT DOES WHAT IT IS SUPPOSED TO,Good 👍</v>
      </c>
      <c r="C440" s="29" t="str">
        <f>VLOOKUP(dados!A440, reviews!A:G, 6, FALSE)</f>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v>
      </c>
      <c r="D440" s="29" t="str">
        <f>IFERROR(__xludf.DUMMYFUNCTION("GOOGLETRANSLATE(B440, ""en"", ""pt-br"")"),"Bom, não pode definir o ângulo vertical de 90 °, melhor, bom de usar, avarage, valor pelo dinheiro., Faz o que deveria, bom 👍")</f>
        <v>Bom, não pode definir o ângulo vertical de 90 °, melhor, bom de usar, avarage, valor pelo dinheiro., Faz o que deveria, bom 👍</v>
      </c>
      <c r="E440" s="29" t="str">
        <f>IFERROR(__xludf.DUMMYFUNCTION("GOOGLETRANSLATE(C440, ""en"", ""pt-br"")"),"Forte o suficiente, bom para segurar., É um objetivo simples de segurar o telefone ... mas não é possível fazer um telefone ficar em 90 °. 90 ângulo) .. Vale para uso simples, melhor, bom, avarage, produto resistente., Produto eficaz para essa faixa de pr"&amp;"eço, bom 👍")</f>
        <v>Forte o suficiente, bom para segurar., É um objetivo simples de segurar o telefone ... mas não é possível fazer um telefone ficar em 90 °. 90 ângulo) .. Vale para uso simples, melhor, bom, avarage, produto resistente., Produto eficaz para essa faixa de preço, bom 👍</v>
      </c>
    </row>
    <row r="441">
      <c r="A441" s="9" t="s">
        <v>1794</v>
      </c>
      <c r="B441" s="29" t="str">
        <f>VLOOKUP(dados!A441, reviews!A:G, 5, FALSE)</f>
        <v>Budget Phone,Good product at this price,Good prodect,Good,Good,Value for Money!,Not bad,Nice</v>
      </c>
      <c r="C441" s="29" t="str">
        <f>VLOOKUP(dados!A441, reviews!A:G, 6, FALSE)</f>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v>
      </c>
      <c r="D441" s="29" t="str">
        <f>IFERROR(__xludf.DUMMYFUNCTION("GOOGLETRANSLATE(B441, ""en"", ""pt-br"")"),"Telefone orçamentário, bom produto a esse preço, bom produto, bom, bom, valor ao dinheiro!, NÃO mal, legal")</f>
        <v>Telefone orçamentário, bom produto a esse preço, bom produto, bom, bom, valor ao dinheiro!, NÃO mal, legal</v>
      </c>
      <c r="E441" s="29" t="str">
        <f>IFERROR(__xludf.DUMMYFUNCTION("GOOGLETRANSLATE(C441, ""en"", ""pt-br"")"),"Se o seu orçamento estiver baixo e você estiver procurando um bom telefone, poderá comprar este RealMe Narzo 50i, o produto é muito agradável e de boa qualidade. Depois de usar tantos dias, o produto não está quente e também o telefone não está pendurado."&amp;" Então, é bom nesse preço, pré -forma média, bom, bom, ok para uso normal, qualidade de construção e bateria é boa .., a duração da bateria está ok Máximo de trabalho 12 horas após 100% de cobrança, ok")</f>
        <v>Se o seu orçamento estiver baixo e você estiver procurando um bom telefone, poderá comprar este RealMe Narzo 50i, o produto é muito agradável e de boa qualidade. Depois de usar tantos dias, o produto não está quente e também o telefone não está pendurado. Então, é bom nesse preço, pré -forma média, bom, bom, ok para uso normal, qualidade de construção e bateria é boa .., a duração da bateria está ok Máximo de trabalho 12 horas após 100% de cobrança, ok</v>
      </c>
    </row>
    <row r="442">
      <c r="A442" s="9" t="s">
        <v>1798</v>
      </c>
      <c r="B442" s="29" t="str">
        <f>VLOOKUP(dados!A442, reviews!A:G, 5, FALSE)</f>
        <v>Ok product to buy,Better than any other power banks,👍,Nice product,Performance is OK,Very Slim &amp; easy to carry,Decent product,GOAT</v>
      </c>
      <c r="C442" s="29" t="str">
        <f>VLOOKUP(dados!A442, reviews!A:G, 6, FALSE)</f>
        <v>I haven’t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product,👍,But it’s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v>
      </c>
      <c r="D442" s="29" t="str">
        <f>IFERROR(__xludf.DUMMYFUNCTION("GOOGLETRANSLATE(B442, ""en"", ""pt-br"")"),"Ok produto para comprar, melhor do que qualquer outro banco de energia, 👍 👍, bom produto, desempenho é bom, muito esbelto e fácil de transportar, produto decente, cabra")</f>
        <v>Ok produto para comprar, melhor do que qualquer outro banco de energia, 👍 👍, bom produto, desempenho é bom, muito esbelto e fácil de transportar, produto decente, cabra</v>
      </c>
      <c r="E442" s="29" t="str">
        <f>IFERROR(__xludf.DUMMYFUNCTION("GOOGLETRANSLATE(C442, ""en"", ""pt-br"")"),"Não usei nenhuma outra bateria, portanto, não poderá fornecer o desempenho exato esperado. Simplificando, não é 20.000 dividir pelo tamanho da bateria do seu telefone será o tempo esperado. Se eu considerar isso como uma medida, diria que a capacidade da "&amp;"bateria é de cerca de 15000 mAh, feliz com o produto, 👍, mas é muito pesado, o dia a dia da bateria está reduzindo. Os parâmetros restantes são bons., Flim e fácil de transportar para viajar e muito bonito, estou muito satisfeito com este produto em gera"&amp;"l, mas leva de 4 a 5 horas para cobrar., Muito pesado. Deve ser cerca de 1-1.5kg. Muito rápido cobrança. Leva anos (quase 8 a 10 horas) para carregar completamente. Carreguei meu Samsung M53 duas vezes, uma vez cheia. Comprei recentemente o Mi Power Bank "&amp;"3i 20000mAh e fiquei extremamente impressionado com seu desempenho. Eu o testei pessoalmente com equipamentos de laboratório e descobri que ele tem uma capacidade de cerca de 19000mAh, o que é muito bom em comparação com outros bancos de energia no mercad"&amp;"o. Uma das coisas que aprecio no Mi Power Bank 3i é que é capaz de manter sua carga por um longo período de tempo. Eu não tive que recarregá -lo com tanta frequência quanto com outros bancos de energia. A construção é sólida e o Banco de Power não sofreu "&amp;"nenhum dano, apesar de ter sido carregado na minha bolsa diariamente. No geral, estou extremamente satisfeito com a compra do Mi Power Bank 3i 20000mAh e o recomendaria altamente a outros. É um banco de energia confiável e de alta qualidade que oferece su"&amp;"a capacidade anunciada.")</f>
        <v>Não usei nenhuma outra bateria, portanto, não poderá fornecer o desempenho exato esperado. Simplificando, não é 20.000 dividir pelo tamanho da bateria do seu telefone será o tempo esperado. Se eu considerar isso como uma medida, diria que a capacidade da bateria é de cerca de 15000 mAh, feliz com o produto, 👍, mas é muito pesado, o dia a dia da bateria está reduzindo. Os parâmetros restantes são bons., Flim e fácil de transportar para viajar e muito bonito, estou muito satisfeito com este produto em geral, mas leva de 4 a 5 horas para cobrar., Muito pesado. Deve ser cerca de 1-1.5kg. Muito rápido cobrança. Leva anos (quase 8 a 10 horas) para carregar completamente. Carreguei meu Samsung M53 duas vezes, uma vez cheia. Comprei recentemente o Mi Power Bank 3i 20000mAh e fiquei extremamente impressionado com seu desempenho. Eu o testei pessoalmente com equipamentos de laboratório e descobri que ele tem uma capacidade de cerca de 19000mAh, o que é muito bom em comparação com outros bancos de energia no mercado. Uma das coisas que aprecio no Mi Power Bank 3i é que é capaz de manter sua carga por um longo período de tempo. Eu não tive que recarregá -lo com tanta frequência quanto com outros bancos de energia. A construção é sólida e o Banco de Power não sofreu nenhum dano, apesar de ter sido carregado na minha bolsa diariamente. No geral, estou extremamente satisfeito com a compra do Mi Power Bank 3i 20000mAh e o recomendaria altamente a outros. É um banco de energia confiável e de alta qualidade que oferece sua capacidade anunciada.</v>
      </c>
    </row>
    <row r="443">
      <c r="A443" s="9" t="s">
        <v>1802</v>
      </c>
      <c r="B443" s="29" t="str">
        <f>VLOOKUP(dados!A443, reviews!A:G, 5, FALSE)</f>
        <v>Centre key,Nice phone,Good for Exam preparing students,Center button is not good,Battery runs out quickly,Nokia trusted brand only needs to improve ringtone sound,best phone,..</v>
      </c>
      <c r="C443" s="29" t="str">
        <f>VLOOKUP(dados!A443, reviews!A:G, 6, FALSE)</f>
        <v>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v>
      </c>
      <c r="D443" s="29" t="str">
        <f>IFERROR(__xludf.DUMMYFUNCTION("GOOGLETRANSLATE(B443, ""en"", ""pt-br"")"),"Chave central, bom telefone, bom para preparar os alunos, o botão central não é bom, a bateria acaba rapidamente, a marca Nokia Trusted só precisa melhorar o som do toque, o melhor telefone, ..")</f>
        <v>Chave central, bom telefone, bom para preparar os alunos, o botão central não é bom, a bateria acaba rapidamente, a marca Nokia Trusted só precisa melhorar o som do toque, o melhor telefone, ..</v>
      </c>
      <c r="E443" s="29" t="str">
        <f>IFERROR(__xludf.DUMMYFUNCTION("GOOGLETRANSLATE(C443, ""en"", ""pt-br"")"),"O telefone está ok, exceto o botão do meio, é uma dor de cabeça. REST Tudo o bom bateria LYF é de cerca de 10 a 12 horas quando carregado e excelente duração da bateria por mais de 3 dias, comprei este telefone para usar como substituição do meu smartphon"&amp;"e para chamadas, alarme, músicas de escuta. Enfrente qualquer problema, mas o som e sua qualidade são um pouco baixos em comparação com os smartphones normais. A qualidade da música não é tão boa e nem é ruim, mas ok ao ouvir fones de ouvido. Eu só o uso "&amp;"para receber SMS &amp; Calls &amp; Ocassionalmente para ouvir músicas e backup de bateria é muito bom que dura até 7 dias etc. para 1 carga completa . É preciso mais de uma tentativa às vezes para executar uma ação OK., Backup de bateria, precisa melhorar o som d"&amp;"o toque, o melhor telefone. A Nokia é sempre melhor. Preço Thodi Kam Karni Chahiye., Gosto deste produto")</f>
        <v>O telefone está ok, exceto o botão do meio, é uma dor de cabeça. REST Tudo o bom bateria LYF é de cerca de 10 a 12 horas quando carregado e excelente duração da bateria por mais de 3 dias, comprei este telefone para usar como substituição do meu smartphone para chamadas, alarme, músicas de escuta. Enfrente qualquer problema, mas o som e sua qualidade são um pouco baixos em comparação com os smartphones normais. A qualidade da música não é tão boa e nem é ruim, mas ok ao ouvir fones de ouvido. Eu só o uso para receber SMS &amp; Calls &amp; Ocassionalmente para ouvir músicas e backup de bateria é muito bom que dura até 7 dias etc. para 1 carga completa . É preciso mais de uma tentativa às vezes para executar uma ação OK., Backup de bateria, precisa melhorar o som do toque, o melhor telefone. A Nokia é sempre melhor. Preço Thodi Kam Karni Chahiye., Gosto deste produto</v>
      </c>
    </row>
    <row r="444">
      <c r="A444" s="9" t="s">
        <v>1806</v>
      </c>
      <c r="B444" s="29" t="str">
        <f>VLOOKUP(dados!A444, reviews!A:G, 5, FALSE)</f>
        <v>Above average phone,Worth For The Money 💰,Okie,Phone is excellent,Purchased in good budget at 12k,It can fulfill basic needs in affordable price range,Nice,About features</v>
      </c>
      <c r="C444" s="29" t="str">
        <f>VLOOKUP(dados!A444, reviews!A:G, 6, FALSE)</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c r="D444" s="29" t="str">
        <f>IFERROR(__xludf.DUMMYFUNCTION("GOOGLETRANSLATE(B444, ""en"", ""pt-br"")"),"Telefone acima da média, que vale o dinheiro 💰, okie, o telefone é excelente, comprado com bom orçamento a 12k, pode atender às necessidades básicas em faixa de preço acessível, agradável, sobre recursos")</f>
        <v>Telefone acima da média, que vale o dinheiro 💰, okie, o telefone é excelente, comprado com bom orçamento a 12k, pode atender às necessidades básicas em faixa de preço acessível, agradável, sobre recursos</v>
      </c>
      <c r="E444" s="29" t="str">
        <f>IFERROR(__xludf.DUMMYFUNCTION("GOOGLETRANSLATE(C444, ""en"", ""pt-br"")"),"Comprei a variante de 6/128 GB. Para resumir para prós e contras. A qualidade da tela é boa com pouco tom de cor impulsionado. O novo processador é muito suave e responsivo. A qualidade do alto -falante é boa sem muito agudo. A câmera é boa para selfie e "&amp;"o desempenho da câmera principal está acima da média com menos ruído. A câmera na frente é pequena, portanto o entalhe não é distraído ao reproduzir vídeos.CONS: -1.Main Camera lutas após o zoom 3x. E a performance de vídeo da câmera frontal é inferior ao"&amp;" estoque de fotos de selfie.2. O carregador de 18 watts levou 1HR30 minutos para cobrar 80% do telefone. A velocidade de carregamento não é economizando tempo para esta grande bateria., Bom sob esse preço ..! Um dos melhores telefones Android da Vivo 💚, "&amp;"é super bom para uso normal, a câmera é boa para o normal, está funcionando bem e sem problemas. IQOO, fornecendo dispositivos de qualidade em comparação com outras marcas, a qualidade da câmera não é tão alta, uma relação custo / benefício, o telefone é "&amp;"muito útil e a bateria também é boa. A qualidade do telefone é boa.")</f>
        <v>Comprei a variante de 6/128 GB. Para resumir para prós e contras. A qualidade da tela é boa com pouco tom de cor impulsionado. O novo processador é muito suave e responsivo. A qualidade do alto -falante é boa sem muito agudo. A câmera é boa para selfie e o desempenho da câmera principal está acima da média com menos ruído. A câmera na frente é pequena, portanto o entalhe não é distraído ao reproduzir vídeos.CONS: -1.Main Camera lutas após o zoom 3x. E a performance de vídeo da câmera frontal é inferior ao estoque de fotos de selfie.2. O carregador de 18 watts levou 1HR30 minutos para cobrar 80% do telefone. A velocidade de carregamento não é economizando tempo para esta grande bateria., Bom sob esse preço ..! Um dos melhores telefones Android da Vivo 💚, é super bom para uso normal, a câmera é boa para o normal, está funcionando bem e sem problemas. IQOO, fornecendo dispositivos de qualidade em comparação com outras marcas, a qualidade da câmera não é tão alta, uma relação custo / benefício, o telefone é muito útil e a bateria também é boa. A qualidade do telefone é boa.</v>
      </c>
    </row>
    <row r="445">
      <c r="A445" s="9" t="s">
        <v>70</v>
      </c>
      <c r="B445" s="29" t="str">
        <f>VLOOKUP(dados!A445, reviews!A:G, 5, FALSE)</f>
        <v>Good product,Good one,Nice,Really nice product,Very first time change,Good,Fine product but could be better,Very nice it's charging like jet</v>
      </c>
      <c r="C445" s="29" t="str">
        <f>VLOOKUP(dados!A445, reviews!A:G, 6, FALSE)</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c r="D445" s="29" t="str">
        <f>IFERROR(__xludf.DUMMYFUNCTION("GOOGLETRANSLATE(B445, ""en"", ""pt-br"")"),"Bom produto, bom, bom, muito bom produto, mudança de primeira vez, bom, bom produto, mas pode ser melhor, muito bom, está cobrando como jato")</f>
        <v>Bom produto, bom, bom, muito bom produto, mudança de primeira vez, bom, bom produto, mas pode ser melhor, muito bom, está cobrando como jato</v>
      </c>
      <c r="E445" s="29" t="str">
        <f>IFERROR(__xludf.DUMMYFUNCTION("GOOGLETRANSLATE(C445, ""en"", ""pt-br"")"),"Bom produto, fio longo, carrega bom, legal, comprei este cabo para um produto digno de Rs.339 por esse preço, testei em vários adaptadores de carregador 33W e 18W, ele também suporta carregamento rápido. Isso a um bom preço à venda na Amazon e o produto é"&amp;" útil na garantia, mas para a garantia você precisa ir muito longe, não é prático por esse custo e meu micro para o conector do tipo C parou de funcionar após alguns dias., Gosto deste produto")</f>
        <v>Bom produto, fio longo, carrega bom, legal, comprei este cabo para um produto digno de Rs.339 por esse preço, testei em vários adaptadores de carregador 33W e 18W, ele também suporta carregamento rápido. Isso a um bom preço à venda na Amazon e o produto é útil na garantia, mas para a garantia você precisa ir muito longe, não é prático por esse custo e meu micro para o conector do tipo C parou de funcionar após alguns dias., Gosto deste produto</v>
      </c>
    </row>
    <row r="446">
      <c r="A446" s="9" t="s">
        <v>1810</v>
      </c>
      <c r="B446" s="29" t="str">
        <f>VLOOKUP(dados!A446, reviews!A:G, 5, FALSE)</f>
        <v>Nice product,Good,Kaam sahi karta hai ji,Woks fine,Nice,good and portabe,Good for a single charge of 5000mah mobile.,Good product</v>
      </c>
      <c r="C446" s="29" t="str">
        <f>VLOOKUP(dados!A446, reviews!A:G, 6, FALSE)</f>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v>
      </c>
      <c r="D446" s="29" t="str">
        <f>IFERROR(__xludf.DUMMYFUNCTION("GOOGLETRANSLATE(B446, ""en"", ""pt-br"")"),"Bom produto, bom, kaam sahi karta hai ji, woks fino, bom, bom e portabe, bom para uma única carga de 5000mAh móvel., Bom produto")</f>
        <v>Bom produto, bom, kaam sahi karta hai ji, woks fino, bom, bom e portabe, bom para uma única carga de 5000mAh móvel., Bom produto</v>
      </c>
      <c r="E446" s="29" t="str">
        <f>IFERROR(__xludf.DUMMYFUNCTION("GOOGLETRANSLATE(C446, ""en"", ""pt-br"")"),"Estou muito feliz depois de usá -lo. Este banco de energia é muito bom. Eu vi um vídeo no YouTube com uma classificação incrível antes de comprá -lo. Gostei de comprá -lo., Bom valor do produto pelo dinheiro., Esme Ek choti tocha jaisi luz adicione karke "&amp;"thoda price badha den ao mast raho 10, em todo um ótimo produto, mas eu enfrentei um problema ao cobrar do banco de energia com meu Mi 120W carregador Ele nunca aceita cobrança rápida e às vezes leva mais de 12 horas para cobrar. Por enquanto, com o MacBo"&amp;"ok Pro Charger, aceita uma carga rápida (que a luz verde). Eu comprei um carregador separado para este banco de potência😭, bom eu gosto, o Power Bank é bom O único problema foi o cabo que veio com ele quebrou após um dia de uso e também danificou a porta"&amp;" de telefone, apenas como esperado, o tamanho compacto, veio com uma boa embalagem premium ... preciso ver como o desempenho é. Com 10000mAh, você pode carregar 2 dispositivos por vez. Mas bom para uma única cobrança de 5000mAh móvel. Eles deram a um cabo"&amp;" USB um tipo de tipo C, se você tiver outro cabo do tipo C, com isso pode carregar outro dispositivo. Eu gosto da bolsa de transporte que eles forneceram., Eu não consegui nenhuma bolsa com este banco de energia")</f>
        <v>Estou muito feliz depois de usá -lo. Este banco de energia é muito bom. Eu vi um vídeo no YouTube com uma classificação incrível antes de comprá -lo. Gostei de comprá -lo., Bom valor do produto pelo dinheiro., Esme Ek choti tocha jaisi luz adicione karke thoda price badha den ao mast raho 10, em todo um ótimo produto, mas eu enfrentei um problema ao cobrar do banco de energia com meu Mi 120W carregador Ele nunca aceita cobrança rápida e às vezes leva mais de 12 horas para cobrar. Por enquanto, com o MacBook Pro Charger, aceita uma carga rápida (que a luz verde). Eu comprei um carregador separado para este banco de potência😭, bom eu gosto, o Power Bank é bom O único problema foi o cabo que veio com ele quebrou após um dia de uso e também danificou a porta de telefone, apenas como esperado, o tamanho compacto, veio com uma boa embalagem premium ... preciso ver como o desempenho é. Com 10000mAh, você pode carregar 2 dispositivos por vez. Mas bom para uma única cobrança de 5000mAh móvel. Eles deram a um cabo USB um tipo de tipo C, se você tiver outro cabo do tipo C, com isso pode carregar outro dispositivo. Eu gosto da bolsa de transporte que eles forneceram., Eu não consegui nenhuma bolsa com este banco de energia</v>
      </c>
    </row>
    <row r="447">
      <c r="A447" s="9" t="s">
        <v>1814</v>
      </c>
      <c r="B447" s="29" t="str">
        <f>VLOOKUP(dados!A447, reviews!A:G, 5, FALSE)</f>
        <v>Phone, camera, heating - works for me, may not for all,Good Mobile,Good but not excellent under this budget,Worth the price at 9499,Ok type phone... but unable to make videocall within same service provider.,Phone review,Budget king,Battery backup is good</v>
      </c>
      <c r="C447" s="29" t="str">
        <f>VLOOKUP(dados!A447, reviews!A:G,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D447" s="29" t="str">
        <f>IFERROR(__xludf.DUMMYFUNCTION("GOOGLETRANSLATE(B447, ""en"", ""pt-br"")"),"Telefone, câmera, aquecimento - funciona para mim, pode não para todos, bom celular, bom, mas não excelente sob esse orçamento, vale o preço em 9499, ok tipo telefone ... mas não consegue fazer videocall no mesmo provedor de serviços., Telefone Revisão, o"&amp;"rçamento rei, backup de bateria é bom")</f>
        <v>Telefone, câmera, aquecimento - funciona para mim, pode não para todos, bom celular, bom, mas não excelente sob esse orçamento, vale o preço em 9499, ok tipo telefone ... mas não consegue fazer videocall no mesmo provedor de serviços., Telefone Revisão, orçamento rei, backup de bateria é bom</v>
      </c>
      <c r="E447" s="29" t="str">
        <f>IFERROR(__xludf.DUMMYFUNCTION("GOOGLETRANSLATE(C447, ""en"", ""pt-br"")"),"Não sou grande uso da câmera, pessoalmente. Eu até estava mentalmente preparado para uma câmera ruim, com base em alguns comentários aqui. Mas fiquei agradavelmente surpreso que a câmera clique em boas fotos. Eles não são impressionantes, mas são fotos de"&amp;"centes que podem até ser compartilhadas. Agora, chegando ao meu maior galope; problema de aquecimento. O telefone começou a esquentar durante o carregamento, mas era apenas um pouco e eu poderia ter ignorado. Mas então começou a esquentar mais e me deixou"&amp;" muito preocupado. Eu até pedi um substituto pensando que recebi uma peça defeituosa. Mas depois, após mais testes, descobri que está aquecendo mais quando baixo grandes quantidades de dados, por exemplo, quando restaurar os dados do meu telefone antigo, "&amp;"de backup. Tudo bem comigo, pois, eu não executo enormes dados de dados regularmente, definitivamente não no telefone. Então eu testei executando tarefas que normalmente realizo, como verificação de e -mails do Office, participando da reunião do escritóri"&amp;"o por telefone, assistindo a um vídeo da Amazon Prime e assim por diante. O telefone não esquentou nem um pouco. Pessoalmente, isso é bom para mim. Nesta faixa de preço, este é um bom telefone. Mas se você é um usuário pesado da câmera e espera executar d"&amp;"ownloads pesados ​​com frequência, este telefone pode não para você. Estou pessoalmente satisfeito com este telefone, pois ele funciona para o meu tipo de uso. Não vou entrar em pontos positivos deste telefone, pois eles já estão cobertos por outras críti"&amp;"cas. Estou apenas tentando esclarecer como este telefone pode se adequar a você (ou não) em termos de câmera e aquecimento. Eu tive muitas perguntas sobre esses aspectos antes de comprar. Talvez esta revisão o ajude a tomar uma decisão informada de compra"&amp;"r (ou evitar). Cheers., Display - Beautycamera - DecentPerformance - AmazingBattery - OK (em 5000mAh, você espera mais TBH). Este telefone, mas continuarei atualizando esta revisão após 1 meses de uso!, É um celular decente sob esse preço, mas poucas cois"&amp;"as me preocuparam, o peso do telefone, muitos procedimentos para alterar algumas configurações, sem fundição de tela. Além disso, tem um bom toque, uma câmera decente para a luz do dia, a duração da bateria é boa. Comprei este smartphone para minha mãe. A"&amp;" interface Samusung é muito punhada para facilitar o uso. A bateria é excelente, o último dia inteiro. A câmera é medíocre, mas fornece imagens coloridas originais. No geral, está satisfeito com este smartphone que recebi à venda por 9499., não conseguiu "&amp;"fazer videochamadas dentro do mesmo provedor de serviços que em VoLTE no mesmo recurso de chamada de videochamada do provedor de serviços está disponível., O produto está bem. Nada chique, mas para o orçamento, é um bom telefone., Bateria: mais do que suf"&amp;"iciente para uso normal, não tenho certeza em gamingcamera: bom neste segmento, pode gravar vídeos em FHD 30fpsDisplay: como é uma tela LCD, a qualidade é um pouco menor, Mas Goodv Ram: você pode adicionar até 2 GB de RAM virtual, mas precisa sacrificar s"&amp;"eu espaço de armazenamento para usá -lo em geral um bom telefone orçamentário, a impressão digital está funcionando com o backup rápido da bateria é boa a qualidade da câmera também é boa")</f>
        <v>Não sou grande uso da câmera, pessoalmente. Eu até estava mentalmente preparado para uma câmera ruim, com base em alguns comentários aqui. Mas fiquei agradavelmente surpreso que a câmera clique em boas fotos. Eles não são impressionantes, mas são fotos decentes que podem até ser compartilhadas. Agora, chegando ao meu maior galope; problema de aquecimento. O telefone começou a esquentar durante o carregamento, mas era apenas um pouco e eu poderia ter ignorado. Mas então começou a esquentar mais e me deixou muito preocupado. Eu até pedi um substituto pensando que recebi uma peça defeituosa. Mas depois, após mais testes, descobri que está aquecendo mais quando baixo grandes quantidades de dados, por exemplo, quando restaurar os dados do meu telefone antigo, de backup. Tudo bem comigo, pois, eu não executo enormes dados de dados regularmente, definitivamente não no telefone. Então eu testei executando tarefas que normalmente realizo, como verificação de e -mails do Office, participando da reunião do escritório por telefone, assistindo a um vídeo da Amazon Prime e assim por diante. O telefone não esquentou nem um pouco. Pessoalmente, isso é bom para mim. Nesta faixa de preço, este é um bom telefone. Mas se você é um usuário pesado da câmera e espera executar downloads pesados ​​com frequência, este telefone pode não para você. Estou pessoalmente satisfeito com este telefone, pois ele funciona para o meu tipo de uso. Não vou entrar em pontos positivos deste telefone, pois eles já estão cobertos por outras críticas. Estou apenas tentando esclarecer como este telefone pode se adequar a você (ou não) em termos de câmera e aquecimento. Eu tive muitas perguntas sobre esses aspectos antes de comprar. Talvez esta revisão o ajude a tomar uma decisão informada de comprar (ou evitar). Cheers., Display - Beautycamera - DecentPerformance - AmazingBattery - OK (em 5000mAh, você espera mais TBH). Este telefone, mas continuarei atualizando esta revisão após 1 meses de uso!, É um celular decente sob esse preço, mas poucas coisas me preocuparam, o peso do telefone, muitos procedimentos para alterar algumas configurações, sem fundição de tela. Além disso, tem um bom toque, uma câmera decente para a luz do dia, a duração da bateria é boa. Comprei este smartphone para minha mãe. A interface Samusung é muito punhada para facilitar o uso. A bateria é excelente, o último dia inteiro. A câmera é medíocre, mas fornece imagens coloridas originais. No geral, está satisfeito com este smartphone que recebi à venda por 9499., não conseguiu fazer videochamadas dentro do mesmo provedor de serviços que em VoLTE no mesmo recurso de chamada de videochamada do provedor de serviços está disponível., O produto está bem. Nada chique, mas para o orçamento, é um bom telefone., Bateria: mais do que suficiente para uso normal, não tenho certeza em gamingcamera: bom neste segmento, pode gravar vídeos em FHD 30fpsDisplay: como é uma tela LCD, a qualidade é um pouco menor, Mas Goodv Ram: você pode adicionar até 2 GB de RAM virtual, mas precisa sacrificar seu espaço de armazenamento para usá -lo em geral um bom telefone orçamentário, a impressão digital está funcionando com o backup rápido da bateria é boa a qualidade da câmera também é boa</v>
      </c>
    </row>
    <row r="448">
      <c r="A448" s="9" t="s">
        <v>1817</v>
      </c>
      <c r="B448" s="29" t="str">
        <f>VLOOKUP(dados!A448, reviews!A:G, 5, FALSE)</f>
        <v>Good,Amazing phone,Nice mobile ... But Amazon very low service.. every product,Value for money,Good prpduct,Good,Overal a good product,Best phone in this range</v>
      </c>
      <c r="C448" s="29" t="str">
        <f>VLOOKUP(dados!A448, reviews!A:G, 6, FALSE)</f>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v>
      </c>
      <c r="D448" s="29" t="str">
        <f>IFERROR(__xludf.DUMMYFUNCTION("GOOGLETRANSLATE(B448, ""en"", ""pt-br"")"),"Bom, telefone incrível, bom celular ... mas Amazon muito baixo.")</f>
        <v>Bom, telefone incrível, bom celular ... mas Amazon muito baixo.</v>
      </c>
      <c r="E448" s="29" t="str">
        <f>IFERROR(__xludf.DUMMYFUNCTION("GOOGLETRANSLATE(C448, ""en"", ""pt-br"")"),"Eu gosto, ótimo telefone em menor quantidade, essas câmera são incríveis e exibem muito bem, o celular é bom .. mas a Amazon muito baixo serviço muito produto .., valor ao dinheiro, https: //m.media-amazon.com/images /I/61bpp86a3rl._sy88.jpg, bom produto "&amp;"muito agradável, às vezes o sensor de impressão digital não está funcionando corretamente, a qualidade da câmera é boa, a vida útil da bateria é melhor ... no geral, é um bom produto. Revisão adicionada após 1 mês de uso, melhor Telefone nesse intervalo, "&amp;"exceto a duração da bateria.")</f>
        <v>Eu gosto, ótimo telefone em menor quantidade, essas câmera são incríveis e exibem muito bem, o celular é bom .. mas a Amazon muito baixo serviço muito produto .., valor ao dinheiro, https: //m.media-amazon.com/images /I/61bpp86a3rl._sy88.jpg, bom produto muito agradável, às vezes o sensor de impressão digital não está funcionando corretamente, a qualidade da câmera é boa, a vida útil da bateria é melhor ... no geral, é um bom produto. Revisão adicionada após 1 mês de uso, melhor Telefone nesse intervalo, exceto a duração da bateria.</v>
      </c>
    </row>
    <row r="449">
      <c r="A449" s="9" t="s">
        <v>1821</v>
      </c>
      <c r="B449" s="29" t="str">
        <f>VLOOKUP(dados!A449, reviews!A:G, 5, FALSE)</f>
        <v>Easy to install but a bit slippery,Very good product, value for money,Expensive but for a reason,Best Screen Protector!,Best tempered glass to buy for your mobile,Clarity and adhesion is good,Perfect product,Great product and genuinely easy to install</v>
      </c>
      <c r="C449" s="29" t="str">
        <f>VLOOKUP(dados!A449, reviews!A:G, 6, FALSE)</f>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it’s excellent. So easy to install, anybody can do it! It’s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I’ve ever seen. They even include useful tools and guidelines to minimise the possibility of error.</v>
      </c>
      <c r="D449" s="29" t="str">
        <f>IFERROR(__xludf.DUMMYFUNCTION("GOOGLETRANSLATE(B449, ""en"", ""pt-br"")"),"Fácil de instalar, mas um pouco escorregadio e muito bom, valor para dinheiro, caro, mas por um motivo, melhor protetor de tela!, Melhor vidro temperado para comprar para o seu celular, clareza e adesão é bom, produto perfeito, ótimo produto e genuinament"&amp;"e fácil para instalar")</f>
        <v>Fácil de instalar, mas um pouco escorregadio e muito bom, valor para dinheiro, caro, mas por um motivo, melhor protetor de tela!, Melhor vidro temperado para comprar para o seu celular, clareza e adesão é bom, produto perfeito, ótimo produto e genuinamente fácil para instalar</v>
      </c>
      <c r="E449" s="29" t="str">
        <f>IFERROR(__xludf.DUMMYFUNCTION("GOOGLETRANSLATE(C449, ""en"", ""pt-br"")"),"Eu usei meu 13 Pro sem um guarda de tela por um ano agora, esse guarda de tela era fácil de aplicar, mas é um pouco escorregadio e quando você faz a imprensa longa (por exemplo Pressione) também um pouco brilhante quando você o usa perto das luzes., Produ"&amp;"to muito bom, valor ao dinheiro, eu tentei muitos protetores de tela e muitos tipos para o meu iPhone 13Este, um bolo- o aplicativo foi um processo suave- a proteção da tela É tão suave por algum motivo em comparação com os que eu já usei antes- usei muit"&amp;"os guardas de tela que dizem que não capturam impressão digital, mas sempre acabam. Mas isso não é captura impressão digital em que você paga 500 inr mais alto u receberá os Spigen que protegem os sensores frontais com muita compra e avanço estarão aplica"&amp;"ndo guardas de tela Spigen para todos os meus produtos, isso é sem dúvida a melhor tela Protetor para iPhones. Eu peguei o iPhone 13 e é excelente. Tão fácil de instalar, qualquer um pode fazer isso! É tão suave e suave para tocar e se encaixa perfeitamen"&amp;"te no meu iPhone. Altamente recomendado. Talvez um pouco caro, mas você recebe 2 na caixa. Free impressão digital e sem manchas., Produto muito bom para comprar. Este vidro temperado é fácil de instalar sem necessidade de se preocupar com as bobinas de ar"&amp;" ao instalar vidro temperado. É muito fácil de instalar em qualquer celular, conforme projetado para o seu dinheiro. , A qualidade e a adesão são boas. Instalação foi bem fácil. O que eu teria gostado1. Se tivesse um painel preto, ele se mistura bem com o"&amp;" telefone para que ninguém pudesse entender que um vidro temperado protetor está preso.2. Se também tivesse coberto a câmera frontal como o vidro protetor de ESR, teria sido melhor. Teria apreciado um preço em torno de 500, definitivamente muito caro., Su"&amp;"per fácil de instalar. O guarda de tela ficou preso sem aborrecimentos e foi perfeito. A bandeja EZ Fit funciona como Magic., Usei este produto para o meu iPhone 13 Pro com uma capa de telefone de design de pico. A qualidade do protetor de tela é excelent"&amp;"e e o conceito de engenharia usado para a instalação é o melhor que eu já vi. Eles até incluem ferramentas e diretrizes úteis para minimizar a possibilidade de erro.")</f>
        <v>Eu usei meu 13 Pro sem um guarda de tela por um ano agora, esse guarda de tela era fácil de aplicar, mas é um pouco escorregadio e quando você faz a imprensa longa (por exemplo Pressione) também um pouco brilhante quando você o usa perto das luzes., Produto muito bom, valor ao dinheiro, eu tentei muitos protetores de tela e muitos tipos para o meu iPhone 13Este, um bolo- o aplicativo foi um processo suave- a proteção da tela É tão suave por algum motivo em comparação com os que eu já usei antes- usei muitos guardas de tela que dizem que não capturam impressão digital, mas sempre acabam. Mas isso não é captura impressão digital em que você paga 500 inr mais alto u receberá os Spigen que protegem os sensores frontais com muita compra e avanço estarão aplicando guardas de tela Spigen para todos os meus produtos, isso é sem dúvida a melhor tela Protetor para iPhones. Eu peguei o iPhone 13 e é excelente. Tão fácil de instalar, qualquer um pode fazer isso! É tão suave e suave para tocar e se encaixa perfeitamente no meu iPhone. Altamente recomendado. Talvez um pouco caro, mas você recebe 2 na caixa. Free impressão digital e sem manchas., Produto muito bom para comprar. Este vidro temperado é fácil de instalar sem necessidade de se preocupar com as bobinas de ar ao instalar vidro temperado. É muito fácil de instalar em qualquer celular, conforme projetado para o seu dinheiro. , A qualidade e a adesão são boas. Instalação foi bem fácil. O que eu teria gostado1. Se tivesse um painel preto, ele se mistura bem com o telefone para que ninguém pudesse entender que um vidro temperado protetor está preso.2. Se também tivesse coberto a câmera frontal como o vidro protetor de ESR, teria sido melhor. Teria apreciado um preço em torno de 500, definitivamente muito caro., Super fácil de instalar. O guarda de tela ficou preso sem aborrecimentos e foi perfeito. A bandeja EZ Fit funciona como Magic., Usei este produto para o meu iPhone 13 Pro com uma capa de telefone de design de pico. A qualidade do protetor de tela é excelente e o conceito de engenharia usado para a instalação é o melhor que eu já vi. Eles até incluem ferramentas e diretrizes úteis para minimizar a possibilidade de erro.</v>
      </c>
    </row>
    <row r="450">
      <c r="A450" s="9" t="s">
        <v>1828</v>
      </c>
      <c r="B450" s="29" t="str">
        <f>VLOOKUP(dados!A450, reviews!A:G, 5, FALSE)</f>
        <v>Noise smartwatch,The product is good overall,Good Battery backup,Okayish product,Satisfied.,Good,It's great watch,Noise</v>
      </c>
      <c r="C450" s="29" t="str">
        <f>VLOOKUP(dados!A450, reviews!A:G, 6, FALSE)</f>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too.,Activity Record, sleep tracking is Good.,Good product,I bought it for my wife and she was very glad.,Good</v>
      </c>
      <c r="D450" s="29" t="str">
        <f>IFERROR(__xludf.DUMMYFUNCTION("GOOGLETRANSLATE(B450, ""en"", ""pt-br"")"),"Ruído smartwatch, o produto é bom no geral, bom backup de bateria, produto okyish, satisfeito., Bom, é um ótimo relógio, ruído")</f>
        <v>Ruído smartwatch, o produto é bom no geral, bom backup de bateria, produto okyish, satisfeito., Bom, é um ótimo relógio, ruído</v>
      </c>
      <c r="E450" s="29" t="str">
        <f>IFERROR(__xludf.DUMMYFUNCTION("GOOGLETRANSLATE(C450, ""en"", ""pt-br"")"),"Bom ajuste, bom relógio inteligente nessa faixa de preço, especialmente para aqueles que precisam apenas de recursos básicos. Comprei a cor cinza, já faz muito tempo que estou usando isso agora. Não tem problemas. A bateria, a tela de toque, a conexão Blu"&amp;"etooth tudo funciona bem. Eu estava procurando por algo simples e consegui isso. Bom design e funções não podem se conectar ao WhatsApp e a outro aplicativo de mídia social 👎, os modos no relógio são bons. A interface do usuário é uma merda. A capacidade"&amp;" de resposta poderia ter sido melhor. A duração da bateria é moderadamente até 3-4 dias, se usada constantemente. A cor da banda também está um pouco desbotada., Registro de atividades, rastreamento do sono é bom., Bom produto, eu comprei para minha espos"&amp;"a e ela ficou muito feliz., Bom")</f>
        <v>Bom ajuste, bom relógio inteligente nessa faixa de preço, especialmente para aqueles que precisam apenas de recursos básicos. Comprei a cor cinza, já faz muito tempo que estou usando isso agora. Não tem problemas. A bateria, a tela de toque, a conexão Bluetooth tudo funciona bem. Eu estava procurando por algo simples e consegui isso. Bom design e funções não podem se conectar ao WhatsApp e a outro aplicativo de mídia social 👎, os modos no relógio são bons. A interface do usuário é uma merda. A capacidade de resposta poderia ter sido melhor. A duração da bateria é moderadamente até 3-4 dias, se usada constantemente. A cor da banda também está um pouco desbotada., Registro de atividades, rastreamento do sono é bom., Bom produto, eu comprei para minha esposa e ela ficou muito feliz., Bom</v>
      </c>
    </row>
    <row r="451">
      <c r="A451" s="9" t="s">
        <v>1832</v>
      </c>
      <c r="B451" s="29" t="str">
        <f>VLOOKUP(dados!A451, reviews!A:G, 5, FALSE)</f>
        <v>Centre key,Nice phone,Good for Exam preparing students,Center button is not good,Battery runs out quickly,Nokia trusted brand only needs to improve ringtone sound,best phone,..</v>
      </c>
      <c r="C451" s="29" t="str">
        <f>VLOOKUP(dados!A451, reviews!A:G, 6, FALSE)</f>
        <v>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v>
      </c>
      <c r="D451" s="29" t="str">
        <f>IFERROR(__xludf.DUMMYFUNCTION("GOOGLETRANSLATE(B451, ""en"", ""pt-br"")"),"Chave central, bom telefone, bom para preparar os alunos, o botão central não é bom, a bateria acaba rapidamente, a marca Nokia Trusted só precisa melhorar o som do toque, o melhor telefone, ..")</f>
        <v>Chave central, bom telefone, bom para preparar os alunos, o botão central não é bom, a bateria acaba rapidamente, a marca Nokia Trusted só precisa melhorar o som do toque, o melhor telefone, ..</v>
      </c>
      <c r="E451" s="29" t="str">
        <f>IFERROR(__xludf.DUMMYFUNCTION("GOOGLETRANSLATE(C451, ""en"", ""pt-br"")"),"O telefone está ok, exceto o botão do meio, é uma dor de cabeça. REST Tudo o bom bateria LYF é de cerca de 10 a 12 horas quando carregado e excelente duração da bateria por mais de 3 dias, comprei este telefone para usar como substituição do meu smartphon"&amp;"e para chamadas, alarme, músicas de escuta. Enfrente qualquer problema, mas o som e sua qualidade são um pouco baixos em comparação com os smartphones normais. A qualidade da música não é tão boa e nem é ruim, mas ok ao ouvir fones de ouvido. Eu só o uso "&amp;"para receber SMS &amp; Calls &amp; Ocassionalmente para ouvir músicas e backup de bateria é muito bom que dura até 7 dias etc. para 1 carga completa . É preciso mais de uma tentativa às vezes para executar uma ação OK., Backup de bateria, precisa melhorar o som d"&amp;"o toque, o melhor telefone. A Nokia é sempre melhor. Preço Thodi Kam Karni Chahiye., Gosto deste produto")</f>
        <v>O telefone está ok, exceto o botão do meio, é uma dor de cabeça. REST Tudo o bom bateria LYF é de cerca de 10 a 12 horas quando carregado e excelente duração da bateria por mais de 3 dias, comprei este telefone para usar como substituição do meu smartphone para chamadas, alarme, músicas de escuta. Enfrente qualquer problema, mas o som e sua qualidade são um pouco baixos em comparação com os smartphones normais. A qualidade da música não é tão boa e nem é ruim, mas ok ao ouvir fones de ouvido. Eu só o uso para receber SMS &amp; Calls &amp; Ocassionalmente para ouvir músicas e backup de bateria é muito bom que dura até 7 dias etc. para 1 carga completa . É preciso mais de uma tentativa às vezes para executar uma ação OK., Backup de bateria, precisa melhorar o som do toque, o melhor telefone. A Nokia é sempre melhor. Preço Thodi Kam Karni Chahiye., Gosto deste produto</v>
      </c>
    </row>
    <row r="452">
      <c r="A452" s="9" t="s">
        <v>1835</v>
      </c>
      <c r="B452" s="29" t="str">
        <f>VLOOKUP(dados!A452, reviews!A:G, 5, FALSE)</f>
        <v>Good phone , little expensive,Buyers Beware,I bought this mobile at 18k, worth on that price.,satisfied with the product,Single led flash light,Good product,Good not Excellent.,Good one</v>
      </c>
      <c r="C452" s="29" t="str">
        <f>VLOOKUP(dados!A452, reviews!A:G, 6, FALSE)</f>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👍,Camera Excellent, but battery life not good, maximum 6 hours,As this price limit its a good mobile with camera, battery, screen quality</v>
      </c>
      <c r="D452" s="29" t="str">
        <f>IFERROR(__xludf.DUMMYFUNCTION("GOOGLETRANSLATE(B452, ""en"", ""pt-br"")"),"Bom telefone, pouco caro, os compradores, cuidado, comprei este celular em 18k, vale a pena nesse preço., Satisfeito com o produto, luz flash de LED único, bom produto, bom não é excelente., Bom")</f>
        <v>Bom telefone, pouco caro, os compradores, cuidado, comprei este celular em 18k, vale a pena nesse preço., Satisfeito com o produto, luz flash de LED único, bom produto, bom não é excelente., Bom</v>
      </c>
      <c r="E452" s="29" t="str">
        <f>IFERROR(__xludf.DUMMYFUNCTION("GOOGLETRANSLATE(C452, ""en"", ""pt-br"")"),"A câmera é boa, o telefone é bastante realizado, carregamento rápido. Há alguns problemas de software insignificantes e não esquecem a senha (PIN), não há como você poder recuperá -la às configurações de fábrica, este é o meu segundo IQOO Z6 Pro e meus co"&amp;"nselhos humildes a todos os usuários e compradores por aí, não atualizam seu dispositivo para a versão mais recente do software. Definitivamente, isso causará sérios problemas de dreno de bateria durante a noite. Eu falo da minha experiência. Meu primeiro"&amp;" IQOO Z6 Pro 8GB é atualizado para a mais recente atualização do patch de segurança de agosto e drena a bateria à taxa de 10 porcentagem durante a noite, sem motivo específico. O dreno ocioso é muito pronunciado. No entanto, meu segundo IQOO Z6 Pro, que c"&amp;"omprei, ainda está sendo executado na versão original do software e possui uma excelente bateria com o dreno de bateria inativo insignificante. Então eu acho que é melhor não atualizar até o IQOO lançar uma atualização melhor resolvendo o problema de dren"&amp;"agem da bateria, acima da média performanceno Aquecimento Problema de impressão digital mais rápido e face liderar o peso da bateria da bateria, duvidamente do peso da câmera, confortável à mão, todos os recursos deste celular foram bons.Não sem dúvida Qu"&amp;"alquer um pode comprar isso, mas nem para jogos. Com o orçamento apenas ele estava disponível para mim., Luz de flash dupla em tom não está funcionando, acho que é apenas uma luz de LED única, duas coisas faltando1. Câmera do orifício do pino2. Fones de o"&amp;"uvido jack.overall 👍, câmera excelente, mas a duração da bateria não é boa, no máximo 6 horas, pois esse preço limita é um bom celular com câmera, bateria, qualidade da tela")</f>
        <v>A câmera é boa, o telefone é bastante realizado, carregamento rápido. Há alguns problemas de software insignificantes e não esquecem a senha (PIN), não há como você poder recuperá -la às configurações de fábrica, este é o meu segundo IQOO Z6 Pro e meus conselhos humildes a todos os usuários e compradores por aí, não atualizam seu dispositivo para a versão mais recente do software. Definitivamente, isso causará sérios problemas de dreno de bateria durante a noite. Eu falo da minha experiência. Meu primeiro IQOO Z6 Pro 8GB é atualizado para a mais recente atualização do patch de segurança de agosto e drena a bateria à taxa de 10 porcentagem durante a noite, sem motivo específico. O dreno ocioso é muito pronunciado. No entanto, meu segundo IQOO Z6 Pro, que comprei, ainda está sendo executado na versão original do software e possui uma excelente bateria com o dreno de bateria inativo insignificante. Então eu acho que é melhor não atualizar até o IQOO lançar uma atualização melhor resolvendo o problema de drenagem da bateria, acima da média performanceno Aquecimento Problema de impressão digital mais rápido e face liderar o peso da bateria da bateria, duvidamente do peso da câmera, confortável à mão, todos os recursos deste celular foram bons.Não sem dúvida Qualquer um pode comprar isso, mas nem para jogos. Com o orçamento apenas ele estava disponível para mim., Luz de flash dupla em tom não está funcionando, acho que é apenas uma luz de LED única, duas coisas faltando1. Câmera do orifício do pino2. Fones de ouvido jack.overall 👍, câmera excelente, mas a duração da bateria não é boa, no máximo 6 horas, pois esse preço limita é um bom celular com câmera, bateria, qualidade da tela</v>
      </c>
    </row>
    <row r="453">
      <c r="A453" s="9" t="s">
        <v>1839</v>
      </c>
      <c r="B453" s="29" t="str">
        <f>VLOOKUP(dados!A453, reviews!A:G, 5, FALSE)</f>
        <v>Very good power charger,Good and original item,Good and original,Power House !!,Good but not perfect,Best Charger,Value,Average</v>
      </c>
      <c r="C453" s="29" t="str">
        <f>VLOOKUP(dados!A453, reviews!A:G, 6, FALSE)</f>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v>
      </c>
      <c r="D453" s="29" t="str">
        <f>IFERROR(__xludf.DUMMYFUNCTION("GOOGLETRANSLATE(B453, ""en"", ""pt-br"")"),"Muito bom carregador de energia, item bom e original, bom e original, Power House !!, bom, mas não perfeito, melhor carregador, valor, média")</f>
        <v>Muito bom carregador de energia, item bom e original, bom e original, Power House !!, bom, mas não perfeito, melhor carregador, valor, média</v>
      </c>
      <c r="E453" s="29" t="str">
        <f>IFERROR(__xludf.DUMMYFUNCTION("GOOGLETRANSLATE(C453, ""en"", ""pt-br"")"),"Carregamento muito rápido, é um item original e faz seu trabalho. O preço pode ser baixo em outros sites, tchau em geral, um produto muito bom com o serviço Plink of the Eyes pela Amazon, carregador totalmente rápido, eu realmente gosto do poder desse car"&amp;"regador. Isso cobra meu dispositivo tão rápido. REALMENTE REALMENTO PELO DINHEIRO. ,, Sachme Achcha Hai, Aap Kharid Sakte Hai., É bom nesse preço. Realmente fazendo rápido. Produto valioso,")</f>
        <v>Carregamento muito rápido, é um item original e faz seu trabalho. O preço pode ser baixo em outros sites, tchau em geral, um produto muito bom com o serviço Plink of the Eyes pela Amazon, carregador totalmente rápido, eu realmente gosto do poder desse carregador. Isso cobra meu dispositivo tão rápido. REALMENTE REALMENTO PELO DINHEIRO. ,, Sachme Achcha Hai, Aap Kharid Sakte Hai., É bom nesse preço. Realmente fazendo rápido. Produto valioso,</v>
      </c>
    </row>
    <row r="454">
      <c r="A454" s="9" t="s">
        <v>1843</v>
      </c>
      <c r="B454" s="29" t="str">
        <f>VLOOKUP(dados!A454, reviews!A:G, 5, FALSE)</f>
        <v>This is best,It's okay for a naive user,Good for the price.,Good,Excellent Product. Easy to operates.,best features in phones which you dont find in apple like call recording,Good purchase at this price,Good</v>
      </c>
      <c r="C454" s="29" t="str">
        <f>VLOOKUP(dados!A454, reviews!A:G, 6, FALSE)</f>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v>
      </c>
      <c r="D454" s="29" t="str">
        <f>IFERROR(__xludf.DUMMYFUNCTION("GOOGLETRANSLATE(B454, ""en"", ""pt-br"")"),"É melhor isso, tudo bem para um usuário ingênuo, bom para o preço., Bom e excelente produto. Fácil de operar., Melhores recursos em telefones que você não encontra na gravação de chamadas da Apple, boa compra por esse preço, bom")</f>
        <v>É melhor isso, tudo bem para um usuário ingênuo, bom para o preço., Bom e excelente produto. Fácil de operar., Melhores recursos em telefones que você não encontra na gravação de chamadas da Apple, boa compra por esse preço, bom</v>
      </c>
      <c r="E454" s="29" t="str">
        <f>IFERROR(__xludf.DUMMYFUNCTION("GOOGLETRANSLATE(C454, ""en"", ""pt-br"")"),"Gosto deste produto, não há problema em um telefone de emergência de backup ou um usuário ingênuo que o usa apenas para outros SIM extra ou necessidades básicas, tudo é bom, bom, impressão digital é boa para esta duração da bateria do telefone é excelente"&amp;" e a qualidade da câmera também. , o melhor telefone com orçamento entre 10-15k Adaptador é uma duração de bateria do tipo OK 1 e meio dia, este é um bom produto a esse preço. A bateria é realmente boa. Com o processador octa-core de 6 GB de RAM e 128 GB "&amp;"de RAM, é um bom telefone. No entanto, não deve ser comparado com outros produtos semelhantes disponíveis a um preço mais alto, porque esses produtos usam processadores diferentes para os quais o preço aumenta. A câmera é apenas decente, mas não muito boa"&amp;". Depende do que você está procurando. Se você deseja uma boa câmera com melhor processador, precisa gastar mais. A tal preço, substituirá os telefones Redmi, porque ofuscam os telefones Redmi em todos os aspectos., Bom")</f>
        <v>Gosto deste produto, não há problema em um telefone de emergência de backup ou um usuário ingênuo que o usa apenas para outros SIM extra ou necessidades básicas, tudo é bom, bom, impressão digital é boa para esta duração da bateria do telefone é excelente e a qualidade da câmera também. , o melhor telefone com orçamento entre 10-15k Adaptador é uma duração de bateria do tipo OK 1 e meio dia, este é um bom produto a esse preço. A bateria é realmente boa. Com o processador octa-core de 6 GB de RAM e 128 GB de RAM, é um bom telefone. No entanto, não deve ser comparado com outros produtos semelhantes disponíveis a um preço mais alto, porque esses produtos usam processadores diferentes para os quais o preço aumenta. A câmera é apenas decente, mas não muito boa. Depende do que você está procurando. Se você deseja uma boa câmera com melhor processador, precisa gastar mais. A tal preço, substituirá os telefones Redmi, porque ofuscam os telefones Redmi em todos os aspectos., Bom</v>
      </c>
    </row>
    <row r="455">
      <c r="A455" s="9" t="s">
        <v>1847</v>
      </c>
      <c r="B455" s="29" t="str">
        <f>VLOOKUP(dados!A455, reviews!A:G, 5, FALSE)</f>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v>
      </c>
      <c r="C455" s="29" t="str">
        <f>VLOOKUP(dados!A455, reviews!A:G, 6, FALSE)</f>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v>
      </c>
      <c r="D455" s="29" t="str">
        <f>IFERROR(__xludf.DUMMYFUNCTION("GOOGLETRANSLATE(B455, ""en"", ""pt-br"")"),"Ele controla o brilho automaticamente sempre que você vai em lugar escuro ou sob luz solar., Bom em jogos, toque não é bom, bom celular dentro da faixa de preço, ótimo telefone, bom telefone, orçamento mein sabse mast telefone, boa, mas a qualidade da câm"&amp;"era não está de acordo com A qualidade da câmera de expectativas não está à altura das expectativas")</f>
        <v>Ele controla o brilho automaticamente sempre que você vai em lugar escuro ou sob luz solar., Bom em jogos, toque não é bom, bom celular dentro da faixa de preço, ótimo telefone, bom telefone, orçamento mein sabse mast telefone, boa, mas a qualidade da câmera não está de acordo com A qualidade da câmera de expectativas não está à altura das expectativas</v>
      </c>
      <c r="E455" s="29" t="str">
        <f>IFERROR(__xludf.DUMMYFUNCTION("GOOGLETRANSLATE(C455, ""en"", ""pt-br"")"),"Este é o meu primeiro 5G IQOO Mobile comprado em 26 de dezembro na Amazon. Até agora, eu não senti nada de ruim neste celular. Feliz com a compra. A qualidade da câmera é boa. Funciona sem problemas em todas as opções., Este é um bom aparelho de desempenh"&amp;"o, mas a qualidade da câmera não é boa, mesmo que eles tenham dito que é uma câmera de 50 MP que não tem uma foto nítida. Então você não está pensando na câmera, é uma boa escolha para essa quantidade. Ele também tem um problema com a conectividade 5G (JI"&amp;"O)., Touch não é bom, na, bom telefone, mas a qualidade da câmera não é boa o suficiente, mas processor é ótimo, muito bom, com orçamento mencse mast telefone, a qualidade da câmera não está à altura das expectativas")</f>
        <v>Este é o meu primeiro 5G IQOO Mobile comprado em 26 de dezembro na Amazon. Até agora, eu não senti nada de ruim neste celular. Feliz com a compra. A qualidade da câmera é boa. Funciona sem problemas em todas as opções., Este é um bom aparelho de desempenho, mas a qualidade da câmera não é boa, mesmo que eles tenham dito que é uma câmera de 50 MP que não tem uma foto nítida. Então você não está pensando na câmera, é uma boa escolha para essa quantidade. Ele também tem um problema com a conectividade 5G (JIO)., Touch não é bom, na, bom telefone, mas a qualidade da câmera não é boa o suficiente, mas processor é ótimo, muito bom, com orçamento mencse mast telefone, a qualidade da câmera não está à altura das expectativas</v>
      </c>
    </row>
    <row r="456">
      <c r="A456" s="9" t="s">
        <v>83</v>
      </c>
      <c r="B456" s="29" t="str">
        <f>VLOOKUP(dados!A456, reviews!A:G, 5, FALSE)</f>
        <v>Works,Nice Product,Fast Charging as original,Good for data transfer,Average. Cost effective,Good quality,Great Product,Nice</v>
      </c>
      <c r="C456" s="29" t="str">
        <f>VLOOKUP(dados!A456, reviews!A:G, 6, FALSE)</f>
        <v>Definitely isn’t as good as the original cord but works. Fast charging and pretty sturdy,Worth it,So I had a faulty cable. I was lazy and have a lot of money so instead of calling Apple I bought this for like 300 bucks. Didn’t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v>
      </c>
      <c r="D456" s="29" t="str">
        <f>IFERROR(__xludf.DUMMYFUNCTION("GOOGLETRANSLATE(B456, ""en"", ""pt-br"")"),"Trabalhos, bom produto, carregamento rápido como original, bom para transferência de dados, média. Econômico, de boa qualidade, ótimo produto, bom")</f>
        <v>Trabalhos, bom produto, carregamento rápido como original, bom para transferência de dados, média. Econômico, de boa qualidade, ótimo produto, bom</v>
      </c>
      <c r="E456" s="29" t="str">
        <f>IFERROR(__xludf.DUMMYFUNCTION("GOOGLETRANSLATE(C456, ""en"", ""pt-br"")"),"Definitivamente não é tão bom quanto o cordão original, mas funciona. Carregamento rápido e bastante resistente, vale a pena, então eu tinha um cabo com defeito. Eu era preguiçoso e tenho muito dinheiro, então, em vez de ligar para a Apple, comprei isso p"&amp;"or 300 dólares. Não esperava muito, mas para minha surpresa, esse cabo realmente funciona e tem carregamento rápido. Basta seguir em frente, parecia bastante resistente, os conectores parecem premium e foram fáceis de inserir. Usei este cabo para alternar"&amp;" todos os meus dados do iPhone 7 para um M30s. Cable funcionou como charme enquanto usava o aplicativo Smart Switch, todos os meus dados, incluindo dados do WhatsApp, foram transferidos com sucesso. Satisfeito com o desempenho., Apenas boa, a qualidade é "&amp;"muito boa e de boa sorte.")</f>
        <v>Definitivamente não é tão bom quanto o cordão original, mas funciona. Carregamento rápido e bastante resistente, vale a pena, então eu tinha um cabo com defeito. Eu era preguiçoso e tenho muito dinheiro, então, em vez de ligar para a Apple, comprei isso por 300 dólares. Não esperava muito, mas para minha surpresa, esse cabo realmente funciona e tem carregamento rápido. Basta seguir em frente, parecia bastante resistente, os conectores parecem premium e foram fáceis de inserir. Usei este cabo para alternar todos os meus dados do iPhone 7 para um M30s. Cable funcionou como charme enquanto usava o aplicativo Smart Switch, todos os meus dados, incluindo dados do WhatsApp, foram transferidos com sucesso. Satisfeito com o desempenho., Apenas boa, a qualidade é muito boa e de boa sorte.</v>
      </c>
    </row>
    <row r="457">
      <c r="A457" s="9" t="s">
        <v>1852</v>
      </c>
      <c r="B457" s="29" t="str">
        <f>VLOOKUP(dados!A457, reviews!A:G, 5, FALSE)</f>
        <v>Out of 5 iam giving 3.5 rating everything is okay except voice sound during call,Simple for rough use,charger quality bad,Lightweight.,Terriffic battery life,Good one for elders,Good in this price,Good</v>
      </c>
      <c r="C457" s="29" t="str">
        <f>VLOOKUP(dados!A457, reviews!A:G, 6, FALSE)</f>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v>
      </c>
      <c r="D457" s="29" t="str">
        <f>IFERROR(__xludf.DUMMYFUNCTION("GOOGLETRANSLATE(B457, ""en"", ""pt-br"")"),"Dos 5 iam, dando 3,5 classificação, tudo está bem, exceto o som da voz durante a chamada, simples para uso bruto, qualidade do carregador ruim, leve.")</f>
        <v>Dos 5 iam, dando 3,5 classificação, tudo está bem, exceto o som da voz durante a chamada, simples para uso bruto, qualidade do carregador ruim, leve.</v>
      </c>
      <c r="E457" s="29" t="str">
        <f>IFERROR(__xludf.DUMMYFUNCTION("GOOGLETRANSLATE(C457, ""en"", ""pt-br"")"),"Classificação está tudo bem, exceto o som da voz durante a chamada, a duração da bateria é muito boa ... o som também é alto ... econômico., Qualidade do carregador ruim, https: //m.media-amazon.com/images/i/614vmh+hrtl ._Sy88.jpg, a bateria durou mais de"&amp;" 15 dias com uso de baixo médio porte. Toda a funcionalidade funciona bem. Perfeito para alguém que deseja limitar as distrações de um smartphone., Bom produto para anciãos, trabalhando bem por cerca de 1 ano. Tudo bem, há algum distúrbio no som enquanto "&amp;"usa FM sem fio")</f>
        <v>Classificação está tudo bem, exceto o som da voz durante a chamada, a duração da bateria é muito boa ... o som também é alto ... econômico., Qualidade do carregador ruim, https: //m.media-amazon.com/images/i/614vmh+hrtl ._Sy88.jpg, a bateria durou mais de 15 dias com uso de baixo médio porte. Toda a funcionalidade funciona bem. Perfeito para alguém que deseja limitar as distrações de um smartphone., Bom produto para anciãos, trabalhando bem por cerca de 1 ano. Tudo bem, há algum distúrbio no som enquanto usa FM sem fio</v>
      </c>
    </row>
    <row r="458">
      <c r="A458" s="9" t="s">
        <v>87</v>
      </c>
      <c r="B458" s="29" t="str">
        <f>VLOOKUP(dados!A458, reviews!A:G, 5, FALSE)</f>
        <v>Great but,Worked well for 6 six months that’s it,Compatible with Apple iPad 2nd generation and charging very well.,CABLE,The product is good but the phone gets disconnected at multiple occasions.,Not a fast charging cable,Good item. Value,Amazing product and value for money</v>
      </c>
      <c r="C458" s="29" t="str">
        <f>VLOOKUP(dados!A458, reviews!A:G, 6, FALSE)</f>
        <v>Loosing charging cable of apple is costly affair. This wire was great purchase made to correct it,Worked well for six months that’s it, now it’s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v>
      </c>
      <c r="D458" s="29" t="str">
        <f>IFERROR(__xludf.DUMMYFUNCTION("GOOGLETRANSLATE(B458, ""en"", ""pt-br"")"),"Ótimo, mas funcionou bem por 6 seis meses, é compatível com o Apple iPad 2ª geração e carregando muito bem. Valor, produto incrível e valor pelo dinheiro")</f>
        <v>Ótimo, mas funcionou bem por 6 seis meses, é compatível com o Apple iPad 2ª geração e carregando muito bem. Valor, produto incrível e valor pelo dinheiro</v>
      </c>
      <c r="E458" s="29" t="str">
        <f>IFERROR(__xludf.DUMMYFUNCTION("GOOGLETRANSLATE(C458, ""en"", ""pt-br"")"),"Perder o cabo de carregamento da Apple é um caso caro. Esse fio foi feito para corrigi -lo, funcionou bem por seis meses, agora parou de funcionar, agora planejando comprar mais um porque o preço caiu para 150, um produto muito bom. Compatível com o iPad "&amp;"2ª geração e carregamento muito bem. A qualidade do produto é muito boa e também funciona bem. Totalmente vale a pena por seu preço., O produto é super, estou usando dos últimos 6 meses. Até agora, estava bom funcionamento. Agora notei que o telefone é de"&amp;"sconectado em várias ocasiões. pode ser o cabo pode ser danificado. O geral funcionou bem por 6 meses., leva de 5 a 6 horas para cobrar., Bom item. Valor, é o melhor produto que já usei até agora.")</f>
        <v>Perder o cabo de carregamento da Apple é um caso caro. Esse fio foi feito para corrigi -lo, funcionou bem por seis meses, agora parou de funcionar, agora planejando comprar mais um porque o preço caiu para 150, um produto muito bom. Compatível com o iPad 2ª geração e carregamento muito bem. A qualidade do produto é muito boa e também funciona bem. Totalmente vale a pena por seu preço., O produto é super, estou usando dos últimos 6 meses. Até agora, estava bom funcionamento. Agora notei que o telefone é desconectado em várias ocasiões. pode ser o cabo pode ser danificado. O geral funcionou bem por 6 meses., leva de 5 a 6 horas para cobrar., Bom item. Valor, é o melhor produto que já usei até agora.</v>
      </c>
    </row>
    <row r="459">
      <c r="A459" s="9" t="s">
        <v>1857</v>
      </c>
      <c r="B459" s="29" t="str">
        <f>VLOOKUP(dados!A459, reviews!A:G, 5, FALSE)</f>
        <v>Ideal Product,Ok,उपयोगी एवं संतोषजनक,Ok in this price range,Battery,It is a good watch,Nice watch,Average</v>
      </c>
      <c r="C459" s="29" t="str">
        <f>VLOOKUP(dados!A459, reviews!A:G, 6, FALSE)</f>
        <v>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v>
      </c>
      <c r="D459" s="29" t="str">
        <f>IFERROR(__xludf.DUMMYFUNCTION("GOOGLETRANSLATE(B459, ""en"", ""pt-br"")"),"Produto ideal, OK, उपयोगी एवं संतोषजनक, OK nessa faixa de preço, bateria, é um bom relógio, bom relógio, média")</f>
        <v>Produto ideal, OK, उपयोगी एवं संतोषजनक, OK nessa faixa de preço, bateria, é um bom relógio, bom relógio, média</v>
      </c>
      <c r="E459" s="29" t="str">
        <f>IFERROR(__xludf.DUMMYFUNCTION("GOOGLETRANSLATE(C459, ""en"", ""pt-br"")"),"Esta foi realmente uma compra ideal. Bom desempenho, bom construído, até a funcionalidade Mark a esse preço. Estável e resistente. Recomendar. 👍🏻👍🏻👍🏻, parece ok, हार्ट marca एवं ऑक्सीजन, bom para usuários normais ..... não para usuários pesados ​​co"&amp;"mo atividades diárias ..... boa aparência ... o aplicativo não está funcionando corretamente algumas vezes , A energia da bateria é incrível 👍🏻, é um bom relógio, mas a cinta sempre sai, bom relógio, não tão especial, mas média nesse preço")</f>
        <v>Esta foi realmente uma compra ideal. Bom desempenho, bom construído, até a funcionalidade Mark a esse preço. Estável e resistente. Recomendar. 👍🏻👍🏻👍🏻, parece ok, हार्ट marca एवं ऑक्सीजन, bom para usuários normais ..... não para usuários pesados ​​como atividades diárias ..... boa aparência ... o aplicativo não está funcionando corretamente algumas vezes , A energia da bateria é incrível 👍🏻, é um bom relógio, mas a cinta sempre sai, bom relógio, não tão especial, mas média nesse preço</v>
      </c>
    </row>
    <row r="460">
      <c r="A460" s="9" t="s">
        <v>1860</v>
      </c>
      <c r="B460" s="29" t="str">
        <f>VLOOKUP(dados!A460, reviews!A:G, 5, FALSE)</f>
        <v>Not Polished Enough. (Improving with updates),Best for the budget 👍,Value of money,nice product,Good product,Super value for money,Awesome product,Product itv</v>
      </c>
      <c r="C460" s="29" t="str">
        <f>VLOOKUP(dados!A460, reviews!A:G, 6, FALSE)</f>
        <v>[Update: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v>
      </c>
      <c r="D460" s="29" t="str">
        <f>IFERROR(__xludf.DUMMYFUNCTION("GOOGLETRANSLATE(B460, ""en"", ""pt-br"")"),"Não polido o suficiente. (Melhorando com atualizações), melhor para o orçamento 👍, valor do dinheiro, bom produto, bom produto, super valor ao dinheiro, produto incrível, produto ITV")</f>
        <v>Não polido o suficiente. (Melhorando com atualizações), melhor para o orçamento 👍, valor do dinheiro, bom produto, bom produto, super valor ao dinheiro, produto incrível, produto ITV</v>
      </c>
      <c r="E460" s="29" t="str">
        <f>IFERROR(__xludf.DUMMYFUNCTION("GOOGLETRANSLATE(C460, ""en"", ""pt-br"")"),"[Atualização: 29 de setembro] O barco parece ter ouvido o feedback 😀 e atualizado os rostos do relógio. Agora, existem alguns bons para escolher, mas uma ligeira melhora em relação àqueles que o relógio já teve. Um pouco impressionado. Adicionou uma estr"&amp;"ela para isso. Não é um produto muito polido. As fontes são brega e parecem feias no texto do texto do texto e do nome do nome do chamador. Os rostos do relógio são um trabalho de design preguiçoso. Não faz sentido ter 150 rostos de relógio se apenas 10-2"&amp;"0 forem bons ou utilizáveis. REST é inútil. [Atualização: 11 de outubro] O barco parece estar em uma onda de lançamento do Smartwatch. E graças a isso, eles estão constantemente atualizando o aplicativo de telefone e os rostos do relógio. Agora você tem m"&amp;"uitos rostos de relógio de boa aparência para escolher. Então, no geral, ainda a interface do usuário do SmartWatch precisa de trabalho. Mas pelo menos você tem um bom relógio faces. Eles poderiam ter tentado fazer alguma reforma no software chinês. Mas é"&amp;" um trabalho claramente preguiçoso da equipe de tecnologia. Um trabalho de cola de cópia para ser preciso para obter um software terceirizado e rebocar-o com logotipos de marca. Novamente, um trabalho da equipe de design / tecnologia / UI. O barco não pos"&amp;"sui uma boa equipe de designers e caras da interface do usuário para realmente oferecer recursos de software simples, porém bons, como bons rostos de relógio e bom relógio. Mesmo intervalo. Ruído colorfit pulse go buzz é mais barato e melhor alternativa +"&amp;" tem melhor relógio rostos e interface de usuário e resposta rápida às notificações e chama as opções de silêncio e mudo para preços mais baixos que este relógio claramente perdeu. Você pode optar por chamada de onda de barco - ele não é Um relógio ruim, "&amp;"mas há melhores opções disponíveis para o preço. Seus produtos são bons, mas a interface do usuário e o design são o que as pessoas veem e é isso que as faz se sentir bem com seus produtos. Você tem realmente uma interface do usuário médio., O relógio de "&amp;"chamada de ondas de barco é o melhor para o orçamento. peso. Touch é suave. Todos os recursos são 90-95% precisos., Um bom produto nessa faixa de preço deve comprar a qualidade da Itgood, boa qualidade, o bom produto é MST H, média para chamar de boa apar"&amp;"ência, estou muito feliz em comprar este relógio! É muito acessível ter tantos recursos. O recurso de chamada funciona muito bem! No geral, se você estiver com uma marca tão boa e bons recursos, vá para isso .., o produto não vira o retorno, retorne o ite"&amp;"m. Por favor.")</f>
        <v>[Atualização: 29 de setembro] O barco parece ter ouvido o feedback 😀 e atualizado os rostos do relógio. Agora, existem alguns bons para escolher, mas uma ligeira melhora em relação àqueles que o relógio já teve. Um pouco impressionado. Adicionou uma estrela para isso. Não é um produto muito polido. As fontes são brega e parecem feias no texto do texto do texto e do nome do nome do chamador. Os rostos do relógio são um trabalho de design preguiçoso. Não faz sentido ter 150 rostos de relógio se apenas 10-20 forem bons ou utilizáveis. REST é inútil. [Atualização: 11 de outubro] O barco parece estar em uma onda de lançamento do Smartwatch. E graças a isso, eles estão constantemente atualizando o aplicativo de telefone e os rostos do relógio. Agora você tem muitos rostos de relógio de boa aparência para escolher. Então, no geral, ainda a interface do usuário do SmartWatch precisa de trabalho. Mas pelo menos você tem um bom relógio faces. Eles poderiam ter tentado fazer alguma reforma no software chinês. Mas é um trabalho claramente preguiçoso da equipe de tecnologia. Um trabalho de cola de cópia para ser preciso para obter um software terceirizado e rebocar-o com logotipos de marca. Novamente, um trabalho da equipe de design / tecnologia / UI. O barco não possui uma boa equipe de designers e caras da interface do usuário para realmente oferecer recursos de software simples, porém bons, como bons rostos de relógio e bom relógio. Mesmo intervalo. Ruído colorfit pulse go buzz é mais barato e melhor alternativa + tem melhor relógio rostos e interface de usuário e resposta rápida às notificações e chama as opções de silêncio e mudo para preços mais baixos que este relógio claramente perdeu. Você pode optar por chamada de onda de barco - ele não é Um relógio ruim, mas há melhores opções disponíveis para o preço. Seus produtos são bons, mas a interface do usuário e o design são o que as pessoas veem e é isso que as faz se sentir bem com seus produtos. Você tem realmente uma interface do usuário médio., O relógio de chamada de ondas de barco é o melhor para o orçamento. peso. Touch é suave. Todos os recursos são 90-95% precisos., Um bom produto nessa faixa de preço deve comprar a qualidade da Itgood, boa qualidade, o bom produto é MST H, média para chamar de boa aparência, estou muito feliz em comprar este relógio! É muito acessível ter tantos recursos. O recurso de chamada funciona muito bem! No geral, se você estiver com uma marca tão boa e bons recursos, vá para isso .., o produto não vira o retorno, retorne o item. Por favor.</v>
      </c>
    </row>
    <row r="461">
      <c r="A461" s="9" t="s">
        <v>1863</v>
      </c>
      <c r="B461" s="29" t="str">
        <f>VLOOKUP(dados!A461, reviews!A:G, 5, FALSE)</f>
        <v>Easy to install,Best screen guard and the easiest to install!,Easy to install,Very easy to install and doesn't interfere with the case,Value for money,Good tempered glass,Value for money,Wonderfull wonderfull wonderfull</v>
      </c>
      <c r="C461" s="29" t="str">
        <f>VLOOKUP(dados!A461, reviews!A:G, 6, FALSE)</f>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It’s so smooth that it almost feels like you’re touching the phone screen. The installation process is very easy. It’s truly a value for money product.,This is a very good tempered glass which covers end to end of the screen.,If you want a high quality tempered go for it. It’s not much scratch resistant but fingerprint resistant and quality is amazing,Its just like slicing a butter ,effortless &amp; absolute value fir money .</v>
      </c>
      <c r="D461" s="29" t="str">
        <f>IFERROR(__xludf.DUMMYFUNCTION("GOOGLETRANSLATE(B461, ""en"", ""pt-br"")"),"Fácil de instalar, o melhor guarda de tela e o mais fácil de instalar!, Fácil de instalar, muito fácil de instalar e não interfere no estojo, valor ao dinheiro, vidro temperado, valor ao dinheiro, maravilhoso")</f>
        <v>Fácil de instalar, o melhor guarda de tela e o mais fácil de instalar!, Fácil de instalar, muito fácil de instalar e não interfere no estojo, valor ao dinheiro, vidro temperado, valor ao dinheiro, maravilhoso</v>
      </c>
      <c r="E461" s="29" t="str">
        <f>IFERROR(__xludf.DUMMYFUNCTION("GOOGLETRANSLATE(C461, ""en"", ""pt-br"")"),"É fácil instalar em casa. O kit tem tudo o que é necessário para instalar o protetor. Não afeta o toque ou a câmera frontal, mas às vezes as marcas de impressão digital são frequentemente vistas nela., O instalador é tão com precisão para caber no telefon"&amp;"e para anexar a tampa em para a tela. Não é de todo tedioso, fácil, sistemático e valor ao dinheiro. Vou comprar apenas esta capa de tela a partir de agora. Nenhuma questão de colocar poeira sob o guarda da tela. Além de duas no pacote, valor total pelo d"&amp;"inheiro, especialmente quando eu não preciso gastar muito tempo e energia na instalação de um protetor de tela., A proteção da tela é muito fácil de instalar. Spigen é marca testada no tempo. Você obtém tudo no pacote para facilitar a instalação. Há um ví"&amp;"deo disponível como e é um processo muito simples. Siga as etapas mencionadas no documento incluído e você deve ser feito com a instalação sem problemas em menos de 5 minutos. Trabalha bem com outros casos de Spigen. Parece nem sequer tocar nas bordas da "&amp;"caixa. E cada protetor vem com um modelo de plástico pesado. Mãe Terra, por favor me perdoe: &lt;, este é o melhor vidro temperado para o iPhone 14 Pro Max. É tão suave que quase parece que você está tocando na tela do telefone. O processo de instalação é mu"&amp;"ito fácil. É realmente um produto para o dinheiro., Este é um vidro temperado muito bom, que cobre de ponta a ponta da tela., Se você deseja uma alta qualidade, vá em frente. Não é muito resistente a arranhões, mas resistente às impressões digitais e a qu"&amp;"alidade é incrível, é como cortar um dinheiro de manteiga, sem esforço e valor absoluto.")</f>
        <v>É fácil instalar em casa. O kit tem tudo o que é necessário para instalar o protetor. Não afeta o toque ou a câmera frontal, mas às vezes as marcas de impressão digital são frequentemente vistas nela., O instalador é tão com precisão para caber no telefone para anexar a tampa em para a tela. Não é de todo tedioso, fácil, sistemático e valor ao dinheiro. Vou comprar apenas esta capa de tela a partir de agora. Nenhuma questão de colocar poeira sob o guarda da tela. Além de duas no pacote, valor total pelo dinheiro, especialmente quando eu não preciso gastar muito tempo e energia na instalação de um protetor de tela., A proteção da tela é muito fácil de instalar. Spigen é marca testada no tempo. Você obtém tudo no pacote para facilitar a instalação. Há um vídeo disponível como e é um processo muito simples. Siga as etapas mencionadas no documento incluído e você deve ser feito com a instalação sem problemas em menos de 5 minutos. Trabalha bem com outros casos de Spigen. Parece nem sequer tocar nas bordas da caixa. E cada protetor vem com um modelo de plástico pesado. Mãe Terra, por favor me perdoe: &lt;, este é o melhor vidro temperado para o iPhone 14 Pro Max. É tão suave que quase parece que você está tocando na tela do telefone. O processo de instalação é muito fácil. É realmente um produto para o dinheiro., Este é um vidro temperado muito bom, que cobre de ponta a ponta da tela., Se você deseja uma alta qualidade, vá em frente. Não é muito resistente a arranhões, mas resistente às impressões digitais e a qualidade é incrível, é como cortar um dinheiro de manteiga, sem esforço e valor absoluto.</v>
      </c>
    </row>
    <row r="462">
      <c r="A462" s="9" t="s">
        <v>1867</v>
      </c>
      <c r="B462" s="29" t="str">
        <f>VLOOKUP(dados!A462, reviews!A:G, 5, FALSE)</f>
        <v>Really Satisfied with purchase.,DO NOT BELIEVE ANSWERS FOR QUESTIONS SAYING IT WORKS ON iPad Pro 10.5 inch (A1701),Does all the necessary stuff,No Double Tap Gesture,5 star product at this price,Very good product,Automatically off's itself,Value for money pen</v>
      </c>
      <c r="C462" s="29" t="str">
        <f>VLOOKUP(dados!A462, reviews!A:G, 6, FALSE)</f>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I’ve seen it turn off in just 30 seconds a couple of times but that’s all. By the way, I ordered it for my old iPad Pro 10.5 inch A1701 as I don’t want to buy new Apple Pencil at full price and I somehow couldn’t find the right alternative for 1st gen Apple Pencil either.. but I found some questions here answering it works for A1701.. after delivery, I found out it actually won’t work and then magically the right model of stylus was on my Amazon Home Screen when I wanted to return this. Gonna order a new one which KINGONE says works with A1701. Let’s see..,Very good product build quality is aluminium so feels premium working is good as well best for note taking and basic operations budget friendly .,Full recharge is completed in 18 mins👍 affordable price.👍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v>
      </c>
      <c r="D462" s="29" t="str">
        <f>IFERROR(__xludf.DUMMYFUNCTION("GOOGLETRANSLATE(B462, ""en"", ""pt-br"")"),"Realmente satisfeito com a compra., Não acredite em respostas para perguntas dizendo que funciona no iPad Pro 10,5 polegadas (A1701), faz todas as coisas necessárias, sem gesto de toque duplo, produto de 5 estrelas a esse preço, produto muito bom, automat"&amp;"icamente Pen do valor para dinheiro")</f>
        <v>Realmente satisfeito com a compra., Não acredite em respostas para perguntas dizendo que funciona no iPad Pro 10,5 polegadas (A1701), faz todas as coisas necessárias, sem gesto de toque duplo, produto de 5 estrelas a esse preço, produto muito bom, automaticamente Pen do valor para dinheiro</v>
      </c>
      <c r="E462" s="29" t="str">
        <f>IFERROR(__xludf.DUMMYFUNCTION("GOOGLETRANSLATE(C462, ""en"", ""pt-br"")"),"Prós -realmente como a caneta. Funciona bem, usando -o dos últimos dois meses. Excelente para anotações. A qualidade da gorjeta é boa não se desgastando. Dicas extras fornecidas. Ele fornece todas as funções mencionadas. Acusações rapidamente. O tempo de "&amp;"resposta é muito rápido. Few -wew Times, ele desligou automaticamente durante o uso, mas não é uma grande preocupação, pois acontece raramente. Não para esboçar e desenhar profissionais, pois é claramente mencionado que não suporta recursos de pressão. Pr"&amp;"eço abaixo de 2k Eu acho que é a melhor caneta. Estou usando -o com iPad Air 5. Não enfrentaram problemas até agora, então não sei como é útil suporte de atendimento ao cliente. Então, a qualidade da embalagem e da qualidade do produto é muito bom. Eu já "&amp;"vi isso desligado em apenas 30 segundos algumas vezes, mas isso é tudo. A propósito, eu pedi para o meu antigo iPad Pro 10,5 polegadas A1701, pois não quero comprar novo Apple lápis a preço total e de alguma forma não consegui encontrar a alternativa cert"&amp;"a para a 1ª geração Apple lápis. Mas eu encontrei Algumas perguntas aqui respondendo funciona para o A1701 .. Após a entrega, descobri que ele realmente não funciona e, magicamente, o modelo certo de Stylus estava na minha tela inicial da Amazon quando eu"&amp;" queria devolver isso. Vou pedir um novo que Kingone diz que trabalha com o A1701. Vamos ver .., muito boa qualidade de construção do produto é o alumínio, então sente que o trabalho premium também é bom para a tomada de anotações e as operações básicas. "&amp;"Apple Pencil 2-Nd Gen., Facilidade de uso, preciso, tudo está bom até agora e também parece bom, parece bom, parece premium. O produto a esse preço merece 5 estrelas, um bom produto, enquanto o usa automaticamente fora, isso acontece quando está em uso. M"&amp;"as vale a pena comprar do que um caro Apple Pencil ✏,")</f>
        <v>Prós -realmente como a caneta. Funciona bem, usando -o dos últimos dois meses. Excelente para anotações. A qualidade da gorjeta é boa não se desgastando. Dicas extras fornecidas. Ele fornece todas as funções mencionadas. Acusações rapidamente. O tempo de resposta é muito rápido. Few -wew Times, ele desligou automaticamente durante o uso, mas não é uma grande preocupação, pois acontece raramente. Não para esboçar e desenhar profissionais, pois é claramente mencionado que não suporta recursos de pressão. Preço abaixo de 2k Eu acho que é a melhor caneta. Estou usando -o com iPad Air 5. Não enfrentaram problemas até agora, então não sei como é útil suporte de atendimento ao cliente. Então, a qualidade da embalagem e da qualidade do produto é muito bom. Eu já vi isso desligado em apenas 30 segundos algumas vezes, mas isso é tudo. A propósito, eu pedi para o meu antigo iPad Pro 10,5 polegadas A1701, pois não quero comprar novo Apple lápis a preço total e de alguma forma não consegui encontrar a alternativa certa para a 1ª geração Apple lápis. Mas eu encontrei Algumas perguntas aqui respondendo funciona para o A1701 .. Após a entrega, descobri que ele realmente não funciona e, magicamente, o modelo certo de Stylus estava na minha tela inicial da Amazon quando eu queria devolver isso. Vou pedir um novo que Kingone diz que trabalha com o A1701. Vamos ver .., muito boa qualidade de construção do produto é o alumínio, então sente que o trabalho premium também é bom para a tomada de anotações e as operações básicas. Apple Pencil 2-Nd Gen., Facilidade de uso, preciso, tudo está bom até agora e também parece bom, parece bom, parece premium. O produto a esse preço merece 5 estrelas, um bom produto, enquanto o usa automaticamente fora, isso acontece quando está em uso. Mas vale a pena comprar do que um caro Apple Pencil ✏,</v>
      </c>
    </row>
    <row r="463">
      <c r="A463" s="9" t="s">
        <v>1873</v>
      </c>
      <c r="B463" s="29" t="str">
        <f>VLOOKUP(dados!A463, reviews!A:G, 5, FALSE)</f>
        <v>Good charging speed, supports well for Suzuki burgman also,Good car charger,It connects to apple lighting Cabel,Good car charger,Good product,Nice quality,It’s only a charger,excellent value for money</v>
      </c>
      <c r="C463" s="29" t="str">
        <f>VLOOKUP(dados!A463, reviews!A:G, 6, FALSE)</f>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v>
      </c>
      <c r="D463" s="29" t="str">
        <f>IFERROR(__xludf.DUMMYFUNCTION("GOOGLETRANSLATE(B463, ""en"", ""pt-br"")"),"Boa velocidade de carregamento, suporta bem para a Suzuki Burgman, bom carregador de carros, ele se conecta ao Cabel de iluminação de maçã, bom carregador de carros, bom produto, boa qualidade, é apenas um carregador, excelente valor para dinheiro")</f>
        <v>Boa velocidade de carregamento, suporta bem para a Suzuki Burgman, bom carregador de carros, ele se conecta ao Cabel de iluminação de maçã, bom carregador de carros, bom produto, boa qualidade, é apenas um carregador, excelente valor para dinheiro</v>
      </c>
      <c r="E463" s="29" t="str">
        <f>IFERROR(__xludf.DUMMYFUNCTION("GOOGLETRANSLATE(C463, ""en"", ""pt-br"")"),"Boa velocidade de carregamento, suporta bem para a Suzuki Burgman, seu Dash cobra dispositivos OnePlus, o produto é bom, você pode carregar seu iPhone com facilidade., Ele é construído muito bem e é muito compacto. (33W). Embora pareça um pouco solto para"&amp;" o meu carro, ele fica desconectado do carro (Ford Ikon), mesmo que o fio seja movido um pouco., Trabalhando bem e pequeno design como eu queria., Charagem rápida, bom Plástico de qualidade usado. Carrega os telefones rapidamente com USB C. Com USB-A, a v"&amp;"elocidade de carregamento é menor, mas não como outros carregadores de carros que mal conseguem acompanhar o dreno da bateria do uso do telefone. Tamanho pequeno, não entra no seu caminho. Funcionaria para todos. A embalagem seria suspeita - você pensaria"&amp;" que um produto não confiável barato. Mas faz bem o trabalho. Você pode economizar dinheiro em carregadores caros de carro e investir algumas das economias em um bom cabo USB-C.P.S. Testado apenas em telefones Android.")</f>
        <v>Boa velocidade de carregamento, suporta bem para a Suzuki Burgman, seu Dash cobra dispositivos OnePlus, o produto é bom, você pode carregar seu iPhone com facilidade., Ele é construído muito bem e é muito compacto. (33W). Embora pareça um pouco solto para o meu carro, ele fica desconectado do carro (Ford Ikon), mesmo que o fio seja movido um pouco., Trabalhando bem e pequeno design como eu queria., Charagem rápida, bom Plástico de qualidade usado. Carrega os telefones rapidamente com USB C. Com USB-A, a velocidade de carregamento é menor, mas não como outros carregadores de carros que mal conseguem acompanhar o dreno da bateria do uso do telefone. Tamanho pequeno, não entra no seu caminho. Funcionaria para todos. A embalagem seria suspeita - você pensaria que um produto não confiável barato. Mas faz bem o trabalho. Você pode economizar dinheiro em carregadores caros de carro e investir algumas das economias em um bom cabo USB-C.P.S. Testado apenas em telefones Android.</v>
      </c>
    </row>
    <row r="464">
      <c r="A464" s="9" t="s">
        <v>1877</v>
      </c>
      <c r="B464" s="29" t="str">
        <f>VLOOKUP(dados!A464, reviews!A:G, 5, FALSE)</f>
        <v>Feature Wise OK at this Price But Sometimes call screen not come on the display of Watch,Problem with connection.,Good,Good watch,Worth ₹1799,Very nice product,Touch working smoothly.,Nice watch</v>
      </c>
      <c r="C464" s="29" t="str">
        <f>VLOOKUP(dados!A464, reviews!A:G, 6, FALSE)</f>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v>
      </c>
      <c r="D464" s="29" t="str">
        <f>IFERROR(__xludf.DUMMYFUNCTION("GOOGLETRANSLATE(B464, ""en"", ""pt-br"")"),"Características Ok a esse preço, mas às vezes a tela de chamada não aparece na exibição do relógio, problema com a conexão., Bom, bom relógio, no valor de ₹ 1799, produto muito bom, toque de trabalho sem problemas., Bom relógio")</f>
        <v>Características Ok a esse preço, mas às vezes a tela de chamada não aparece na exibição do relógio, problema com a conexão., Bom, bom relógio, no valor de ₹ 1799, produto muito bom, toque de trabalho sem problemas., Bom relógio</v>
      </c>
      <c r="E464" s="29" t="str">
        <f>IFERROR(__xludf.DUMMYFUNCTION("GOOGLETRANSLATE(C464, ""en"", ""pt-br"")"),"Esta revisão é baseada nos meus dois dias de uso. Funciona bem no rastreamento de atividades e fitness, mas às vezes o software se comporta mal. Precisa de alguma melhoria no software e não funcionar apenas com o Bluetooth Connect, requer uma conexão com "&amp;"a Internet para sincronização. E às vezes o Bluetooth não funciona totalmente. Acredito que os problemas que estão chegando podem ser resolvidos pelas próximas atualizações de software. Etiqueta de entrada SmartWatch com os recursos de chamada Wise OK., E"&amp;"u só tenho um problema, às vezes ele atua como um alto -falante e todos os sons de tudo o que estiver tocando no telefone vem do relógio. Também gostaria de saber se consigo silenciar o toque vindo do relógio. Existe alguma maneira. Por favor ajude. Estou"&amp;" usando o iPhone 11., o produto é muito bom, parece tão leve durante os exercícios que é tão confortável de usar e a razão pela qual dei 4 estrelas é que a qualidade do som não é tão boa, bonita e duas coisas estão faltando 1. Ciclo de saúde feminino. . G"&amp;"eneral boa aparência, bom desempenho, boa qualidade e preço acessível., Https: //m.media-amazon.com/images/i/71saf3ahxhl._sy88.jpg, textura boa deste relógio. É leve em peso. Muito confortável de usar., Https: //m.media-amazon.com/images/i/61oenyrsg2l._sy"&amp;"88.jpg")</f>
        <v>Esta revisão é baseada nos meus dois dias de uso. Funciona bem no rastreamento de atividades e fitness, mas às vezes o software se comporta mal. Precisa de alguma melhoria no software e não funcionar apenas com o Bluetooth Connect, requer uma conexão com a Internet para sincronização. E às vezes o Bluetooth não funciona totalmente. Acredito que os problemas que estão chegando podem ser resolvidos pelas próximas atualizações de software. Etiqueta de entrada SmartWatch com os recursos de chamada Wise OK., Eu só tenho um problema, às vezes ele atua como um alto -falante e todos os sons de tudo o que estiver tocando no telefone vem do relógio. Também gostaria de saber se consigo silenciar o toque vindo do relógio. Existe alguma maneira. Por favor ajude. Estou usando o iPhone 11., o produto é muito bom, parece tão leve durante os exercícios que é tão confortável de usar e a razão pela qual dei 4 estrelas é que a qualidade do som não é tão boa, bonita e duas coisas estão faltando 1. Ciclo de saúde feminino. . General boa aparência, bom desempenho, boa qualidade e preço acessível., Https: //m.media-amazon.com/images/i/71saf3ahxhl._sy88.jpg, textura boa deste relógio. É leve em peso. Muito confortável de usar., Https: //m.media-amazon.com/images/i/61oenyrsg2l._sy88.jpg</v>
      </c>
    </row>
    <row r="465">
      <c r="A465" s="9" t="s">
        <v>1881</v>
      </c>
      <c r="B465" s="29" t="str">
        <f>VLOOKUP(dados!A465, reviews!A:G, 5, FALSE)</f>
        <v>just a watch not smart one... all features are to make fool of  you,Worst watch, connecting problem with phone nd automatically disconnecting from phone.,Very good quality of product and price is very low.,Good,ভালো,Damaged product supplied later on exchanged,Battery life less.,Amezing</v>
      </c>
      <c r="C465" s="29" t="str">
        <f>VLOOKUP(dados!A465, reviews!A:G, 6, FALSE)</f>
        <v>just a watch not smart one... all features are to make fool of  you,Worst watch,  connecting problem with phone nd automatically disconnecting from phone,Very good quality of product and price is very low.Very good,,ভালো ঘড়ি টা।,Dislike,After use of 2 months observed battery life is getting only one day max with only normal usage with out audio.Ok for regular usage,Superb</v>
      </c>
      <c r="D465" s="29" t="str">
        <f>IFERROR(__xludf.DUMMYFUNCTION("GOOGLETRANSLATE(B465, ""en"", ""pt-br"")"),"Apenas um relógio não é inteligente ... todos os recursos são fazer de você, o pior relógio, conectando o problema com o telefone e desconectando automaticamente do telefone., muito boa qualidade de produto e preço é muito baixo., bom, ভালো, produto danif"&amp;"icado fornecido mais tarde na troca, a duração da bateria menos., Amezing")</f>
        <v>Apenas um relógio não é inteligente ... todos os recursos são fazer de você, o pior relógio, conectando o problema com o telefone e desconectando automaticamente do telefone., muito boa qualidade de produto e preço é muito baixo., bom, ভালো, produto danificado fornecido mais tarde na troca, a duração da bateria menos., Amezing</v>
      </c>
      <c r="E465" s="29" t="str">
        <f>IFERROR(__xludf.DUMMYFUNCTION("GOOGLETRANSLATE(C465, ""en"", ""pt-br"")"),"Apenas um relógio não é inteligente ... Todos os recursos são fazer de você, o pior relógio, conectando problemas com telefone e desconectando automaticamente do telefone, muito boa qualidade de produto e preço é muito baixa. Muito bom ,, ভালো টা।। , Anti"&amp;"patia, após o uso de 2 meses observados, a duração da bateria está ficando apenas um dia no máximo com apenas uso normal sem áudio.ok para uso regular, excelente")</f>
        <v>Apenas um relógio não é inteligente ... Todos os recursos são fazer de você, o pior relógio, conectando problemas com telefone e desconectando automaticamente do telefone, muito boa qualidade de produto e preço é muito baixa. Muito bom ,, ভালো টা।। , Antipatia, após o uso de 2 meses observados, a duração da bateria está ficando apenas um dia no máximo com apenas uso normal sem áudio.ok para uso regular, excelente</v>
      </c>
    </row>
    <row r="466">
      <c r="A466" s="9" t="s">
        <v>90</v>
      </c>
      <c r="B466" s="29" t="str">
        <f>VLOOKUP(dados!A466, reviews!A:G, 5, FALSE)</f>
        <v>Good product,using this product 8months It is done  I have not faced any problem so far, its build quality best,I really liked this one.,Very strong and support fast charging ,,Nice cable,Best data cable charging fast,Good job,Good but need some improvement</v>
      </c>
      <c r="C466" s="29" t="str">
        <f>VLOOKUP(dados!A466, reviews!A:G, 6, FALSE)</f>
        <v>I like it 👍👍,Best charging power . I used this cable on note 8 pro mi. Using 8month also fast working.,350 might be a little expensive but physically it’s so good. Feels premium. But power limitation is there it is not suitable for fast charging.,,https://m.media-amazon.com/images/W/WEBP_402378-T1/images/I/61WnvIUaIwL._SY88.jpg,Best data cable charging fast,Very good quality and good durability,Overall good but need some improvement...</v>
      </c>
      <c r="D466" s="29" t="str">
        <f>IFERROR(__xludf.DUMMYFUNCTION("GOOGLETRANSLATE(B466, ""en"", ""pt-br"")"),"Bom produto, usando este produto 8 meses que está feito, eu não enfrentei nenhum problema até agora, sua qualidade de construção mais, eu realmente gostei deste., Muito forte e suportar carregamento rápido ,, bom cabo, melhor carregamento de cabo de dados"&amp;" rápido, bom trabalho , Bom, mas preciso de alguma melhoria")</f>
        <v>Bom produto, usando este produto 8 meses que está feito, eu não enfrentei nenhum problema até agora, sua qualidade de construção mais, eu realmente gostei deste., Muito forte e suportar carregamento rápido ,, bom cabo, melhor carregamento de cabo de dados rápido, bom trabalho , Bom, mas preciso de alguma melhoria</v>
      </c>
      <c r="E466" s="29" t="str">
        <f>IFERROR(__xludf.DUMMYFUNCTION("GOOGLETRANSLATE(C466, ""en"", ""pt-br"")"),"Eu gosto 👍👍, melhor poder de carregamento. Eu usei este cabo no Note 8 Pro Mi. Usando 8 meses também funcionando rápido., 350 pode ser um pouco caro, mas fisicamente é tão bom. Parece premium. Mas a limitação de energia existe, não é adequada para carre"&amp;"gamento rápido., Https: //m.media-amazon.com/images/w/webp_402378-t1/images/i/61wnviuaiwl._sy88.jpg, cobrança de cabo mais rápido , Muito boa qualidade e boa durabilidade, em geral, mas preciso de alguma melhoria ...")</f>
        <v>Eu gosto 👍👍, melhor poder de carregamento. Eu usei este cabo no Note 8 Pro Mi. Usando 8 meses também funcionando rápido., 350 pode ser um pouco caro, mas fisicamente é tão bom. Parece premium. Mas a limitação de energia existe, não é adequada para carregamento rápido., Https: //m.media-amazon.com/images/w/webp_402378-t1/images/i/61wnviuaiwl._sy88.jpg, cobrança de cabo mais rápido , Muito boa qualidade e boa durabilidade, em geral, mas preciso de alguma melhoria ...</v>
      </c>
    </row>
    <row r="467">
      <c r="A467" s="9" t="s">
        <v>1886</v>
      </c>
      <c r="B467" s="29" t="str">
        <f>VLOOKUP(dados!A467, reviews!A:G, 5, FALSE)</f>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v>
      </c>
      <c r="C467" s="29" t="str">
        <f>VLOOKUP(dados!A467, reviews!A:G, 6, FALSE)</f>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v>
      </c>
      <c r="D467" s="29" t="str">
        <f>IFERROR(__xludf.DUMMYFUNCTION("GOOGLETRANSLATE(B467, ""en"", ""pt-br"")"),"Ele controla o brilho automaticamente sempre que você vai em lugar escuro ou sob luz solar., Bom em jogos, toque não é bom, bom celular dentro da faixa de preço, ótimo telefone, bom telefone, orçamento mein sabse mast telefone, boa, mas a qualidade da câm"&amp;"era não está de acordo com A qualidade da câmera de expectativas não está à altura das expectativas")</f>
        <v>Ele controla o brilho automaticamente sempre que você vai em lugar escuro ou sob luz solar., Bom em jogos, toque não é bom, bom celular dentro da faixa de preço, ótimo telefone, bom telefone, orçamento mein sabse mast telefone, boa, mas a qualidade da câmera não está de acordo com A qualidade da câmera de expectativas não está à altura das expectativas</v>
      </c>
      <c r="E467" s="29" t="str">
        <f>IFERROR(__xludf.DUMMYFUNCTION("GOOGLETRANSLATE(C467, ""en"", ""pt-br"")"),"Este é o meu primeiro 5G IQOO Mobile comprado em 26 de dezembro na Amazon. Até agora, eu não senti nada de ruim neste celular. Feliz com a compra. A qualidade da câmera é boa. Funciona sem problemas em todas as opções., Este é um bom aparelho de desempenh"&amp;"o, mas a qualidade da câmera não é boa, mesmo que eles tenham dito que é uma câmera de 50 MP que não tem uma foto nítida. Então você não está pensando na câmera, é uma boa escolha para essa quantidade. Ele também tem um problema com a conectividade 5G (JI"&amp;"O)., Touch não é bom, na, bom telefone, mas a qualidade da câmera não é boa o suficiente, mas processor é ótimo, muito bom, com orçamento mencse mast telefone, a qualidade da câmera não está à altura das expectativas")</f>
        <v>Este é o meu primeiro 5G IQOO Mobile comprado em 26 de dezembro na Amazon. Até agora, eu não senti nada de ruim neste celular. Feliz com a compra. A qualidade da câmera é boa. Funciona sem problemas em todas as opções., Este é um bom aparelho de desempenho, mas a qualidade da câmera não é boa, mesmo que eles tenham dito que é uma câmera de 50 MP que não tem uma foto nítida. Então você não está pensando na câmera, é uma boa escolha para essa quantidade. Ele também tem um problema com a conectividade 5G (JIO)., Touch não é bom, na, bom telefone, mas a qualidade da câmera não é boa o suficiente, mas processor é ótimo, muito bom, com orçamento mencse mast telefone, a qualidade da câmera não está à altura das expectativas</v>
      </c>
    </row>
    <row r="468">
      <c r="A468" s="9" t="s">
        <v>1889</v>
      </c>
      <c r="B468" s="29" t="str">
        <f>VLOOKUP(dados!A468, reviews!A:G, 5, FALSE)</f>
        <v>Works well, but not for long,Good product,Good product,Good quality,Excellent.,Good,Average item,Try to improve</v>
      </c>
      <c r="C468" s="29" t="str">
        <f>VLOOKUP(dados!A468, reviews!A:G, 6, FALSE)</f>
        <v>The sound quality is excellent for the price, and so are the three buttons. However, the material quality isn't good, and the wite breaks after 9 months or so.,Less bass.. good sound.. quality might be better,I like to buy this headphones,Good product,  very much I like you 👍Good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v>
      </c>
      <c r="D468" s="29" t="str">
        <f>IFERROR(__xludf.DUMMYFUNCTION("GOOGLETRANSLATE(B468, ""en"", ""pt-br"")"),"Funciona bem, mas não por muito tempo, bom produto, bom produto, boa qualidade, excelente., Bom item médio, tente melhorar")</f>
        <v>Funciona bem, mas não por muito tempo, bom produto, bom produto, boa qualidade, excelente., Bom item médio, tente melhorar</v>
      </c>
      <c r="E468" s="29" t="str">
        <f>IFERROR(__xludf.DUMMYFUNCTION("GOOGLETRANSLATE(C468, ""en"", ""pt-br"")"),"A qualidade do som é excelente para o preço, assim como os três botões. No entanto, a qualidade do material não é boa, e o WITE quebra após 9 meses ou mais., Menos baixo .. bom som .. Qualidade pode ser melhor, eu gosto de comprar esses fones de ouvido, b"&amp;"om produto, muito eu gosto de você 👍 Boa qualidade de som. Bom, é realmente um produto muito bom. Muito obrigado Samsung Galaxy, eu tentei muitos fones de ouvido com quase todas as marcas. Mas isso é perfeito. Mids e baixos são excelentes. Treble e baixo"&amp;" estão bem equilibrados. O controle remoto possui 3 botões, o microfone funciona bem durante a chamada., Https: //m.media-amazon.com/images/i/81qrq52xf8l._sy88.jpg.its não tão bons não tão ruins, como .... ?")</f>
        <v>A qualidade do som é excelente para o preço, assim como os três botões. No entanto, a qualidade do material não é boa, e o WITE quebra após 9 meses ou mais., Menos baixo .. bom som .. Qualidade pode ser melhor, eu gosto de comprar esses fones de ouvido, bom produto, muito eu gosto de você 👍 Boa qualidade de som. Bom, é realmente um produto muito bom. Muito obrigado Samsung Galaxy, eu tentei muitos fones de ouvido com quase todas as marcas. Mas isso é perfeito. Mids e baixos são excelentes. Treble e baixo estão bem equilibrados. O controle remoto possui 3 botões, o microfone funciona bem durante a chamada., Https: //m.media-amazon.com/images/i/81qrq52xf8l._sy88.jpg.its não tão bons não tão ruins, como .... ?</v>
      </c>
    </row>
    <row r="469">
      <c r="A469" s="9" t="s">
        <v>113</v>
      </c>
      <c r="B469" s="29" t="str">
        <f>VLOOKUP(dados!A469, reviews!A:G, 5, FALSE)</f>
        <v>Good cable for car,Good substitute for orginal,Better Value for money Product,Way better than the original,Absolutely amazing.,Namm hi kafi hai,Very good,As the names say Durable cell it a durable cable ;-)</v>
      </c>
      <c r="C469" s="29" t="str">
        <f>VLOOKUP(dados!A469, reviews!A:G, 6, FALSE)</f>
        <v>I trust this product! Works well with car play!,Very good quality and charging is fine. As good as original,Build quality is awesome, best lightening cable ever seen, better than a official  lightening from If ur looking for a cable close your eyes and go for it 🔥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v>
      </c>
      <c r="D469" s="29" t="str">
        <f>IFERROR(__xludf.DUMMYFUNCTION("GOOGLETRANSLATE(B469, ""en"", ""pt-br"")"),"Bom cabo para carro, bom substituto para o produto orginal, melhor valor para dinheiro, muito melhor do que o original, absolutamente incrível., Namm hi kafi hai, muito bom, como os nomes dizem célula durável, é um cabo durável ;-)")</f>
        <v>Bom cabo para carro, bom substituto para o produto orginal, melhor valor para dinheiro, muito melhor do que o original, absolutamente incrível., Namm hi kafi hai, muito bom, como os nomes dizem célula durável, é um cabo durável ;-)</v>
      </c>
      <c r="E469" s="29" t="str">
        <f>IFERROR(__xludf.DUMMYFUNCTION("GOOGLETRANSLATE(C469, ""en"", ""pt-br"")"),"Eu confio neste produto! Funciona bem com o jogo de carro!, Muito boa qualidade e carregamento é bom. Tão bom quanto o original, a qualidade de construção é incrível, o melhor cabo de iluminação já visto, melhor do que um iluminação oficial de você procur"&amp;"ar um cabo fechar os olhos e ir em frente 🔥 🔥 Ou você pode comprar um (Amazon Basics) que eu estava usando que, nos últimos 3 anos, um pouco mais barato, recomendo que esses dois cabos tenham melhor qualidade de construção e valor ao dinheiro, o produto"&amp;" Gr8 em geral, simplesmente adorei, muito boa velocidade de carregamento. ,, boa qualidade, bem embalada, todos selados coberto o arame parece de uma qualidade muito boa, recomendada !!!!")</f>
        <v>Eu confio neste produto! Funciona bem com o jogo de carro!, Muito boa qualidade e carregamento é bom. Tão bom quanto o original, a qualidade de construção é incrível, o melhor cabo de iluminação já visto, melhor do que um iluminação oficial de você procurar um cabo fechar os olhos e ir em frente 🔥 🔥 Ou você pode comprar um (Amazon Basics) que eu estava usando que, nos últimos 3 anos, um pouco mais barato, recomendo que esses dois cabos tenham melhor qualidade de construção e valor ao dinheiro, o produto Gr8 em geral, simplesmente adorei, muito boa velocidade de carregamento. ,, boa qualidade, bem embalada, todos selados coberto o arame parece de uma qualidade muito boa, recomendada !!!!</v>
      </c>
    </row>
    <row r="470">
      <c r="A470" s="9" t="s">
        <v>1894</v>
      </c>
      <c r="B470" s="29" t="str">
        <f>VLOOKUP(dados!A470, reviews!A:G, 5, FALSE)</f>
        <v>Best For It’s Money!🔥,Nice quality, but comes with a price!,Easiest to install,Easy to install,Worth every penny!,Worth it,Good but costly,Totally worth it</v>
      </c>
      <c r="C470" s="29" t="str">
        <f>VLOOKUP(dados!A470, reviews!A:G, 6, FALSE)</f>
        <v>It’s A Good Purchase For Long term Personally I Like It Because It came With 2 Install Kits And Costed Me Around ₹999($12) And Trust Me It’s Very Easy To Install.And It’s Protected The Device For A Fall Of Bed To Ground. Overall Nice Product! 👍,It's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install,It’s easy to install. Quality is great. Doesn’t cause issues with camera and is better than the original screen itself in terms of touch feel,Oleophobic coating on it is really good. I’ve been using it since over 2 months now and it’s not faded at all. It’s a bit expensive but it keeps phone’s screen looking new and shiny, and it is much much better than the cheap ones in doing so; it’s night and day difference.Fit and finish is really good too. Applying it is super easy.Otherwise, I don’t see it protecting the phone screen from cracking or scratching more than the cheaper or the more expensive ones.I recommend getting this over others primarily because it’ll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v>
      </c>
      <c r="D470" s="29" t="str">
        <f>IFERROR(__xludf.DUMMYFUNCTION("GOOGLETRANSLATE(B470, ""en"", ""pt-br"")"),"Melhor por seu dinheiro! 🔥, boa qualidade, mas vem com um preço!, Mais fácil de instalar, fácil de instalar, vale cada centavo!, Vale a pena, bom, mas caro, totalmente vale a pena")</f>
        <v>Melhor por seu dinheiro! 🔥, boa qualidade, mas vem com um preço!, Mais fácil de instalar, fácil de instalar, vale cada centavo!, Vale a pena, bom, mas caro, totalmente vale a pena</v>
      </c>
      <c r="E470" s="29" t="str">
        <f>IFERROR(__xludf.DUMMYFUNCTION("GOOGLETRANSLATE(C470, ""en"", ""pt-br"")"),"É uma boa compra por longo prazo, pessoalmente, eu gosto, porque veio com 2 kits de instalação e me custou cerca de ₹ 999 (US $ 12) e confie em mim, é muito fácil instalar. E ele protegeu o dispositivo para uma queda de cama no chão. Geral de bom produto!"&amp;" 👍, é muito bom. Vi um vídeo no YouTube e soube que a melhor maneira de aplicar isso é, assim que você remove o papel que aparece ao telefone. Portanto, você pode facilmente evitar partículas de poeira! Funcionou bem comigo. Estou feliz! Mas os recursos "&amp;"de resistência a arranhões ainda precisam ser verificados. Mas, também é um pouco caro! 500 para 1 vidro? Precisa esperar e verificar sua vida útil e qualidade de proteção. Depois de colocar muitos protetores de tela, eu achei que isso era o mais fácil. N"&amp;"ão há necessidade de pensar sobre o alinhamento, pois a bandeja de alinhamento torna a brisa. Encontrei duas grandes bolhas de ar após a instalação, mas elas foram removidas com muita facilidade com a ferramenta Squeege. No geral, o processo levou apenas "&amp;"10 minutos. Basta limpar a tela corretamente antes de instalar para evitar qualquer marca de poeira abaixo do protetor de tela., Bom e fácil de instalar, é fácil de instalar. A qualidade é ótima. Não causa problemas com a câmera e é melhor que a tela orig"&amp;"inal em termos de sensação de toque, o revestimento oleofóbico é realmente bom. Eu o uso há mais de 2 meses e não está desbotado. É um pouco caro, mas mantém a tela do telefone com uma aparência nova e brilhante, e é muito melhor do que os baratos ao fazê"&amp;" -lo; É a diferença noturna e diurna. FIT e acabamento também são realmente bons. Aplicá -lo é super fácil. Além disso, não o vejo protegendo a tela do telefone de quebrar ou arranhar mais do que os mais baratos ou os mais caros. Recomendo ter isso sobre "&amp;"os outros principalmente porque manterá seu telefone caro, parecendo novo, O produto é bom, fácil de instalar e vem com um pacote maravilhoso, mas é muito caro, Rs 1k, se você conseguir um desconto ou acordo, então vá em frente!, esse protetor de tela é s"&amp;"uper rápido e fácil de instalar . Todas as ferramentas e instituições fornecidas tornam a brisa.")</f>
        <v>É uma boa compra por longo prazo, pessoalmente, eu gosto, porque veio com 2 kits de instalação e me custou cerca de ₹ 999 (US $ 12) e confie em mim, é muito fácil instalar. E ele protegeu o dispositivo para uma queda de cama no chão. Geral de bom produto! 👍, é muito bom. Vi um vídeo no YouTube e soube que a melhor maneira de aplicar isso é, assim que você remove o papel que aparece ao telefone. Portanto, você pode facilmente evitar partículas de poeira! Funcionou bem comigo. Estou feliz! Mas os recursos de resistência a arranhões ainda precisam ser verificados. Mas, também é um pouco caro! 500 para 1 vidro? Precisa esperar e verificar sua vida útil e qualidade de proteção. Depois de colocar muitos protetores de tela, eu achei que isso era o mais fácil. Não há necessidade de pensar sobre o alinhamento, pois a bandeja de alinhamento torna a brisa. Encontrei duas grandes bolhas de ar após a instalação, mas elas foram removidas com muita facilidade com a ferramenta Squeege. No geral, o processo levou apenas 10 minutos. Basta limpar a tela corretamente antes de instalar para evitar qualquer marca de poeira abaixo do protetor de tela., Bom e fácil de instalar, é fácil de instalar. A qualidade é ótima. Não causa problemas com a câmera e é melhor que a tela original em termos de sensação de toque, o revestimento oleofóbico é realmente bom. Eu o uso há mais de 2 meses e não está desbotado. É um pouco caro, mas mantém a tela do telefone com uma aparência nova e brilhante, e é muito melhor do que os baratos ao fazê -lo; É a diferença noturna e diurna. FIT e acabamento também são realmente bons. Aplicá -lo é super fácil. Além disso, não o vejo protegendo a tela do telefone de quebrar ou arranhar mais do que os mais baratos ou os mais caros. Recomendo ter isso sobre os outros principalmente porque manterá seu telefone caro, parecendo novo, O produto é bom, fácil de instalar e vem com um pacote maravilhoso, mas é muito caro, Rs 1k, se você conseguir um desconto ou acordo, então vá em frente!, esse protetor de tela é super rápido e fácil de instalar . Todas as ferramentas e instituições fornecidas tornam a brisa.</v>
      </c>
    </row>
    <row r="471">
      <c r="A471" s="9" t="s">
        <v>1898</v>
      </c>
      <c r="B471" s="29" t="str">
        <f>VLOOKUP(dados!A471, reviews!A:G, 5, FALSE)</f>
        <v>Get it with bundled discounts.,Heating &amp; Touch screen,Buy for normal usage. NOT FOR CAMERA,The phone is a good device and I am happy with the purchase.,Average quality.,Exlent mobile,Valueable buy,A GOOD AND AFFORDABLE PRODUCT</v>
      </c>
      <c r="C471" s="29" t="str">
        <f>VLOOKUP(dados!A471, reviews!A:G, 6, FALSE)</f>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 Heating issues during use with in 15 minutes uses.Touch screen 📱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 15 मिनट में उपयोग के दौरान हीटिंग की समस्या।टच स्क्रीन 📱 कभी-कभी जारी करती है यह बहुत बढ़िया है और कभी-कभी आपको टाइप करते समय सैमसंग कुंजी पैड पर भी कई बार स्पर्श करना पड़ता है।हम सभी परिवार सैमसंग मोबाइल का उपयोग कर रहे हैं लेकिन इस बार मैं मुद्दों से चिंतित हूं अगर मुझे समान मुद्दों का सामना करना पड़ता है तो मुझे मोबाइल बदलना होगा और डेटा ट्रांसफर करना होगा यह बहुत परेशान करने वाला काम है अगर कोई सैमसंग इस समीक्षा को पढ़ रहा है तो कृपया मुझे अमेज़ॅन के माध्यम से उत्तर दें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v>
      </c>
      <c r="D471" s="29" t="str">
        <f>IFERROR(__xludf.DUMMYFUNCTION("GOOGLETRANSLATE(B471, ""en"", ""pt-br"")"),"Obtenha -o com descontos agrupados., Aquecimento e tela de toque, compre para uso normal. Não é para a câmera, o telefone é um bom dispositivo e estou feliz com a compra., Qualidade média., Exlant móvel, compra de valor, um produto bom e acessível")</f>
        <v>Obtenha -o com descontos agrupados., Aquecimento e tela de toque, compre para uso normal. Não é para a câmera, o telefone é um bom dispositivo e estou feliz com a compra., Qualidade média., Exlant móvel, compra de valor, um produto bom e acessível</v>
      </c>
      <c r="E471" s="29" t="str">
        <f>IFERROR(__xludf.DUMMYFUNCTION("GOOGLETRANSLATE(C471, ""en"", ""pt-br"")"),"O preço original não vale elogios, então tente comprar em algumas ofertas de cartões ou outros pacotes gratuitos. A tela não é HD completa, mas ainda oferece bom brilho e precisão de cores. O orador também parece bom o suficiente. A câmera frontal não é p"&amp;"ara selfies apenas para chamadas de vídeo, mas a câmera traseira produz cliques satisfatórios para o nível de entrada. O backup da bateria é um dos melhores recursos deste dispositivo. Os softwares da Samsung são todos bem otimizados e minha única reclama"&amp;"ção neste departamento é o Bloatwares pré-instalado. A interface do usuário se sente suave o suficiente e o processador Mediatek, juntamente com 4 GB de RAM, é adequado para uso normal diário. Os jogos não são recomendados. A maior desvantagem deste dispo"&amp;"sitivo é o carregador de caixa, que é de apenas 7,75 watts (5V, 1,55a) que leva cerca de 3 horas para uma cobrança decente., 🔥 Questões de aquecimento durante o uso em 15 minutos. Muito bom e algum tempo você tem que tocar várias vezes, mesmo no Samsung "&amp;"Key Pad durante a digitação. TODOS A FAMÍLIA ESTAMOS Usando Samsung Mobiles, mas desta vez me preocupei com os problemas, se tiver que enfrentar os mesmos problemas, tenho que alterar o celular e transferir dados, é muito Trabalho irritante que eu desejo "&amp;"se qualquer um de Samsung está lendo esta resenha, responda-me através da Amazon.🔥 15 मिनट उपयोग उपयोग दौ दौरान हीटिंग की समस्य pos. करते समय सैमसंग कुंजी पैड पर भी कई बार स्पर्श करना पड़ता है।हम सभी परिवार सैमसंग मोबाइल का उपयोग कर रहे हैं लेकिन इस बार "&amp;"मैं मुद्दों से चिंतित हूं अगर मुझे समान मुद्दों का सामना करना पड़ता है तो मुझे मोबाइल बदलना होगा और डेटा ट्रांसफर करना होगा यह बहुत परेशान करने वाला काम है अगअग कोई सैमसंग इस समीक्षा को पढ़ marca ह तो कृपय इस समीक समीक समीक के को पढ़ हा है कृपय कृपया मुझे"&amp;" अमेज़ॅन के माध्यम से उत्तर दें. Ela não é uma pessoa de selfie ou vídeo. Não quer ir para os produtos RealMe/Xiaomi (Redmi/Poco) por causa de seu apoio. Isso já vem com as atualizações do Android 12 e dois anos são garantidas. A tela é realmente boa. Tel"&amp;"a não full HD embora. A qualidade da chamada é boa. Eu queria um tamanho menor, mas, infelizmente, o preço não cai abaixo de 10 para eles. Se você está comprando muitas fotos/vídeos, este não é o telefone para você. Coisas básicas como o WhatsApp e outras"&amp;" coisas, este seria um bom telefone para você., Este telefone foi comprado para um usuário do smartphone pela primeira vez. Era um bom ajuste para o referido usuário. Obrigado Samsung e Amazon., Telefone normal com qualidade de tela muito média. Backup da"&amp;" bateria também não é muito bom. Mas sim, vale a pena. Polegares sob esse orçamento., Samsung M04 Exlent Mobile. A melhor qualidade da bateria e da tela, preço de rejeição, a classe média melhor do celular, melhor preço com desconto. Se apresentar bem, um"&amp;" celular acessível de uma empresa premium. ❤️")</f>
        <v>O preço original não vale elogios, então tente comprar em algumas ofertas de cartões ou outros pacotes gratuitos. A tela não é HD completa, mas ainda oferece bom brilho e precisão de cores. O orador também parece bom o suficiente. A câmera frontal não é para selfies apenas para chamadas de vídeo, mas a câmera traseira produz cliques satisfatórios para o nível de entrada. O backup da bateria é um dos melhores recursos deste dispositivo. Os softwares da Samsung são todos bem otimizados e minha única reclamação neste departamento é o Bloatwares pré-instalado. A interface do usuário se sente suave o suficiente e o processador Mediatek, juntamente com 4 GB de RAM, é adequado para uso normal diário. Os jogos não são recomendados. A maior desvantagem deste dispositivo é o carregador de caixa, que é de apenas 7,75 watts (5V, 1,55a) que leva cerca de 3 horas para uma cobrança decente., 🔥 Questões de aquecimento durante o uso em 15 minutos. Muito bom e algum tempo você tem que tocar várias vezes, mesmo no Samsung Key Pad durante a digitação. TODOS A FAMÍLIA ESTAMOS Usando Samsung Mobiles, mas desta vez me preocupei com os problemas, se tiver que enfrentar os mesmos problemas, tenho que alterar o celular e transferir dados, é muito Trabalho irritante que eu desejo se qualquer um de Samsung está lendo esta resenha, responda-me através da Amazon.🔥 15 मिनट उपयोग उपयोग दौ दौरान हीटिंग की समस्य pos. करते समय सैमसंग कुंजी पैड पर भी कई बार स्पर्श करना पड़ता है।हम सभी परिवार सैमसंग मोबाइल का उपयोग कर रहे हैं लेकिन इस बार मैं मुद्दों से चिंतित हूं अगर मुझे समान मुद्दों का सामना करना पड़ता है तो मुझे मोबाइल बदलना होगा और डेटा ट्रांसफर करना होगा यह बहुत परेशान करने वाला काम है अगअग कोई सैमसंग इस समीक्षा को पढ़ marca ह तो कृपय इस समीक समीक समीक के को पढ़ हा है कृपय कृपया मुझे अमेज़ॅन के माध्यम से उत्तर दें. Ela não é uma pessoa de selfie ou vídeo. Não quer ir para os produtos RealMe/Xiaomi (Redmi/Poco) por causa de seu apoio. Isso já vem com as atualizações do Android 12 e dois anos são garantidas. A tela é realmente boa. Tela não full HD embora. A qualidade da chamada é boa. Eu queria um tamanho menor, mas, infelizmente, o preço não cai abaixo de 10 para eles. Se você está comprando muitas fotos/vídeos, este não é o telefone para você. Coisas básicas como o WhatsApp e outras coisas, este seria um bom telefone para você., Este telefone foi comprado para um usuário do smartphone pela primeira vez. Era um bom ajuste para o referido usuário. Obrigado Samsung e Amazon., Telefone normal com qualidade de tela muito média. Backup da bateria também não é muito bom. Mas sim, vale a pena. Polegares sob esse orçamento., Samsung M04 Exlent Mobile. A melhor qualidade da bateria e da tela, preço de rejeição, a classe média melhor do celular, melhor preço com desconto. Se apresentar bem, um celular acessível de uma empresa premium. ❤️</v>
      </c>
    </row>
    <row r="472">
      <c r="A472" s="9" t="s">
        <v>101</v>
      </c>
      <c r="B472" s="29" t="str">
        <f>VLOOKUP(dados!A472, reviews!A:G, 5, FALSE)</f>
        <v>A Good Braided Cable for Your Type C Device,Good quality product from ambrane,Super cable,As,Good quality,Good product,its good,Good quality for the price but one issue with my unit</v>
      </c>
      <c r="C472" s="29" t="str">
        <f>VLOOKUP(dados!A472, reviews!A:G, 6, FALSE)</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c r="D472" s="29" t="str">
        <f>IFERROR(__xludf.DUMMYFUNCTION("GOOGLETRANSLATE(B472, ""en"", ""pt-br"")"),"Um bom cabo trançado para o seu dispositivo Tipo C, produto de boa qualidade da Ambrane, Super Cable, como, boa qualidade, bom produto, é boa, boa qualidade para o preço, mas um problema com minha unidade")</f>
        <v>Um bom cabo trançado para o seu dispositivo Tipo C, produto de boa qualidade da Ambrane, Super Cable, como, boa qualidade, bom produto, é boa, boa qualidade para o preço, mas um problema com minha unidade</v>
      </c>
      <c r="E472" s="29" t="str">
        <f>IFERROR(__xludf.DUMMYFUNCTION("GOOGLETRANSLATE(C472, ""en"", ""pt-br"")"),"Encomendei este cabo para conectar meu telefone ao Android Auto of Car. O cabo é realmente forte e as portas de conexão são muito bem feitas. Eu já tenho um cabo micro USB da Ambrane e ainda está em boa forma. Conectei meu telefone ao carro usando o cabo "&amp;"e ele foi conectado bem e sem problemas. Eu também o conectei à porta de carregamento e sim, ele tem suporte de carregamento rápido. A qualidade de TI é boa nesse preço e o principal é que eu nunca pensei que esse cabo seria tão longo que é bom e o poder "&amp;"de carregamento é Muito bom e também suporta carregamento rápido, valor ao dinheiro, com comprimento extra👍, bom, funcionando bem, a qualidade do produto é boa, boa, muito boa, comprada para o telefone antigo da minha filha. e solicitado para substituiçã"&amp;"o. Verifiquei novamente e havia uma pasta/fungo de cor verde dentro do conector micro USB. Limpei com um alcoólatra e comecei a trabalhar novamente. Chequei a ampere de velocidade de carregamento obteve cerca de 1400mA -1500mA - não é ruim, veio com um ca"&amp;"bo trançado de 1,5 m de comprimento, bastante impressionante pelo preço. Não posso culpar o fabricante. Mas os problemas de qualidade por O distribuidor, eles podem ter armazenado em um lugar muito úmido.")</f>
        <v>Encomendei este cabo para conectar meu telefone ao Android Auto of Car. O cabo é realmente forte e as portas de conexão são muito bem feitas. Eu já tenho um cabo micro USB da Ambrane e ainda está em boa forma. Conectei meu telefone ao carro usando o cabo e ele foi conectado bem e sem problemas. Eu também o conectei à porta de carregamento e sim, ele tem suporte de carregamento rápido. A qualidade de TI é boa nesse preço e o principal é que eu nunca pensei que esse cabo seria tão longo que é bom e o poder de carregamento é Muito bom e também suporta carregamento rápido, valor ao dinheiro, com comprimento extra👍, bom, funcionando bem, a qualidade do produto é boa, boa, muito boa, comprada para o telefone antigo da minha filha. e solicitado para substituição. Verifiquei novamente e havia uma pasta/fungo de cor verde dentro do conector micro USB. Limpei com um alcoólatra e comecei a trabalhar novamente. Chequei a ampere de velocidade de carregamento obteve cerca de 1400mA -1500mA - não é ruim, veio com um cabo trançado de 1,5 m de comprimento, bastante impressionante pelo preço. Não posso culpar o fabricante. Mas os problemas de qualidade por O distribuidor, eles podem ter armazenado em um lugar muito úmido.</v>
      </c>
    </row>
    <row r="473">
      <c r="A473" s="9" t="s">
        <v>1902</v>
      </c>
      <c r="B473" s="29" t="str">
        <f>VLOOKUP(dados!A473, reviews!A:G, 5, FALSE)</f>
        <v>Sturdy,Really Flexible, Good for Moderate usage,Good product...👍,Good product in this price.,Good,Good material,Stability,Okay product.</v>
      </c>
      <c r="C473" s="29" t="str">
        <f>VLOOKUP(dados!A473, reviews!A:G, 6, FALSE)</f>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v>
      </c>
      <c r="D473" s="29" t="str">
        <f>IFERROR(__xludf.DUMMYFUNCTION("GOOGLETRANSLATE(B473, ""en"", ""pt-br"")"),"Resistente, realmente flexível, bom para uso moderado, bom produto ... 👍, bom produto nesse preço., Bom, bom material, estabilidade, produto bom.")</f>
        <v>Resistente, realmente flexível, bom para uso moderado, bom produto ... 👍, bom produto nesse preço., Bom, bom material, estabilidade, produto bom.</v>
      </c>
      <c r="E473" s="29" t="str">
        <f>IFERROR(__xludf.DUMMYFUNCTION("GOOGLETRANSLATE(C473, ""en"", ""pt-br"")"),"Oh, isso é um produto muito bom e resistente, mantém meu telefone estável enquanto eu desenho ou pinta. Eu tentei imediatamente como foi entregue. A corda também é bastante flexível, no geral, a qualidade da okyish desejou que a corda/braço fosse um pouco"&amp;" forte e segurasse o dispositivo com mais firmeza. Funciona bem com telefones mais leves, bom produto recebido, estabilidade não muito boa, mas no geral é um bom produto com esse preço., Bom, ele tem potencial para manter o telefone. Bom produto, estabili"&amp;"dade, alguma média. Mas o produto é muito bom ..., o clipe de um lado é de metal, mas o outro clipe lateral que mantém o telefone é construído de plástico e parece delicado. Toda vez que montei ou desmontei meu dispositivo, tenho que tomar muito cuidado p"&amp;"ara que ele não seja quebrado.")</f>
        <v>Oh, isso é um produto muito bom e resistente, mantém meu telefone estável enquanto eu desenho ou pinta. Eu tentei imediatamente como foi entregue. A corda também é bastante flexível, no geral, a qualidade da okyish desejou que a corda/braço fosse um pouco forte e segurasse o dispositivo com mais firmeza. Funciona bem com telefones mais leves, bom produto recebido, estabilidade não muito boa, mas no geral é um bom produto com esse preço., Bom, ele tem potencial para manter o telefone. Bom produto, estabilidade, alguma média. Mas o produto é muito bom ..., o clipe de um lado é de metal, mas o outro clipe lateral que mantém o telefone é construído de plástico e parece delicado. Toda vez que montei ou desmontei meu dispositivo, tenho que tomar muito cuidado para que ele não seja quebrado.</v>
      </c>
    </row>
    <row r="474">
      <c r="A474" s="9" t="s">
        <v>105</v>
      </c>
      <c r="B474" s="29" t="str">
        <f>VLOOKUP(dados!A474, reviews!A:G, 5, FALSE)</f>
        <v>Good for charging and Data transfer,ਮਜ਼ਬੂਤ,Good Quality but less Power Delivery,Fantastic!,Good,Not useful,Doesn't fit properly,Can't support Oppo mobile for fast charging</v>
      </c>
      <c r="C474" s="29" t="str">
        <f>VLOOKUP(dados!A474, reviews!A:G, 6, FALSE)</f>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v>
      </c>
      <c r="D474" s="29" t="str">
        <f>IFERROR(__xludf.DUMMYFUNCTION("GOOGLETRANSLATE(B474, ""en"", ""pt-br"")"),"Bom para carregamento e transferência de dados, ਮਜ਼ਬੂਤ, boa qualidade, mas menos entrega de energia, fantástica!, Bom, não é útil, não se encaixa corretamente, não pode apoiar o Oppo Mobile para carregar rápido")</f>
        <v>Bom para carregamento e transferência de dados, ਮਜ਼ਬੂਤ, boa qualidade, mas menos entrega de energia, fantástica!, Bom, não é útil, não se encaixa corretamente, não pode apoiar o Oppo Mobile para carregar rápido</v>
      </c>
      <c r="E474" s="29" t="str">
        <f>IFERROR(__xludf.DUMMYFUNCTION("GOOGLETRANSLATE(C474, ""en"", ""pt-br"")"),"Verifique a oferta antes da compra, o cabo de carregamento de 18W, o cabo incrível! Carregamento, transferência de dados e durabilidade são simplesmente incríveis, e não há um único problema de desconexão, que eu sempre enfrentei no cabo MI original da ca"&amp;"ixa. Comprei mais 1 tempo, pois o último cabo danificado quando o telefone caiu na porta de cabo USB, pois meu telefone está pesado e eu nunca enfrentei nenhum problema, então comprei mais uma vez e não fui substituído como seu desperdício de tempo e ener"&amp;"gia, também tenho Os fones de ouvido de barco que também são impressionantes ... 😄, bom, o carregamento é muito lento. Esqueça o carregamento rápido. Não é útil, o cabo não se encaixa corretamente na minha porta Samsung Galaxy M31 tipo C. Se um pouco de "&amp;"acerto acontecer, o cabo está conectando -o. Caso contrário, a qualidade do comprimento e do cabo é muito agradável, o cabo do tipo de barco não suporta carregamento rápido no OPPO F15, anteriormente eu estava usando o cabo Vooc, que funcionou excelente")</f>
        <v>Verifique a oferta antes da compra, o cabo de carregamento de 18W, o cabo incrível! Carregamento, transferência de dados e durabilidade são simplesmente incríveis, e não há um único problema de desconexão, que eu sempre enfrentei no cabo MI original da caixa. Comprei mais 1 tempo, pois o último cabo danificado quando o telefone caiu na porta de cabo USB, pois meu telefone está pesado e eu nunca enfrentei nenhum problema, então comprei mais uma vez e não fui substituído como seu desperdício de tempo e energia, também tenho Os fones de ouvido de barco que também são impressionantes ... 😄, bom, o carregamento é muito lento. Esqueça o carregamento rápido. Não é útil, o cabo não se encaixa corretamente na minha porta Samsung Galaxy M31 tipo C. Se um pouco de acerto acontecer, o cabo está conectando -o. Caso contrário, a qualidade do comprimento e do cabo é muito agradável, o cabo do tipo de barco não suporta carregamento rápido no OPPO F15, anteriormente eu estava usando o cabo Vooc, que funcionou excelente</v>
      </c>
    </row>
    <row r="475">
      <c r="A475" s="9" t="s">
        <v>1909</v>
      </c>
      <c r="B475" s="29" t="str">
        <f>VLOOKUP(dados!A475, reviews!A:G, 5, FALSE)</f>
        <v>Best phone for below normal use,Good mobile for minimal usage , but technically highly worth,For simple use,Ok,Good quality product,Good unit,Good,Best Budget mobile</v>
      </c>
      <c r="C475" s="29" t="str">
        <f>VLOOKUP(dados!A475, reviews!A:G, 6, FALSE)</f>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v>
      </c>
      <c r="D475" s="29" t="str">
        <f>IFERROR(__xludf.DUMMYFUNCTION("GOOGLETRANSLATE(B475, ""en"", ""pt-br"")"),"Melhor telefone para uso abaixo do normal, bom celular para uso mínimo, mas tecnicamente altamente vale a pena, para uso simples, ok, produto de boa qualidade, boa unidade, bom e melhor orçamento móvel")</f>
        <v>Melhor telefone para uso abaixo do normal, bom celular para uso mínimo, mas tecnicamente altamente vale a pena, para uso simples, ok, produto de boa qualidade, boa unidade, bom e melhor orçamento móvel</v>
      </c>
      <c r="E475" s="29" t="str">
        <f>IFERROR(__xludf.DUMMYFUNCTION("GOOGLETRANSLATE(C475, ""en"", ""pt-br"")"),"Se você deseja um telefone inteligente apenas para o uso de ligar e usar as mídias sociais. Esta é uma opção muito boa para você. Comprei para minha mãe, que disse especificamente que ela só queria um telefone para ligar para fins de chamadas. Isso tem ap"&amp;"enas 2 GB de RAM, então não pense em jogos como BGMI ou asfalto e também não será muito suave em condições acima do normal. Não há sensor de impressão digital e a câmera é lixo. Mas a bateria é de 4000mAh e tem uma duração de bateria consideravelmente alt"&amp;"a. Não há carregamento rápido, apenas o carregador normal é fornecido. Então, na minha opinião, este é um telefone para um usuário abaixo da média que usa o telefone inteligente apenas para ligar ou rolar pelas mídias sociais., Isso vale para preço, tem o"&amp;"s mais recentes softwares técnicos e um bom desempenho para uso mínimo, é claro que ele tem Configuração menos, portanto, não devemos parecer melhor do que essa vida de battery mais do que o esperado, poderíamos comprar para esse intervalo de orçamento, s"&amp;"imples e bom, OK Câmera, OK, produto geral de boa qualidade, boa unidade, bom, bom celular para usuários básicos")</f>
        <v>Se você deseja um telefone inteligente apenas para o uso de ligar e usar as mídias sociais. Esta é uma opção muito boa para você. Comprei para minha mãe, que disse especificamente que ela só queria um telefone para ligar para fins de chamadas. Isso tem apenas 2 GB de RAM, então não pense em jogos como BGMI ou asfalto e também não será muito suave em condições acima do normal. Não há sensor de impressão digital e a câmera é lixo. Mas a bateria é de 4000mAh e tem uma duração de bateria consideravelmente alta. Não há carregamento rápido, apenas o carregador normal é fornecido. Então, na minha opinião, este é um telefone para um usuário abaixo da média que usa o telefone inteligente apenas para ligar ou rolar pelas mídias sociais., Isso vale para preço, tem os mais recentes softwares técnicos e um bom desempenho para uso mínimo, é claro que ele tem Configuração menos, portanto, não devemos parecer melhor do que essa vida de battery mais do que o esperado, poderíamos comprar para esse intervalo de orçamento, simples e bom, OK Câmera, OK, produto geral de boa qualidade, boa unidade, bom, bom celular para usuários básicos</v>
      </c>
    </row>
    <row r="476">
      <c r="A476" s="9" t="s">
        <v>1913</v>
      </c>
      <c r="B476" s="29" t="str">
        <f>VLOOKUP(dados!A476, reviews!A:G, 5, FALSE)</f>
        <v>pocket friendly  smart watch for people who loves large  screen.,Value for money,Value for money product,My watch is not charging,Service,Good but it's not working now,GREAT PRODUCT....,Good product</v>
      </c>
      <c r="C476" s="29" t="str">
        <f>VLOOKUP(dados!A476, reviews!A:G, 6, FALSE)</f>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v>
      </c>
      <c r="D476" s="29" t="str">
        <f>IFERROR(__xludf.DUMMYFUNCTION("GOOGLETRANSLATE(B476, ""en"", ""pt-br"")"),"Pocket Friendly Smart Watch for People que adora tela grande., Valor por dinheiro, valor do produto para dinheiro, meu relógio não está cobrando, serviço, bom, mas não está funcionando agora, ótimo produto ...., bom produto")</f>
        <v>Pocket Friendly Smart Watch for People que adora tela grande., Valor por dinheiro, valor do produto para dinheiro, meu relógio não está cobrando, serviço, bom, mas não está funcionando agora, ótimo produto ...., bom produto</v>
      </c>
      <c r="E476" s="29" t="str">
        <f>IFERROR(__xludf.DUMMYFUNCTION("GOOGLETRANSLATE(C476, ""en"", ""pt-br"")"),"O relógio inteligente é bom, com uma grande assistência DisplayVoice Siri para o iPhone Usuários da instalação do Facility FacilityOne uma deficiência de que você não pode enviar ou digitar texto no whatsapp, se você tem um pequeno pulso, não vá em frente"&amp;" ou é uma escolha perfeita para seus entes queridos., Isso é A primeira vez que comprei um relógio inteligente. Um bom relógio para iniciantes como eu com muitas funcionalidades incríveis. Além disso, este relógio é um valor para o dinheiro nessa faixa de"&amp;" preço. O rastreador de sono funciona decentemente bem, poderia ter sido melhor. Podemos ligar diretamente usando o relógio, eu gosto bem desse recurso. Não precisa procurar telefone toda vez. O toque de tela também está bem. Existem muitos rostos de reló"&amp;"gios que você pode alterar ou fazer upload de um da sua própria Galary, que é um ponto positivo. O produto parece exatamente como mostrado nas imagens. O rastreador de calorias e batidas de coração também são bastante precisas. O relógio é um pouco descon"&amp;"fortável de assistir às vezes, mas, caso contrário, as tiras são boas e fortes, uso este relógio há um mês e é realmente ótimo. Todos os recursos estão funcionando muito bem e a conectividade com o telefone também é boa. A qualidade da tela pode ser melho"&amp;"rada. Na verdade, meu relógio inteligente BSW043 Ring 3 não está cobrando de 2 a 3 dias. Está cansado de MSG Fireballs, mas sempre diz para seguir nossa página no Instagram. E quando seguimos o seu mostra suas novas ofertas. Não sei o que fazer agora. Aca"&amp;"bei de enviar o formulário de garantia., O relógio funcionou por 2-3 meses e fui desligado automaticamente e o painel traseiro também foi aberto automaticamente .., não o carreguei por 2 dias, agora depois de carregar também não está recebendo ON, eu uso "&amp;"este relógio desde um mês e é realmente ótimo. Todos os recursos estão funcionando muito bem e a conectividade com o telefone também é boa. A qualidade do produto e a aparência foi boa, mas têm alguns problemas após alguns meses de uso")</f>
        <v>O relógio inteligente é bom, com uma grande assistência DisplayVoice Siri para o iPhone Usuários da instalação do Facility FacilityOne uma deficiência de que você não pode enviar ou digitar texto no whatsapp, se você tem um pequeno pulso, não vá em frente ou é uma escolha perfeita para seus entes queridos., Isso é A primeira vez que comprei um relógio inteligente. Um bom relógio para iniciantes como eu com muitas funcionalidades incríveis. Além disso, este relógio é um valor para o dinheiro nessa faixa de preço. O rastreador de sono funciona decentemente bem, poderia ter sido melhor. Podemos ligar diretamente usando o relógio, eu gosto bem desse recurso. Não precisa procurar telefone toda vez. O toque de tela também está bem. Existem muitos rostos de relógios que você pode alterar ou fazer upload de um da sua própria Galary, que é um ponto positivo. O produto parece exatamente como mostrado nas imagens. O rastreador de calorias e batidas de coração também são bastante precisas. O relógio é um pouco desconfortável de assistir às vezes, mas, caso contrário, as tiras são boas e fortes, uso este relógio há um mês e é realmente ótimo. Todos os recursos estão funcionando muito bem e a conectividade com o telefone também é boa. A qualidade da tela pode ser melhorada. Na verdade, meu relógio inteligente BSW043 Ring 3 não está cobrando de 2 a 3 dias. Está cansado de MSG Fireballs, mas sempre diz para seguir nossa página no Instagram. E quando seguimos o seu mostra suas novas ofertas. Não sei o que fazer agora. Acabei de enviar o formulário de garantia., O relógio funcionou por 2-3 meses e fui desligado automaticamente e o painel traseiro também foi aberto automaticamente .., não o carreguei por 2 dias, agora depois de carregar também não está recebendo ON, eu uso este relógio desde um mês e é realmente ótimo. Todos os recursos estão funcionando muito bem e a conectividade com o telefone também é boa. A qualidade do produto e a aparência foi boa, mas têm alguns problemas após alguns meses de uso</v>
      </c>
    </row>
    <row r="477">
      <c r="A477" s="9" t="s">
        <v>1917</v>
      </c>
      <c r="B477" s="29" t="str">
        <f>VLOOKUP(dados!A477, reviews!A:G, 5, FALSE)</f>
        <v>Overall good,Sturdy,It turns yellow,No issues and yellowing as of now!,Not worthy,Awesome,Amazing,iPhone 13 back cover</v>
      </c>
      <c r="C477" s="29" t="str">
        <f>VLOOKUP(dados!A477, reviews!A:G, 6, FALSE)</f>
        <v>Product has good quality of metrical use,Cover is sturdy but gets yellow within 10-12 days,It turns yellow within few weeks of usage,Value for money! Local shops are selling for 600 to 1000 but this one at this price is good! Good quality, clear, Sturdy and Perfect fit 👍🏽Recommended!,Case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v>
      </c>
      <c r="D477" s="29" t="str">
        <f>IFERROR(__xludf.DUMMYFUNCTION("GOOGLETRANSLATE(B477, ""en"", ""pt-br"")"),"No geral, bom, resistente, fica amarelo, sem problemas e amarelecimento a partir de agora!, Não digno, incrível, incrível, iPhone 13 na capa traseira")</f>
        <v>No geral, bom, resistente, fica amarelo, sem problemas e amarelecimento a partir de agora!, Não digno, incrível, incrível, iPhone 13 na capa traseira</v>
      </c>
      <c r="E477" s="29" t="str">
        <f>IFERROR(__xludf.DUMMYFUNCTION("GOOGLETRANSLATE(C477, ""en"", ""pt-br"")"),"O produto tem boa qualidade de uso métrico, a capa é resistente, mas fica amarela em 10 a 12 dias, fica amarelo dentro de algumas semanas após o uso, valor ao dinheiro! As lojas locais estão sendo vendidas por 600 a 1000, mas este a esse preço é bom! A bo"&amp;"a qualidade, clara, robusta e perfeita ""Recompensa!, O caso é forte, mas fica amarelo em 1 mês, difícil, eu o usei menos, o produto é incrível, a qualidade é muito boa. Eu realmente recomendo isso para comprar para usuários de iPhone, até agora este prod"&amp;"uto foi absolutamente incrível para mim, especialmente desde que eu o recebi por um desconto, acredite, ele manterá seu telefone Não é um traço de amarelecimento, embora eu não use muito meu telefone, então sim, idk está bem até agora, não consigo encontr"&amp;"ar uma queda para esse caso absolutamente incrível, parece fabuloso e simplista e premium de qualidade, parece caro e transparente")</f>
        <v>O produto tem boa qualidade de uso métrico, a capa é resistente, mas fica amarela em 10 a 12 dias, fica amarelo dentro de algumas semanas após o uso, valor ao dinheiro! As lojas locais estão sendo vendidas por 600 a 1000, mas este a esse preço é bom! A boa qualidade, clara, robusta e perfeita "Recompensa!, O caso é forte, mas fica amarelo em 1 mês, difícil, eu o usei menos, o produto é incrível, a qualidade é muito boa. Eu realmente recomendo isso para comprar para usuários de iPhone, até agora este produto foi absolutamente incrível para mim, especialmente desde que eu o recebi por um desconto, acredite, ele manterá seu telefone Não é um traço de amarelecimento, embora eu não use muito meu telefone, então sim, idk está bem até agora, não consigo encontrar uma queda para esse caso absolutamente incrível, parece fabuloso e simplista e premium de qualidade, parece caro e transparente</v>
      </c>
    </row>
    <row r="478">
      <c r="A478" s="9" t="s">
        <v>1924</v>
      </c>
      <c r="B478" s="29" t="str">
        <f>VLOOKUP(dados!A478, reviews!A:G, 5, FALSE)</f>
        <v>Good one,Almost perfect,Go for it,Good product,It's folding system is good,Very good product,Great stand sturdy and good quality,Good quality</v>
      </c>
      <c r="C478" s="29" t="str">
        <f>VLOOKUP(dados!A478, reviews!A:G, 6, FALSE)</f>
        <v>Good quality. Can buy if it’s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it’s is Very  sturdyAnd looks of good quality,Excellent product, good build quality, bigger compared to similar products.</v>
      </c>
      <c r="D478" s="29" t="str">
        <f>IFERROR(__xludf.DUMMYFUNCTION("GOOGLETRANSLATE(B478, ""en"", ""pt-br"")"),"Bom, quase perfeito, vá em frente, bom produto, seu sistema dobrável é bom, muito bom produto, excelente suporte e boa qualidade, boa qualidade")</f>
        <v>Bom, quase perfeito, vá em frente, bom produto, seu sistema dobrável é bom, muito bom produto, excelente suporte e boa qualidade, boa qualidade</v>
      </c>
      <c r="E478" s="29" t="str">
        <f>IFERROR(__xludf.DUMMYFUNCTION("GOOGLETRANSLATE(C478, ""en"", ""pt-br"")"),"Boa qualidade. Pode comprar se o preço estiver abaixo de 250, um bom produto, mas um produto pouco caro e bom, contém a guia móvel e de médio porte., Um portador móvel um pouco caro e muito bem projetado com boa qualidade. O melhor que comprei até agora. "&amp;"Vá em frente., O pacote chegou um dia mais cedo e é um ótimo produto pelo preço que é muito robusto e de boa qualidade, excelente produto, boa qualidade de construção, maior em comparação com produtos similares.")</f>
        <v>Boa qualidade. Pode comprar se o preço estiver abaixo de 250, um bom produto, mas um produto pouco caro e bom, contém a guia móvel e de médio porte., Um portador móvel um pouco caro e muito bem projetado com boa qualidade. O melhor que comprei até agora. Vá em frente., O pacote chegou um dia mais cedo e é um ótimo produto pelo preço que é muito robusto e de boa qualidade, excelente produto, boa qualidade de construção, maior em comparação com produtos similares.</v>
      </c>
    </row>
    <row r="479">
      <c r="A479" s="9" t="s">
        <v>1928</v>
      </c>
      <c r="B479" s="29" t="str">
        <f>VLOOKUP(dados!A479, reviews!A:G, 5, FALSE)</f>
        <v>WORST PHONE EVER! Read this before you buy it,Value for Money meeting all smart phone requirements,In this range perfect,Camera achcha hai,All over good,Good phone at this price,Budget Phone,Worth it</v>
      </c>
      <c r="C479" s="29" t="str">
        <f>VLOOKUP(dados!A479, reviews!A:G, 6, FALSE)</f>
        <v>,Overall meets the requirements nothing to say negative with respect tolthis phone,Charging is very slowly,Maine is product ko apni beti ke liye kharida tha,Fingerprint is good, battery life good, camera is ok,Good phone at this price,Nice in this range.,Best in this price range👍👍</v>
      </c>
      <c r="D479" s="29" t="str">
        <f>IFERROR(__xludf.DUMMYFUNCTION("GOOGLETRANSLATE(B479, ""en"", ""pt-br"")"),"Pior telefone de todos os tempos! Leia isso antes de comprá -lo, valor para dinheiro atendendo a todos os requisitos de telefone inteligente, nesse intervalo perfeito, câmera achcha hai, em todo o bom e bom telefone a esse preço, telefone orçamentário, va"&amp;"le a pena")</f>
        <v>Pior telefone de todos os tempos! Leia isso antes de comprá -lo, valor para dinheiro atendendo a todos os requisitos de telefone inteligente, nesse intervalo perfeito, câmera achcha hai, em todo o bom e bom telefone a esse preço, telefone orçamentário, vale a pena</v>
      </c>
      <c r="E479" s="29" t="str">
        <f>IFERROR(__xludf.DUMMYFUNCTION("GOOGLETRANSLATE(C479, ""en"", ""pt-br"")"),", No geral, atende aos requisitos nada a dizer negativo com respeito pelo telefone, o carregamento é muito lentamente, o Maine é o produto ko apni beti ke liye kharida tha, a impressão digital é boa, a duração da bateria é boa, a câmera está ok, bom telef"&amp;"one a esse preço, bom em esta faixa., melhor nessa faixa de preço👍👍")</f>
        <v>, No geral, atende aos requisitos nada a dizer negativo com respeito pelo telefone, o carregamento é muito lentamente, o Maine é o produto ko apni beti ke liye kharida tha, a impressão digital é boa, a duração da bateria é boa, a câmera está ok, bom telefone a esse preço, bom em esta faixa., melhor nessa faixa de preço👍👍</v>
      </c>
    </row>
    <row r="480">
      <c r="A480" s="9" t="s">
        <v>125</v>
      </c>
      <c r="B480" s="29" t="str">
        <f>VLOOKUP(dados!A480, reviews!A:G, 5, FALSE)</f>
        <v>Worked on iPhone 7 and didn’t work on XR,Good one,Dull Physical Looks,Just Buy it,Go for it,About the product,Get charging cable at the price,Working well.</v>
      </c>
      <c r="C480" s="29" t="str">
        <f>VLOOKUP(dados!A480, reviews!A:G, 6, FALSE)</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D480" s="29" t="str">
        <f>IFERROR(__xludf.DUMMYFUNCTION("GOOGLETRANSLATE(B480, ""en"", ""pt-br"")"),"Trabalhou no iPhone 7 e não trabalhou no XR, bom, looks físicos sem graça, basta comprá -lo, seguir em frente, sobre o produto, obter o cabo de carregamento pelo preço, funcionando bem.")</f>
        <v>Trabalhou no iPhone 7 e não trabalhou no XR, bom, looks físicos sem graça, basta comprá -lo, seguir em frente, sobre o produto, obter o cabo de carregamento pelo preço, funcionando bem.</v>
      </c>
      <c r="E480" s="29" t="str">
        <f>IFERROR(__xludf.DUMMYFUNCTION("GOOGLETRANSLATE(C480, ""en"", ""pt-br"")"),"Trabalhei no iPhone 7 e não trabalhou no iPhone XR, https: //m.media-amazon.com/images/i/71qffalv9zl._sy88.jpg.look-wise, eu não gostei. Ainda assim, eu o uso para o meu trabalho., O produto é muito bom e está carregando rapidamente. Parece o último longo"&amp;"., A robustez dependerá da maneira de seu uso. Mas sua velocidade de carregamento é ótima. Produto muito bom para o grupo de renda média., É ótimo para carregar dispositivos com vários tipos de portas. Mas funciona melhor ao carregar um dispositivo de cad"&amp;"a vez., Bom item.")</f>
        <v>Trabalhei no iPhone 7 e não trabalhou no iPhone XR, https: //m.media-amazon.com/images/i/71qffalv9zl._sy88.jpg.look-wise, eu não gostei. Ainda assim, eu o uso para o meu trabalho., O produto é muito bom e está carregando rapidamente. Parece o último longo., A robustez dependerá da maneira de seu uso. Mas sua velocidade de carregamento é ótima. Produto muito bom para o grupo de renda média., É ótimo para carregar dispositivos com vários tipos de portas. Mas funciona melhor ao carregar um dispositivo de cada vez., Bom item.</v>
      </c>
    </row>
    <row r="481">
      <c r="A481" s="9" t="s">
        <v>1933</v>
      </c>
      <c r="B481" s="29" t="str">
        <f>VLOOKUP(dados!A481, reviews!A:G, 5, FALSE)</f>
        <v>Good maybe okay,Defective Product Delivered,Amazing Sound at Budget,Not for bass lover,Best one,Quality,Durability,Superb voice quality</v>
      </c>
      <c r="C481" s="29" t="str">
        <f>VLOOKUP(dados!A481, reviews!A:G, 6, FALSE)</f>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v>
      </c>
      <c r="D481" s="29" t="str">
        <f>IFERROR(__xludf.DUMMYFUNCTION("GOOGLETRANSLATE(B481, ""en"", ""pt-br"")"),"Bom talvez ok, produto defeituoso entregue, som incrível no orçamento, não para amante de baixo, melhor, qualidade, durabilidade, excelente qualidade de voz")</f>
        <v>Bom talvez ok, produto defeituoso entregue, som incrível no orçamento, não para amante de baixo, melhor, qualidade, durabilidade, excelente qualidade de voz</v>
      </c>
      <c r="E481" s="29" t="str">
        <f>IFERROR(__xludf.DUMMYFUNCTION("GOOGLETRANSLATE(C481, ""en"", ""pt-br"")"),"A qualidade não está marcada pelo preço pago. Outras marcas oferecem fones de ouvido de boa qualidade com menor preço. Mas, por minha experiência, nenhum dos meus fones de ouvido durou mais de 1 a 1,5 anos. Vou comprar :), eu havia comprado duas unidades "&amp;"do mesmo fone de ouvido do qual se encontrou com defeito. Desde que eu estava em viagem, não pude verificar os itens imediatamente e, com o tempo, achei o item com defeito a janela de retorno/ substituição decorrida. Recomendado Se você é um amante da mús"&amp;"ica., A qualidade do som é incrível, mas não o bassmic, está abaixo da média que sai de ouvidos se você andar rápido para o jogo, não poderá ouvir passos de inimigo -inimigo após o uso de 4,5 fones de ouvido (C100SI) Experiência de 2 anos, incrível Produt"&amp;"o .... mas resolva seu problema emaranhado, por favor, bom produto, bom, depois de 8 meses, o alto -falante lateral esquerdo não tem baixo e não é tão alto quanto o alto -falante direito., Excelente qualidade de voz")</f>
        <v>A qualidade não está marcada pelo preço pago. Outras marcas oferecem fones de ouvido de boa qualidade com menor preço. Mas, por minha experiência, nenhum dos meus fones de ouvido durou mais de 1 a 1,5 anos. Vou comprar :), eu havia comprado duas unidades do mesmo fone de ouvido do qual se encontrou com defeito. Desde que eu estava em viagem, não pude verificar os itens imediatamente e, com o tempo, achei o item com defeito a janela de retorno/ substituição decorrida. Recomendado Se você é um amante da música., A qualidade do som é incrível, mas não o bassmic, está abaixo da média que sai de ouvidos se você andar rápido para o jogo, não poderá ouvir passos de inimigo -inimigo após o uso de 4,5 fones de ouvido (C100SI) Experiência de 2 anos, incrível Produto .... mas resolva seu problema emaranhado, por favor, bom produto, bom, depois de 8 meses, o alto -falante lateral esquerdo não tem baixo e não é tão alto quanto o alto -falante direito., Excelente qualidade de voz</v>
      </c>
    </row>
    <row r="482">
      <c r="A482" s="9" t="s">
        <v>1937</v>
      </c>
      <c r="B482" s="29" t="str">
        <f>VLOOKUP(dados!A482, reviews!A:G, 5, FALSE)</f>
        <v>Only affordable Stylus that works with Apple,Product is good, but Spare disk is missing for me.,Best deal for this price,Good but improvement needed,Average, better option are available,very fast and smooth work,Precision &amp; speedy,Amazing</v>
      </c>
      <c r="C482" s="29" t="str">
        <f>VLOOKUP(dados!A482, reviews!A:G, 6, FALSE)</f>
        <v>This was a saviour for me as I didn’t want to buy expensive stylus and max dont work with Iphones. It’s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v>
      </c>
      <c r="D482" s="29" t="str">
        <f>IFERROR(__xludf.DUMMYFUNCTION("GOOGLETRANSLATE(B482, ""en"", ""pt-br"")"),"Apenas uma caneta acessível que funciona com a Apple, o produto é bom, mas está faltando o disco para mim., Melhor negócio para esse preço, bom mas melhorias necessárias, médias, melhor opção estão disponíveis, muito rápido e suave, precisão e rápida, inc"&amp;"rível")</f>
        <v>Apenas uma caneta acessível que funciona com a Apple, o produto é bom, mas está faltando o disco para mim., Melhor negócio para esse preço, bom mas melhorias necessárias, médias, melhor opção estão disponíveis, muito rápido e suave, precisão e rápida, incrível</v>
      </c>
      <c r="E482" s="29" t="str">
        <f>IFERROR(__xludf.DUMMYFUNCTION("GOOGLETRANSLATE(C482, ""en"", ""pt-br"")"),"Isso foi um salvador para mim, pois eu não queria comprar canetas caras e Max não funcionou com iPhones. Não é muito preciso, mas faz o trabalho. Eu amo isso, inesperadamente, este produto funciona muito bem. Mas quando compro isso, o disco sobressalente "&amp;"estava faltando., Este item é simples incrível para esse preço. Está indo bem sem falhas e vale a pena comprar pelo preço que a Amazon está oferecendo., Embora seja bom, mas a ponta da caneta da caneta deve ser um guarda Também tenho cor errada, pedi o Bl"&amp;"use e fico cinza, esta é uma boa caneta digital para obras de arte digital e técnicas de trabalho muito suaves usando com tanta facilidade, funciona perfeitamente no Samsung S22 Plus. Costumo usar também para edição de vídeo. Mas acho que é muito caro. Eu"&amp;" consegui por Rs. 389, incluindo taxas de entrega. Deve custar no máximo 250. 2 estrelas foram cortadas para o preço excessivo.")</f>
        <v>Isso foi um salvador para mim, pois eu não queria comprar canetas caras e Max não funcionou com iPhones. Não é muito preciso, mas faz o trabalho. Eu amo isso, inesperadamente, este produto funciona muito bem. Mas quando compro isso, o disco sobressalente estava faltando., Este item é simples incrível para esse preço. Está indo bem sem falhas e vale a pena comprar pelo preço que a Amazon está oferecendo., Embora seja bom, mas a ponta da caneta da caneta deve ser um guarda Também tenho cor errada, pedi o Bluse e fico cinza, esta é uma boa caneta digital para obras de arte digital e técnicas de trabalho muito suaves usando com tanta facilidade, funciona perfeitamente no Samsung S22 Plus. Costumo usar também para edição de vídeo. Mas acho que é muito caro. Eu consegui por Rs. 389, incluindo taxas de entrega. Deve custar no máximo 250. 2 estrelas foram cortadas para o preço excessivo.</v>
      </c>
    </row>
    <row r="483">
      <c r="A483" s="9" t="s">
        <v>1941</v>
      </c>
      <c r="B483" s="29" t="str">
        <f>VLOOKUP(dados!A483, reviews!A:G, 5, FALSE)</f>
        <v>Phone, camera, heating - works for me, may not for all,Good Mobile,Good but not excellent under this budget,Worth the price at 9499,Ok type phone... but unable to make videocall within same service provider.,Phone review,Budget king,Battery backup is good</v>
      </c>
      <c r="C483" s="29" t="str">
        <f>VLOOKUP(dados!A483, reviews!A:G,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D483" s="29" t="str">
        <f>IFERROR(__xludf.DUMMYFUNCTION("GOOGLETRANSLATE(B483, ""en"", ""pt-br"")"),"Telefone, câmera, aquecimento - funciona para mim, pode não para todos, bom celular, bom, mas não excelente sob esse orçamento, vale o preço em 9499, ok tipo telefone ... mas não consegue fazer videocall no mesmo provedor de serviços., Telefone Revisão, o"&amp;"rçamento rei, backup de bateria é bom")</f>
        <v>Telefone, câmera, aquecimento - funciona para mim, pode não para todos, bom celular, bom, mas não excelente sob esse orçamento, vale o preço em 9499, ok tipo telefone ... mas não consegue fazer videocall no mesmo provedor de serviços., Telefone Revisão, orçamento rei, backup de bateria é bom</v>
      </c>
      <c r="E483" s="29" t="str">
        <f>IFERROR(__xludf.DUMMYFUNCTION("GOOGLETRANSLATE(C483, ""en"", ""pt-br"")"),"Não sou grande uso da câmera, pessoalmente. Eu até estava mentalmente preparado para uma câmera ruim, com base em alguns comentários aqui. Mas fiquei agradavelmente surpreso que a câmera clique em boas fotos. Eles não são impressionantes, mas são fotos de"&amp;"centes que podem até ser compartilhadas. Agora, chegando ao meu maior galope; problema de aquecimento. O telefone começou a esquentar durante o carregamento, mas era apenas um pouco e eu poderia ter ignorado. Mas então começou a esquentar mais e me deixou"&amp;" muito preocupado. Eu até pedi um substituto pensando que recebi uma peça defeituosa. Mas depois, após mais testes, descobri que está aquecendo mais quando baixo grandes quantidades de dados, por exemplo, quando restaurar os dados do meu telefone antigo, "&amp;"de backup. Tudo bem comigo, pois, eu não executo enormes dados de dados regularmente, definitivamente não no telefone. Então eu testei executando tarefas que normalmente realizo, como verificação de e -mails do Office, participando da reunião do escritóri"&amp;"o por telefone, assistindo a um vídeo da Amazon Prime e assim por diante. O telefone não esquentou nem um pouco. Pessoalmente, isso é bom para mim. Nesta faixa de preço, este é um bom telefone. Mas se você é um usuário pesado da câmera e espera executar d"&amp;"ownloads pesados ​​com frequência, este telefone pode não para você. Estou pessoalmente satisfeito com este telefone, pois ele funciona para o meu tipo de uso. Não vou entrar em pontos positivos deste telefone, pois eles já estão cobertos por outras críti"&amp;"cas. Estou apenas tentando esclarecer como este telefone pode se adequar a você (ou não) em termos de câmera e aquecimento. Eu tive muitas perguntas sobre esses aspectos antes de comprar. Talvez esta revisão o ajude a tomar uma decisão informada de compra"&amp;"r (ou evitar). Cheers., Display - Beautycamera - DecentPerformance - AmazingBattery - OK (em 5000mAh, você espera mais TBH). Este telefone, mas continuarei atualizando esta revisão após 1 meses de uso!, É um celular decente sob esse preço, mas poucas cois"&amp;"as me preocuparam, o peso do telefone, muitos procedimentos para alterar algumas configurações, sem fundição de tela. Além disso, tem um bom toque, uma câmera decente para a luz do dia, a duração da bateria é boa. Comprei este smartphone para minha mãe. A"&amp;" interface Samusung é muito punhada para facilitar o uso. A bateria é excelente, o último dia inteiro. A câmera é medíocre, mas fornece imagens coloridas originais. No geral, está satisfeito com este smartphone que recebi à venda por 9499., não conseguiu "&amp;"fazer videochamadas dentro do mesmo provedor de serviços que em VoLTE no mesmo recurso de chamada de videochamada do provedor de serviços está disponível., O produto está bem. Nada chique, mas para o orçamento, é um bom telefone., Bateria: mais do que suf"&amp;"iciente para uso normal, não tenho certeza em gamingcamera: bom neste segmento, pode gravar vídeos em FHD 30fpsDisplay: como é uma tela LCD, a qualidade é um pouco menor, Mas Goodv Ram: você pode adicionar até 2 GB de RAM virtual, mas precisa sacrificar s"&amp;"eu espaço de armazenamento para usá -lo em geral um bom telefone orçamentário, a impressão digital está funcionando com o backup rápido da bateria é boa a qualidade da câmera também é boa")</f>
        <v>Não sou grande uso da câmera, pessoalmente. Eu até estava mentalmente preparado para uma câmera ruim, com base em alguns comentários aqui. Mas fiquei agradavelmente surpreso que a câmera clique em boas fotos. Eles não são impressionantes, mas são fotos decentes que podem até ser compartilhadas. Agora, chegando ao meu maior galope; problema de aquecimento. O telefone começou a esquentar durante o carregamento, mas era apenas um pouco e eu poderia ter ignorado. Mas então começou a esquentar mais e me deixou muito preocupado. Eu até pedi um substituto pensando que recebi uma peça defeituosa. Mas depois, após mais testes, descobri que está aquecendo mais quando baixo grandes quantidades de dados, por exemplo, quando restaurar os dados do meu telefone antigo, de backup. Tudo bem comigo, pois, eu não executo enormes dados de dados regularmente, definitivamente não no telefone. Então eu testei executando tarefas que normalmente realizo, como verificação de e -mails do Office, participando da reunião do escritório por telefone, assistindo a um vídeo da Amazon Prime e assim por diante. O telefone não esquentou nem um pouco. Pessoalmente, isso é bom para mim. Nesta faixa de preço, este é um bom telefone. Mas se você é um usuário pesado da câmera e espera executar downloads pesados ​​com frequência, este telefone pode não para você. Estou pessoalmente satisfeito com este telefone, pois ele funciona para o meu tipo de uso. Não vou entrar em pontos positivos deste telefone, pois eles já estão cobertos por outras críticas. Estou apenas tentando esclarecer como este telefone pode se adequar a você (ou não) em termos de câmera e aquecimento. Eu tive muitas perguntas sobre esses aspectos antes de comprar. Talvez esta revisão o ajude a tomar uma decisão informada de comprar (ou evitar). Cheers., Display - Beautycamera - DecentPerformance - AmazingBattery - OK (em 5000mAh, você espera mais TBH). Este telefone, mas continuarei atualizando esta revisão após 1 meses de uso!, É um celular decente sob esse preço, mas poucas coisas me preocuparam, o peso do telefone, muitos procedimentos para alterar algumas configurações, sem fundição de tela. Além disso, tem um bom toque, uma câmera decente para a luz do dia, a duração da bateria é boa. Comprei este smartphone para minha mãe. A interface Samusung é muito punhada para facilitar o uso. A bateria é excelente, o último dia inteiro. A câmera é medíocre, mas fornece imagens coloridas originais. No geral, está satisfeito com este smartphone que recebi à venda por 9499., não conseguiu fazer videochamadas dentro do mesmo provedor de serviços que em VoLTE no mesmo recurso de chamada de videochamada do provedor de serviços está disponível., O produto está bem. Nada chique, mas para o orçamento, é um bom telefone., Bateria: mais do que suficiente para uso normal, não tenho certeza em gamingcamera: bom neste segmento, pode gravar vídeos em FHD 30fpsDisplay: como é uma tela LCD, a qualidade é um pouco menor, Mas Goodv Ram: você pode adicionar até 2 GB de RAM virtual, mas precisa sacrificar seu espaço de armazenamento para usá -lo em geral um bom telefone orçamentário, a impressão digital está funcionando com o backup rápido da bateria é boa a qualidade da câmera também é boa</v>
      </c>
    </row>
    <row r="484">
      <c r="A484" s="9" t="s">
        <v>1943</v>
      </c>
      <c r="B484" s="29" t="str">
        <f>VLOOKUP(dados!A484, reviews!A:G, 5, FALSE)</f>
        <v>Only affordable Stylus that works with Apple,Product is good, but Spare disk is missing for me.,Best deal for this price,Good but improvement needed,Average, better option are available,very fast and smooth work,Precision &amp; speedy,Amazing</v>
      </c>
      <c r="C484" s="29" t="str">
        <f>VLOOKUP(dados!A484, reviews!A:G, 6, FALSE)</f>
        <v>This was a saviour for me as I didn’t want to buy expensive stylus and max dont work with Iphones. It’s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v>
      </c>
      <c r="D484" s="29" t="str">
        <f>IFERROR(__xludf.DUMMYFUNCTION("GOOGLETRANSLATE(B484, ""en"", ""pt-br"")"),"Apenas uma caneta acessível que funciona com a Apple, o produto é bom, mas está faltando o disco para mim., Melhor negócio para esse preço, bom mas melhorias necessárias, médias, melhor opção estão disponíveis, muito rápido e suave, precisão e rápida, inc"&amp;"rível")</f>
        <v>Apenas uma caneta acessível que funciona com a Apple, o produto é bom, mas está faltando o disco para mim., Melhor negócio para esse preço, bom mas melhorias necessárias, médias, melhor opção estão disponíveis, muito rápido e suave, precisão e rápida, incrível</v>
      </c>
      <c r="E484" s="29" t="str">
        <f>IFERROR(__xludf.DUMMYFUNCTION("GOOGLETRANSLATE(C484, ""en"", ""pt-br"")"),"Isso foi um salvador para mim, pois eu não queria comprar canetas caras e Max não funcionou com iPhones. Não é muito preciso, mas faz o trabalho. Eu amo isso, inesperadamente, este produto funciona muito bem. Mas quando compro isso, o disco sobressalente "&amp;"estava faltando., Este item é simples incrível para esse preço. Está indo bem sem falhas e vale a pena comprar pelo preço que a Amazon está oferecendo., Embora seja bom, mas a ponta da caneta da caneta deve ser um guarda Também tenho cor errada, pedi o Bl"&amp;"use e fico cinza, esta é uma boa caneta digital para obras de arte digital e técnicas de trabalho muito suaves usando com tanta facilidade, funciona perfeitamente no Samsung S22 Plus. Costumo usar também para edição de vídeo. Mas acho que é muito caro. Eu"&amp;" consegui por Rs. 389, incluindo taxas de entrega. Deve custar no máximo 250. 2 estrelas foram cortadas para o preço excessivo.")</f>
        <v>Isso foi um salvador para mim, pois eu não queria comprar canetas caras e Max não funcionou com iPhones. Não é muito preciso, mas faz o trabalho. Eu amo isso, inesperadamente, este produto funciona muito bem. Mas quando compro isso, o disco sobressalente estava faltando., Este item é simples incrível para esse preço. Está indo bem sem falhas e vale a pena comprar pelo preço que a Amazon está oferecendo., Embora seja bom, mas a ponta da caneta da caneta deve ser um guarda Também tenho cor errada, pedi o Bluse e fico cinza, esta é uma boa caneta digital para obras de arte digital e técnicas de trabalho muito suaves usando com tanta facilidade, funciona perfeitamente no Samsung S22 Plus. Costumo usar também para edição de vídeo. Mas acho que é muito caro. Eu consegui por Rs. 389, incluindo taxas de entrega. Deve custar no máximo 250. 2 estrelas foram cortadas para o preço excessivo.</v>
      </c>
    </row>
    <row r="485">
      <c r="A485" s="9" t="s">
        <v>1947</v>
      </c>
      <c r="B485" s="29" t="str">
        <f>VLOOKUP(dados!A485, reviews!A:G, 5, FALSE)</f>
        <v>Nice one,Nice 👍 I'm happy,Best buy in the reasonable price,Great product,product review MI charger!!,MI mobile charger,Top quality charger. Original MI brand. Do buy it if you need a B type charge,Good charger</v>
      </c>
      <c r="C485" s="29" t="str">
        <f>VLOOKUP(dados!A485, reviews!A:G, 6, FALSE)</f>
        <v>Ordinary,Nice pic 👍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v>
      </c>
      <c r="D485" s="29" t="str">
        <f>IFERROR(__xludf.DUMMYFUNCTION("GOOGLETRANSLATE(B485, ""en"", ""pt-br"")"),"Bom, bom 👍 Estou feliz, Best Buy no preço razoável, ótimo produto, Charger de revisão de produtos Mi !!, Mi Mobile Charger, carregador de alta qualidade. Marca Mi original. Compre se precisar de uma carga do tipo B, bom carregador")</f>
        <v>Bom, bom 👍 Estou feliz, Best Buy no preço razoável, ótimo produto, Charger de revisão de produtos Mi !!, Mi Mobile Charger, carregador de alta qualidade. Marca Mi original. Compre se precisar de uma carga do tipo B, bom carregador</v>
      </c>
      <c r="E485" s="29" t="str">
        <f>IFERROR(__xludf.DUMMYFUNCTION("GOOGLETRANSLATE(C485, ""en"", ""pt-br"")"),"Pic comum, bom 👍 Estou feliz, seu carregador Mi original, que dá um carregamento rápido e suave., Ótimo produto, estou usando -o por 2 semanas agora. Não há problemas com o produto. Estou satisfeito com o produto. Muito obrigado., Mi Mobile Chagerwire &amp; "&amp;"Adote Ki Quality and Durability Bahut acchi hai4 estrela é liye diya kyu ki cobra karta hai lakin uttna carga rápida nhi karta bt jinko se matlab nhi hii carger chahie mi -shi mi -karta bt jinko se matlab nhi hai hai charger chahie mi Companhia Ki Toh Lel"&amp;"o Lamba Chalega., Carregador de alta qualidade. Marca Mi original. Compre se precisar de um produto original do tipo B.")</f>
        <v>Pic comum, bom 👍 Estou feliz, seu carregador Mi original, que dá um carregamento rápido e suave., Ótimo produto, estou usando -o por 2 semanas agora. Não há problemas com o produto. Estou satisfeito com o produto. Muito obrigado., Mi Mobile Chagerwire &amp; Adote Ki Quality and Durability Bahut acchi hai4 estrela é liye diya kyu ki cobra karta hai lakin uttna carga rápida nhi karta bt jinko se matlab nhi hii carger chahie mi -shi mi -karta bt jinko se matlab nhi hai hai charger chahie mi Companhia Ki Toh Lelo Lamba Chalega., Carregador de alta qualidade. Marca Mi original. Compre se precisar de um produto original do tipo B.</v>
      </c>
    </row>
    <row r="486">
      <c r="A486" s="9" t="s">
        <v>1951</v>
      </c>
      <c r="B486" s="29" t="str">
        <f>VLOOKUP(dados!A486, reviews!A:G, 5, FALSE)</f>
        <v>Worth the price, expecting good performance on extended use,According to this price is value for money Good product,Good budget calling smart watch.,Just Go For It,It's good product in this range,Very Good watch in this price Range,Good Product as per the price charged,Good in budget</v>
      </c>
      <c r="C486" s="29" t="str">
        <f>VLOOKUP(dados!A486, reviews!A:G, 6, FALSE)</f>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v>
      </c>
      <c r="D486" s="29" t="str">
        <f>IFERROR(__xludf.DUMMYFUNCTION("GOOGLETRANSLATE(B486, ""en"", ""pt-br"")"),"Vale o preço, esperando um bom desempenho em uso prolongado, de acordo com esse preço, é um bom produto, bom produto, bom orçamento chamando o relógio inteligente., Basta seguir em frente, é um bom produto nesse intervalo, um bom relógio nessa faixa de pr"&amp;"eço, bom Produto conforme o preço cobrado, bom em orçamento")</f>
        <v>Vale o preço, esperando um bom desempenho em uso prolongado, de acordo com esse preço, é um bom produto, bom produto, bom orçamento chamando o relógio inteligente., Basta seguir em frente, é um bom produto nesse intervalo, um bom relógio nessa faixa de preço, bom Produto conforme o preço cobrado, bom em orçamento</v>
      </c>
      <c r="E486" s="29" t="str">
        <f>IFERROR(__xludf.DUMMYFUNCTION("GOOGLETRANSLATE(C486, ""en"", ""pt-br"")"),"Recebeu o produto hoje. A embalagem estava intacta, embora eu encontrasse o relógio não no seu lugar apropriado. Ele caiu dentro da caixa e encontrou a caixa de retenção interna danificada também. Não esperando nenhum tipo de adulteração, mas que se penso"&amp;"u em compartilhar a embalagem do produto. No geral, bom produto, compartilhará uma revisão detalhada depois de usá -lo por pelo menos por semana., Bom relógio através do fogo 🔥 boulti estou impressionado para este relógio é para que compundaLe e todos A "&amp;"marca é dada a esse recurso, estou feliz por este relógio que você dispara 🔥 boult, prós: o telefone suporta telefone e aplicativos. Tem muito cobrança. Localizador de telefone, o obturador da câmera do telefone são bons recursos. BELO PROCURAÇÃO. CONSEN"&amp;"HO: Não é uma tela cheia, a tela é menor que o relógio. Meu relógio não é alinhado central. Número limitado de rosto de relógio. Às vezes tende a chamar o número recente com um toque falso. A lista telefônica deve ser um pouco maior que 8 números. Acabei "&amp;"de comprar, então minha revisão é basicamente a primeira impressão. Vou escrever uma revisão detalhada após alguns dias de uso. Eu gosto do estilo e parece bom. Até agora, a operação de toque também é boa, é um bom produto nesse intervalo, porque eu tenho"&amp;" mais um relógio inteligente Pebble na mesma faixa de preço, mas depois de usar o Fire Boltt, é melhor. Apenas uma questão que não interrompe o anel de chamada durante o escritório ou o horário da reunião. Gostei de tudo, exceto a precisão do nível de aud"&amp;"itório e O2, mas está próximo dos níveis reais, tão médio a esse respeito. Caso contrário, é uma morte pelo dinheiro !!! Muito bom no geral., O produto é bom de acordo com o preço cobrado. Um feedback para o fornecedor para melhorar o vidro do relógio, há"&amp;" muitos arranhões dentro de um mês após o uso., Tudo é bom. Satisfeito. A seleção automática do modo esportivo não está lá. Você precisa selecionar cada modo esportivo para cada treino")</f>
        <v>Recebeu o produto hoje. A embalagem estava intacta, embora eu encontrasse o relógio não no seu lugar apropriado. Ele caiu dentro da caixa e encontrou a caixa de retenção interna danificada também. Não esperando nenhum tipo de adulteração, mas que se pensou em compartilhar a embalagem do produto. No geral, bom produto, compartilhará uma revisão detalhada depois de usá -lo por pelo menos por semana., Bom relógio através do fogo 🔥 boulti estou impressionado para este relógio é para que compundaLe e todos A marca é dada a esse recurso, estou feliz por este relógio que você dispara 🔥 boult, prós: o telefone suporta telefone e aplicativos. Tem muito cobrança. Localizador de telefone, o obturador da câmera do telefone são bons recursos. BELO PROCURAÇÃO. CONSENHO: Não é uma tela cheia, a tela é menor que o relógio. Meu relógio não é alinhado central. Número limitado de rosto de relógio. Às vezes tende a chamar o número recente com um toque falso. A lista telefônica deve ser um pouco maior que 8 números. Acabei de comprar, então minha revisão é basicamente a primeira impressão. Vou escrever uma revisão detalhada após alguns dias de uso. Eu gosto do estilo e parece bom. Até agora, a operação de toque também é boa, é um bom produto nesse intervalo, porque eu tenho mais um relógio inteligente Pebble na mesma faixa de preço, mas depois de usar o Fire Boltt, é melhor. Apenas uma questão que não interrompe o anel de chamada durante o escritório ou o horário da reunião. Gostei de tudo, exceto a precisão do nível de auditório e O2, mas está próximo dos níveis reais, tão médio a esse respeito. Caso contrário, é uma morte pelo dinheiro !!! Muito bom no geral., O produto é bom de acordo com o preço cobrado. Um feedback para o fornecedor para melhorar o vidro do relógio, há muitos arranhões dentro de um mês após o uso., Tudo é bom. Satisfeito. A seleção automática do modo esportivo não está lá. Você precisa selecionar cada modo esportivo para cada treino</v>
      </c>
    </row>
    <row r="487">
      <c r="A487" s="9" t="s">
        <v>1954</v>
      </c>
      <c r="B487" s="29" t="str">
        <f>VLOOKUP(dados!A487, reviews!A:G, 5, FALSE)</f>
        <v>Very useful,Very useful item to make your phone cables long lasting,Price can be reduced as this product is not worth for 80 rs,Value for money,It is useful,Good product,Good quality,Its good item in this money</v>
      </c>
      <c r="C487" s="29" t="str">
        <f>VLOOKUP(dados!A487, reviews!A:G, 6, FALSE)</f>
        <v>A 10bucks piece can save cable worth hundreds. Totally recommend,I just received it and applied on my iphone related cables and connectors. Specially, apple accessories are not that sturdy and doesn’t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v>
      </c>
      <c r="D487" s="29" t="str">
        <f>IFERROR(__xludf.DUMMYFUNCTION("GOOGLETRANSLATE(B487, ""en"", ""pt-br"")"),"Item muito útil e muito útil para tornar seus cabos de telefone duradouros, o preço pode ser reduzido, pois este produto não vale para 80 Rs, valor ao dinheiro, é útil, bom produto, boa qualidade, seu bom item neste dinheiro")</f>
        <v>Item muito útil e muito útil para tornar seus cabos de telefone duradouros, o preço pode ser reduzido, pois este produto não vale para 80 Rs, valor ao dinheiro, é útil, bom produto, boa qualidade, seu bom item neste dinheiro</v>
      </c>
      <c r="E487" s="29" t="str">
        <f>IFERROR(__xludf.DUMMYFUNCTION("GOOGLETRANSLATE(C487, ""en"", ""pt-br"")"),"Uma peça de 10bucks pode salvar o cabo no valor de centenas. Recomendo totalmente, acabei de receber e aplicar em meus cabos e conectores relacionados ao iPhone. Especialmente, os acessórios da Apple não são tão robustos e não dura muito devido a quebra n"&amp;"os pontos finais devido ao desgaste. desgaste e lágrimas. Também se aplicaram em fones de ouvido. Estará vigiando o período se realmente aumentar a vida dos cabos. Agora, sentindo -se bem com esse produto útil. O preço é alto, você pode optar por isso., É"&amp;" útil. Depois de usá -lo, a durabilidade do cabo é boa., Produto muito bom Ele definitivamente protege seu cabo, ele realmente não protege o cabo se o cabo estiver começando a se desgastar. Você precisa usar isso antes que o cabo comece a se desgastar. Fu"&amp;"nciona apenas se o cabo for grosso o suficiente. Mas boa qualidade geral., Bom")</f>
        <v>Uma peça de 10bucks pode salvar o cabo no valor de centenas. Recomendo totalmente, acabei de receber e aplicar em meus cabos e conectores relacionados ao iPhone. Especialmente, os acessórios da Apple não são tão robustos e não dura muito devido a quebra nos pontos finais devido ao desgaste. desgaste e lágrimas. Também se aplicaram em fones de ouvido. Estará vigiando o período se realmente aumentar a vida dos cabos. Agora, sentindo -se bem com esse produto útil. O preço é alto, você pode optar por isso., É útil. Depois de usá -lo, a durabilidade do cabo é boa., Produto muito bom Ele definitivamente protege seu cabo, ele realmente não protege o cabo se o cabo estiver começando a se desgastar. Você precisa usar isso antes que o cabo comece a se desgastar. Funciona apenas se o cabo for grosso o suficiente. Mas boa qualidade geral., Bom</v>
      </c>
    </row>
    <row r="488">
      <c r="A488" s="9" t="s">
        <v>1958</v>
      </c>
      <c r="B488" s="29" t="str">
        <f>VLOOKUP(dados!A488, reviews!A:G, 5, FALSE)</f>
        <v>Worked on iPhone 7 and didn’t work on XR,Good one,Dull Physical Looks,Just Buy it,Go for it,About the product,Get charging cable at the price,Working well.</v>
      </c>
      <c r="C488" s="29" t="str">
        <f>VLOOKUP(dados!A488, reviews!A:G, 6, FALSE)</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D488" s="29" t="str">
        <f>IFERROR(__xludf.DUMMYFUNCTION("GOOGLETRANSLATE(B488, ""en"", ""pt-br"")"),"Trabalhou no iPhone 7 e não trabalhou no XR, bom, looks físicos sem graça, basta comprá -lo, seguir em frente, sobre o produto, obter o cabo de carregamento pelo preço, funcionando bem.")</f>
        <v>Trabalhou no iPhone 7 e não trabalhou no XR, bom, looks físicos sem graça, basta comprá -lo, seguir em frente, sobre o produto, obter o cabo de carregamento pelo preço, funcionando bem.</v>
      </c>
      <c r="E488" s="29" t="str">
        <f>IFERROR(__xludf.DUMMYFUNCTION("GOOGLETRANSLATE(C488, ""en"", ""pt-br"")"),"Trabalhei no iPhone 7 e não trabalhou no iPhone XR, https: //m.media-amazon.com/images/i/71qffalv9zl._sy88.jpg.look-wise, eu não gostei. Ainda assim, eu o uso para o meu trabalho., O produto é muito bom e está carregando rapidamente. Parece o último longo"&amp;"., A robustez dependerá da maneira de seu uso. Mas sua velocidade de carregamento é ótima. Produto muito bom para o grupo de renda média., É ótimo para carregar dispositivos com vários tipos de portas. Mas funciona melhor ao carregar um dispositivo de cad"&amp;"a vez., Bom item.")</f>
        <v>Trabalhei no iPhone 7 e não trabalhou no iPhone XR, https: //m.media-amazon.com/images/i/71qffalv9zl._sy88.jpg.look-wise, eu não gostei. Ainda assim, eu o uso para o meu trabalho., O produto é muito bom e está carregando rapidamente. Parece o último longo., A robustez dependerá da maneira de seu uso. Mas sua velocidade de carregamento é ótima. Produto muito bom para o grupo de renda média., É ótimo para carregar dispositivos com vários tipos de portas. Mas funciona melhor ao carregar um dispositivo de cada vez., Bom item.</v>
      </c>
    </row>
    <row r="489">
      <c r="A489" s="9" t="s">
        <v>1961</v>
      </c>
      <c r="B489" s="29" t="str">
        <f>VLOOKUP(dados!A489, reviews!A:G, 5, FALSE)</f>
        <v>Tap to wake up issue,Such a amazing watch.use full gestures.,Great but hand wash screen off problem,Restart problem,Nice Product. Go for it.,Super Smooth Experience,Don't buy. Keeps restarting everytime a call arrives.,Highly recommended</v>
      </c>
      <c r="C489" s="29" t="str">
        <f>VLOOKUP(dados!A489, reviews!A:G, 6, FALSE)</f>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v>
      </c>
      <c r="D489" s="29" t="str">
        <f>IFERROR(__xludf.DUMMYFUNCTION("GOOGLETRANSLATE(B489, ""en"", ""pt-br"")"),"Toque para acordar a edição, um relógio tão incrível. Use gestos completos., Excelente, mas a tela de lavagem manual desligar o problema, reiniciar o problema, um bom produto. Vá em frente., Experiência super suave, não compre. Continua reiniciando toda v"&amp;"ez que uma ligação chega., Altamente recomendado")</f>
        <v>Toque para acordar a edição, um relógio tão incrível. Use gestos completos., Excelente, mas a tela de lavagem manual desligar o problema, reiniciar o problema, um bom produto. Vá em frente., Experiência super suave, não compre. Continua reiniciando toda vez que uma ligação chega., Altamente recomendado</v>
      </c>
      <c r="E489" s="29" t="str">
        <f>IFERROR(__xludf.DUMMYFUNCTION("GOOGLETRANSLATE(C489, ""en"", ""pt-br"")"),"Às vezes, toque para acordar o trabalho da tela. Pouco atraso na tela de toque., Https: //m.media-amazon.com/images/i/81rap1kgbrl._sy88.jpg,nice Produtos, mas a tela de lavagem de mão fora do problema de iniciar o problema, o problema de reinicialização a"&amp;"utomática, pela primeira vez, Eu comprei um smartwatch. Vi muitos relógios inteligentes nos últimos 3-4 meses. Vi muitas marcas com preços variando de Rs. 1999/- para Rs. 17999/-. Isso foi lançado muito recentemente.Pros: -Cite Nice Product. Comprei para "&amp;"Rs. 3799/-. Tela AMOLED- Brilho suficiente. escreverá após algumas semanas. ,,,")</f>
        <v>Às vezes, toque para acordar o trabalho da tela. Pouco atraso na tela de toque., Https: //m.media-amazon.com/images/i/81rap1kgbrl._sy88.jpg,nice Produtos, mas a tela de lavagem de mão fora do problema de iniciar o problema, o problema de reinicialização automática, pela primeira vez, Eu comprei um smartwatch. Vi muitos relógios inteligentes nos últimos 3-4 meses. Vi muitas marcas com preços variando de Rs. 1999/- para Rs. 17999/-. Isso foi lançado muito recentemente.Pros: -Cite Nice Product. Comprei para Rs. 3799/-. Tela AMOLED- Brilho suficiente. escreverá após algumas semanas. ,,,</v>
      </c>
    </row>
    <row r="490">
      <c r="A490" s="9" t="s">
        <v>1965</v>
      </c>
      <c r="B490" s="29" t="str">
        <f>VLOOKUP(dados!A490, reviews!A:G, 5, FALSE)</f>
        <v>Handsfree!,Recommended,Good product,It's heavy and stable.Good product but can't change as given in photo.,Good and Sturdy Smartphone Stand,Good and Sturdy,Ok,good</v>
      </c>
      <c r="C490" s="29" t="str">
        <f>VLOOKUP(dados!A490, reviews!A:G, 6, FALSE)</f>
        <v>Amazing product. Very useful too.,A good product.,Good value for money, bought it for 89rs. If height was 1”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v>
      </c>
      <c r="D490" s="29" t="str">
        <f>IFERROR(__xludf.DUMMYFUNCTION("GOOGLETRANSLATE(B490, ""en"", ""pt-br"")"),"HandsFree!, Recomendado, bom produto, é pesado e estável.")</f>
        <v>HandsFree!, Recomendado, bom produto, é pesado e estável.</v>
      </c>
      <c r="E490" s="29" t="str">
        <f>IFERROR(__xludf.DUMMYFUNCTION("GOOGLETRANSLATE(C490, ""en"", ""pt-br"")"),"Produto incrível. Muito útil também., Um bom produto., Boa relação custo / benefício comprou por 89rs. Se a altura fosse de 1 ”mais seria ótima, é pesado e estável. Bom produto, mas não pode mudar como dado na foto porque o espaço é muito baixo próximo à "&amp;"base., Adorei a qualidade de construção desse suporte nesse preço. A estabilidade é muito boa e segura meu telefone, mesmo com uma caixa espessa corretamente. Existe apenas uma desvantagem. Ao conectar o cabo de carregamento ao seu telefone no modo retrat"&amp;"o, o cabo se dobra bruscamente à medida que o suporte é bastante baixo. Mas eu coloco na caixa em que o estande entrou e funciona para mim. Portanto, não há problema para mim. Produto de valor para dinheiro., Qualidade se o produto for muito bom. Já faz u"&amp;"m tempo desde que estou usando isso. Sturdy também. Totalmente vale o dinheiro., OK, bom")</f>
        <v>Produto incrível. Muito útil também., Um bom produto., Boa relação custo / benefício comprou por 89rs. Se a altura fosse de 1 ”mais seria ótima, é pesado e estável. Bom produto, mas não pode mudar como dado na foto porque o espaço é muito baixo próximo à base., Adorei a qualidade de construção desse suporte nesse preço. A estabilidade é muito boa e segura meu telefone, mesmo com uma caixa espessa corretamente. Existe apenas uma desvantagem. Ao conectar o cabo de carregamento ao seu telefone no modo retrato, o cabo se dobra bruscamente à medida que o suporte é bastante baixo. Mas eu coloco na caixa em que o estande entrou e funciona para mim. Portanto, não há problema para mim. Produto de valor para dinheiro., Qualidade se o produto for muito bom. Já faz um tempo desde que estou usando isso. Sturdy também. Totalmente vale o dinheiro., OK, bom</v>
      </c>
    </row>
    <row r="491">
      <c r="A491" s="9" t="s">
        <v>1969</v>
      </c>
      <c r="B491" s="29" t="str">
        <f>VLOOKUP(dados!A491, reviews!A:G, 5, FALSE)</f>
        <v>Above average phone,Worth For The Money 💰,Okie,Phone is excellent,Purchased in good budget at 12k,It can fulfill basic needs in affordable price range,Nice,About features</v>
      </c>
      <c r="C491" s="29" t="str">
        <f>VLOOKUP(dados!A491, reviews!A:G, 6, FALSE)</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c r="D491" s="29" t="str">
        <f>IFERROR(__xludf.DUMMYFUNCTION("GOOGLETRANSLATE(B491, ""en"", ""pt-br"")"),"Telefone acima da média, que vale o dinheiro 💰, okie, o telefone é excelente, comprado com bom orçamento a 12k, pode atender às necessidades básicas em faixa de preço acessível, agradável, sobre recursos")</f>
        <v>Telefone acima da média, que vale o dinheiro 💰, okie, o telefone é excelente, comprado com bom orçamento a 12k, pode atender às necessidades básicas em faixa de preço acessível, agradável, sobre recursos</v>
      </c>
      <c r="E491" s="29" t="str">
        <f>IFERROR(__xludf.DUMMYFUNCTION("GOOGLETRANSLATE(C491, ""en"", ""pt-br"")"),"Comprei a variante de 6/128 GB. Para resumir para prós e contras. A qualidade da tela é boa com pouco tom de cor impulsionado. O novo processador é muito suave e responsivo. A qualidade do alto -falante é boa sem muito agudo. A câmera é boa para selfie e "&amp;"o desempenho da câmera principal está acima da média com menos ruído. A câmera na frente é pequena, portanto o entalhe não é distraído ao reproduzir vídeos.CONS: -1.Main Camera lutas após o zoom 3x. E a performance de vídeo da câmera frontal é inferior ao"&amp;" estoque de fotos de selfie.2. O carregador de 18 watts levou 1HR30 minutos para cobrar 80% do telefone. A velocidade de carregamento não é economizando tempo para esta grande bateria., Bom sob esse preço ..! Um dos melhores telefones Android da Vivo 💚, "&amp;"é super bom para uso normal, a câmera é boa para o normal, está funcionando bem e sem problemas. IQOO, fornecendo dispositivos de qualidade em comparação com outras marcas, a qualidade da câmera não é tão alta, uma relação custo / benefício, o telefone é "&amp;"muito útil e a bateria também é boa. A qualidade do telefone é boa.")</f>
        <v>Comprei a variante de 6/128 GB. Para resumir para prós e contras. A qualidade da tela é boa com pouco tom de cor impulsionado. O novo processador é muito suave e responsivo. A qualidade do alto -falante é boa sem muito agudo. A câmera é boa para selfie e o desempenho da câmera principal está acima da média com menos ruído. A câmera na frente é pequena, portanto o entalhe não é distraído ao reproduzir vídeos.CONS: -1.Main Camera lutas após o zoom 3x. E a performance de vídeo da câmera frontal é inferior ao estoque de fotos de selfie.2. O carregador de 18 watts levou 1HR30 minutos para cobrar 80% do telefone. A velocidade de carregamento não é economizando tempo para esta grande bateria., Bom sob esse preço ..! Um dos melhores telefones Android da Vivo 💚, é super bom para uso normal, a câmera é boa para o normal, está funcionando bem e sem problemas. IQOO, fornecendo dispositivos de qualidade em comparação com outras marcas, a qualidade da câmera não é tão alta, uma relação custo / benefício, o telefone é muito útil e a bateria também é boa. A qualidade do telefone é boa.</v>
      </c>
    </row>
    <row r="492">
      <c r="A492" s="9" t="s">
        <v>1972</v>
      </c>
      <c r="B492" s="29" t="str">
        <f>VLOOKUP(dados!A492, reviews!A:G, 5, FALSE)</f>
        <v>Nice phone,15 day review,Extent,Awesome phone, recommend to buy it.,its all okay,Design,Good,Worth it</v>
      </c>
      <c r="C492" s="29" t="str">
        <f>VLOOKUP(dados!A492, reviews!A:G, 6, FALSE)</f>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v>
      </c>
      <c r="D492" s="29" t="str">
        <f>IFERROR(__xludf.DUMMYFUNCTION("GOOGLETRANSLATE(B492, ""en"", ""pt-br"")"),"Bom telefone, revisão de 15 dias, extensão, telefone incrível, recomendo comprá -lo. Está tudo bem, design, bom, vale a pena")</f>
        <v>Bom telefone, revisão de 15 dias, extensão, telefone incrível, recomendo comprá -lo. Está tudo bem, design, bom, vale a pena</v>
      </c>
      <c r="E492" s="29" t="str">
        <f>IFERROR(__xludf.DUMMYFUNCTION("GOOGLETRANSLATE(C492, ""en"", ""pt-br"")"),"No geral, é um bom telefone a esse preço, é um bom telefone para seus pais. De você é um usuário pesado, então não considere este telefone.Cons: -1. Carregamento lento (este telefone geralmente leva cerca de 2 horas para carga total) 2. Nos dias iniciais,"&amp;" você ficará impressionado com o consumo de bateria, ou seja, ele roda 1,5 a 2 dias após o carregamento apenas uma vez, mas depois de alguns dias volta ao Normal3. Você não receberá recursos como câmera lenta etc. etc. Nesta faixa de preço, você pode obte"&amp;"r esses recursos em outros telefones ou variantes do mi é minha revisão de 15 dias, portanto, não experimentei todos os recursos do telefone voltará logo após usá -lo há meses, Extensão, telefone impressionante, recomendo comprá-lo., Está tudo bem, https:"&amp;" //m.media-amazon.com/images/i/513nl6zji4l._sy88.jpg,nice, mais telefone 5g em preço barato")</f>
        <v>No geral, é um bom telefone a esse preço, é um bom telefone para seus pais. De você é um usuário pesado, então não considere este telefone.Cons: -1. Carregamento lento (este telefone geralmente leva cerca de 2 horas para carga total) 2. Nos dias iniciais, você ficará impressionado com o consumo de bateria, ou seja, ele roda 1,5 a 2 dias após o carregamento apenas uma vez, mas depois de alguns dias volta ao Normal3. Você não receberá recursos como câmera lenta etc. etc. Nesta faixa de preço, você pode obter esses recursos em outros telefones ou variantes do mi é minha revisão de 15 dias, portanto, não experimentei todos os recursos do telefone voltará logo após usá -lo há meses, Extensão, telefone impressionante, recomendo comprá-lo., Está tudo bem, https: //m.media-amazon.com/images/i/513nl6zji4l._sy88.jpg,nice, mais telefone 5g em preço barato</v>
      </c>
    </row>
    <row r="493">
      <c r="A493" s="9" t="s">
        <v>1976</v>
      </c>
      <c r="B493" s="29" t="str">
        <f>VLOOKUP(dados!A493, reviews!A:G, 5, FALSE)</f>
        <v>Best for this price,Nice starter smartwatch,Work,Very light weight watch,Smart watch,Good looking,Super,Good</v>
      </c>
      <c r="C493" s="29" t="str">
        <f>VLOOKUP(dados!A493, reviews!A:G, 6, FALSE)</f>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v>
      </c>
      <c r="D493" s="29" t="str">
        <f>IFERROR(__xludf.DUMMYFUNCTION("GOOGLETRANSLATE(B493, ""en"", ""pt-br"")"),"Melhor para esse preço, bom smartwatch, trabalho, relógio muito leve, relógio inteligente, bonito, super, bom")</f>
        <v>Melhor para esse preço, bom smartwatch, trabalho, relógio muito leve, relógio inteligente, bonito, super, bom</v>
      </c>
      <c r="E493" s="29" t="str">
        <f>IFERROR(__xludf.DUMMYFUNCTION("GOOGLETRANSLATE(C493, ""en"", ""pt-br"")"),"O relógio é bom, o aplicativo é muito ruim, sem integração do Google Fit ou algo assim, o rosto de assumir é quase personalizável, não sei por que eles usaram o novo aplicativo Prime Fit Prime com ele, o aplicativo é muito falhado. Se você quiser Este rel"&amp;"ógio para ligar, vá em frente, caso contrário, não, espero que eles tornem este relógio compatível com o app de ruído real. Para a faixa de preço. Comprei para o meu filho e ele está muito feliz. Pode emparelhar com um telefone e fazer e receber chamadas."&amp;" Bom interface do usuário, ótimos rostos de relógio, a contagem de etapas parece ser bastante precisa. Em suma, uma boa compra., Apenas trabalhe como um relógio inteligente., É muito leve com todos os recursos adicionais. A duração da bateria é máxima de "&amp;"1,5 dia.")</f>
        <v>O relógio é bom, o aplicativo é muito ruim, sem integração do Google Fit ou algo assim, o rosto de assumir é quase personalizável, não sei por que eles usaram o novo aplicativo Prime Fit Prime com ele, o aplicativo é muito falhado. Se você quiser Este relógio para ligar, vá em frente, caso contrário, não, espero que eles tornem este relógio compatível com o app de ruído real. Para a faixa de preço. Comprei para o meu filho e ele está muito feliz. Pode emparelhar com um telefone e fazer e receber chamadas. Bom interface do usuário, ótimos rostos de relógio, a contagem de etapas parece ser bastante precisa. Em suma, uma boa compra., Apenas trabalhe como um relógio inteligente., É muito leve com todos os recursos adicionais. A duração da bateria é máxima de 1,5 dia.</v>
      </c>
    </row>
    <row r="494">
      <c r="A494" s="9" t="s">
        <v>1980</v>
      </c>
      <c r="B494" s="29" t="str">
        <f>VLOOKUP(dados!A494, reviews!A:G, 5, FALSE)</f>
        <v>just a watch not smart one... all features are to make fool of  you,Worst watch, connecting problem with phone nd automatically disconnecting from phone.,Very good quality of product and price is very low.,Good,ভালো,Damaged product supplied later on exchanged,Battery life less.,Amezing</v>
      </c>
      <c r="C494" s="29" t="str">
        <f>VLOOKUP(dados!A494, reviews!A:G, 6, FALSE)</f>
        <v>just a watch not smart one... all features are to make fool of  you,Worst watch,  connecting problem with phone nd automatically disconnecting from phone,Very good quality of product and price is very low.Very good,,ভালো ঘড়ি টা।,Dislike,After use of 2 months observed battery life is getting only one day max with only normal usage with out audio.Ok for regular usage,Superb</v>
      </c>
      <c r="D494" s="29" t="str">
        <f>IFERROR(__xludf.DUMMYFUNCTION("GOOGLETRANSLATE(B494, ""en"", ""pt-br"")"),"Apenas um relógio não é inteligente ... todos os recursos são fazer de você, o pior relógio, conectando o problema com o telefone e desconectando automaticamente do telefone., muito boa qualidade de produto e preço é muito baixo., bom, ভালো, produto danif"&amp;"icado fornecido mais tarde na troca, a duração da bateria menos., Amezing")</f>
        <v>Apenas um relógio não é inteligente ... todos os recursos são fazer de você, o pior relógio, conectando o problema com o telefone e desconectando automaticamente do telefone., muito boa qualidade de produto e preço é muito baixo., bom, ভালো, produto danificado fornecido mais tarde na troca, a duração da bateria menos., Amezing</v>
      </c>
      <c r="E494" s="29" t="str">
        <f>IFERROR(__xludf.DUMMYFUNCTION("GOOGLETRANSLATE(C494, ""en"", ""pt-br"")"),"Apenas um relógio não é inteligente ... Todos os recursos são fazer de você, o pior relógio, conectando problemas com telefone e desconectando automaticamente do telefone, muito boa qualidade de produto e preço é muito baixa. Muito bom ,, ভালো টা।। , Anti"&amp;"patia, após o uso de 2 meses observados, a duração da bateria está ficando apenas um dia no máximo com apenas uso normal sem áudio.ok para uso regular, excelente")</f>
        <v>Apenas um relógio não é inteligente ... Todos os recursos são fazer de você, o pior relógio, conectando problemas com telefone e desconectando automaticamente do telefone, muito boa qualidade de produto e preço é muito baixa. Muito bom ,, ভালো টা।। , Antipatia, após o uso de 2 meses observados, a duração da bateria está ficando apenas um dia no máximo com apenas uso normal sem áudio.ok para uso regular, excelente</v>
      </c>
    </row>
    <row r="495">
      <c r="A495" s="9" t="s">
        <v>1984</v>
      </c>
      <c r="B495" s="29" t="str">
        <f>VLOOKUP(dados!A495, reviews!A:G, 5, FALSE)</f>
        <v>No vacuum suction, so it works,Not bad!,Good build quality,Fitment in AC vent bit of a issue,Gets the job done!,good,Good,Nice one</v>
      </c>
      <c r="C495" s="29" t="str">
        <f>VLOOKUP(dados!A495, reviews!A:G, 6, FALSE)</f>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v>
      </c>
      <c r="D495" s="29" t="str">
        <f>IFERROR(__xludf.DUMMYFUNCTION("GOOGLETRANSLATE(B495, ""en"", ""pt-br"")"),"Sem sucção a vácuo, então funciona, não é ruim!, Boa qualidade de construção, ajuste em um problema de ventilação, faz o trabalho!, Bom, bom, bom")</f>
        <v>Sem sucção a vácuo, então funciona, não é ruim!, Boa qualidade de construção, ajuste em um problema de ventilação, faz o trabalho!, Bom, bom, bom</v>
      </c>
      <c r="E495" s="29" t="str">
        <f>IFERROR(__xludf.DUMMYFUNCTION("GOOGLETRANSLATE(C495, ""en"", ""pt-br"")"),"Isso funciona apertando o AC. Ele se mantém de robustez e menor bloco no fluxo CA não é de muita consequência. O grampo do telefone é carregado na mola e acomoda todos os tamanhos de telefone. A maioria dos suportes que trabalha na sucção não se mantém no"&amp;" vidro. Eles caem enquanto dirigem. Poderia levar a acidentes., Bom produto, mas não funcionou para mim, pois não conseguiu segurar o peso do meu moto G60. O mecanismo de grampo foi ótimo. Eu amei! Mas o clipe traseiro que entra na ventilação CA estava so"&amp;"lto e continuou se movendo. Também a fechadura que aperta o clipe traseiro foi média., Recebida hoje. O produto é de boa qualidade de construção. Dá uma sensação de produto premium. Não o usado, portanto, não posso dizer sobre functinalidade., O produto é"&amp;" bom, mas a ajuste no ventilador CA com o telefone celular colocado no suporte aumenta o peso, o que não é desejável, de boa qualidade nessa faixa de preço. No entanto, ele bloqueará sua ventilação CA. Fácil de montar e desmontar seu telefone. Muito resis"&amp;"tente, embora não seja perfeito. Foi capaz de manter sua compostura mesmo em estradas ruins. Publicará a revisão de longo prazo após alguns meses. Mas até agora tudo bem!, Bom, bom produto, estou satisfeito com meu produto")</f>
        <v>Isso funciona apertando o AC. Ele se mantém de robustez e menor bloco no fluxo CA não é de muita consequência. O grampo do telefone é carregado na mola e acomoda todos os tamanhos de telefone. A maioria dos suportes que trabalha na sucção não se mantém no vidro. Eles caem enquanto dirigem. Poderia levar a acidentes., Bom produto, mas não funcionou para mim, pois não conseguiu segurar o peso do meu moto G60. O mecanismo de grampo foi ótimo. Eu amei! Mas o clipe traseiro que entra na ventilação CA estava solto e continuou se movendo. Também a fechadura que aperta o clipe traseiro foi média., Recebida hoje. O produto é de boa qualidade de construção. Dá uma sensação de produto premium. Não o usado, portanto, não posso dizer sobre functinalidade., O produto é bom, mas a ajuste no ventilador CA com o telefone celular colocado no suporte aumenta o peso, o que não é desejável, de boa qualidade nessa faixa de preço. No entanto, ele bloqueará sua ventilação CA. Fácil de montar e desmontar seu telefone. Muito resistente, embora não seja perfeito. Foi capaz de manter sua compostura mesmo em estradas ruins. Publicará a revisão de longo prazo após alguns meses. Mas até agora tudo bem!, Bom, bom produto, estou satisfeito com meu produto</v>
      </c>
    </row>
    <row r="496">
      <c r="A496" s="9" t="s">
        <v>1988</v>
      </c>
      <c r="B496" s="29" t="str">
        <f>VLOOKUP(dados!A496, reviews!A:G, 5, FALSE)</f>
        <v>The space between the ports is very less. Engineering defect.,good,Heating issue,Good,A smart product.,Awesome,Good one,Good</v>
      </c>
      <c r="C496" s="29" t="str">
        <f>VLOOKUP(dados!A496, reviews!A:G, 6, FALSE)</f>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v>
      </c>
      <c r="D496" s="29" t="str">
        <f>IFERROR(__xludf.DUMMYFUNCTION("GOOGLETRANSLATE(B496, ""en"", ""pt-br"")"),"O espaço entre as portas é muito menor. Defeito de engenharia., Bom, problema de aquecimento, bom, um produto inteligente., Incrível, bom, bom")</f>
        <v>O espaço entre as portas é muito menor. Defeito de engenharia., Bom, problema de aquecimento, bom, um produto inteligente., Incrível, bom, bom</v>
      </c>
      <c r="E496" s="29" t="str">
        <f>IFERROR(__xludf.DUMMYFUNCTION("GOOGLETRANSLATE(C496, ""en"", ""pt-br"")"),"Parece resistente, mas deve haver mais espaço entre as portas. Ajustar dois cabos é um desafio. Bate no propósito. Um grave defeito de engenharia., Bom, o adaptador aquece ao carregar por mais de 30 minutos!, Power pequeno, sem peso e fácil de transportar"&amp;" é bom, não supar rápido, mas os tipos OK, https: //m.media-amazon.com/images /I/61nillfuz+l._sy88.jpg,awesome, bom, valor pelo dinheiro. Bitsing aquecendo, bom para carregar.")</f>
        <v>Parece resistente, mas deve haver mais espaço entre as portas. Ajustar dois cabos é um desafio. Bate no propósito. Um grave defeito de engenharia., Bom, o adaptador aquece ao carregar por mais de 30 minutos!, Power pequeno, sem peso e fácil de transportar é bom, não supar rápido, mas os tipos OK, https: //m.media-amazon.com/images /I/61nillfuz+l._sy88.jpg,awesome, bom, valor pelo dinheiro. Bitsing aquecendo, bom para carregar.</v>
      </c>
    </row>
    <row r="497">
      <c r="A497" s="9" t="s">
        <v>1992</v>
      </c>
      <c r="B497" s="29" t="str">
        <f>VLOOKUP(dados!A497, reviews!A:G, 5, FALSE)</f>
        <v>It's pretty decent,Friendly product,I love its design btw it's a descent watch .,Excellent👍💯,The Blue color is worst. BUY RED ONE,Design very good,Its worth it,Very nice</v>
      </c>
      <c r="C497" s="29" t="str">
        <f>VLOOKUP(dados!A497, reviews!A:G, 6, FALSE)</f>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👍,Super,https://m.media-amazon.com/images/I/615xQV8mNDL._SY88.jpg,Amazing look,Screen refresh rate is bit low ,but a great product for this price !,Best product</v>
      </c>
      <c r="D497" s="29" t="str">
        <f>IFERROR(__xludf.DUMMYFUNCTION("GOOGLETRANSLATE(B497, ""en"", ""pt-br"")"),"É um produto bastante decente e amigável, eu amo seu design, é um relógio descendente., Excelente👍💯, a cor azul é pior. Compre um vermelho, design muito bom, vale a pena, muito bom")</f>
        <v>É um produto bastante decente e amigável, eu amo seu design, é um relógio descendente., Excelente👍💯, a cor azul é pior. Compre um vermelho, design muito bom, vale a pena, muito bom</v>
      </c>
      <c r="E497" s="29" t="str">
        <f>IFERROR(__xludf.DUMMYFUNCTION("GOOGLETRANSLATE(C497, ""en"", ""pt-br"")"),"Consegui por 1499 e acho que, por esse preço, é bom o suficiente. Não compre se você o estiver comprando por esse preço. Se você só quer experimentar um relógio inteligente, isso é muito bom. Mas se você estiver esperando muitos recursos, vá para um mais "&amp;"caro. Pelo menos para este relógio, você não tem muitos recursos e precisa usar seu telefone para configurar a maioria das coisas (como alertas e notificações, não perturbar o modo e até alarmes também !!) além disso, Sua resposta ao toque é bastante dece"&amp;"nte, tem caras de relógio agradáveis ​​(você também pode fazer o seu próprio) e a bateria é duradoura (pelo menos para o meu uso, dura mais de 10 dias). Também observe que o pulso não é preto, É cinza escuro. Mas o mostrador é preto, este item é a melhor "&amp;"qualidade. O preço é muito valioso. A qualidade geral deste produto é muito boa. Eu recomendo comprar este item. O design deste relógio é realmente bom ... Eu tenho isso em 1499 na Amazon Sale e é realmente uma relação custo/benefício 👍, super, https: //"&amp;"m.media-amazon.com/ imagens/i/615xqv8mndl._sy88.jpg, aparência incrível, taxa de atualização da tela é um pouco baixa, mas um ótimo produto para este preço!, Melhor produto")</f>
        <v>Consegui por 1499 e acho que, por esse preço, é bom o suficiente. Não compre se você o estiver comprando por esse preço. Se você só quer experimentar um relógio inteligente, isso é muito bom. Mas se você estiver esperando muitos recursos, vá para um mais caro. Pelo menos para este relógio, você não tem muitos recursos e precisa usar seu telefone para configurar a maioria das coisas (como alertas e notificações, não perturbar o modo e até alarmes também !!) além disso, Sua resposta ao toque é bastante decente, tem caras de relógio agradáveis ​​(você também pode fazer o seu próprio) e a bateria é duradoura (pelo menos para o meu uso, dura mais de 10 dias). Também observe que o pulso não é preto, É cinza escuro. Mas o mostrador é preto, este item é a melhor qualidade. O preço é muito valioso. A qualidade geral deste produto é muito boa. Eu recomendo comprar este item. O design deste relógio é realmente bom ... Eu tenho isso em 1499 na Amazon Sale e é realmente uma relação custo/benefício 👍, super, https: //m.media-amazon.com/ imagens/i/615xqv8mndl._sy88.jpg, aparência incrível, taxa de atualização da tela é um pouco baixa, mas um ótimo produto para este preço!, Melhor produto</v>
      </c>
    </row>
    <row r="498">
      <c r="A498" s="9" t="s">
        <v>1996</v>
      </c>
      <c r="B498" s="29" t="str">
        <f>VLOOKUP(dados!A498, reviews!A:G, 5, FALSE)</f>
        <v>Ideal Product,Ok,उपयोगी एवं संतोषजनक,Ok in this price range,Battery,It is a good watch,Nice watch,Average</v>
      </c>
      <c r="C498" s="29" t="str">
        <f>VLOOKUP(dados!A498, reviews!A:G, 6, FALSE)</f>
        <v>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v>
      </c>
      <c r="D498" s="29" t="str">
        <f>IFERROR(__xludf.DUMMYFUNCTION("GOOGLETRANSLATE(B498, ""en"", ""pt-br"")"),"Produto ideal, OK, उपयोगी एवं संतोषजनक, OK nessa faixa de preço, bateria, é um bom relógio, bom relógio, média")</f>
        <v>Produto ideal, OK, उपयोगी एवं संतोषजनक, OK nessa faixa de preço, bateria, é um bom relógio, bom relógio, média</v>
      </c>
      <c r="E498" s="29" t="str">
        <f>IFERROR(__xludf.DUMMYFUNCTION("GOOGLETRANSLATE(C498, ""en"", ""pt-br"")"),"Esta foi realmente uma compra ideal. Bom desempenho, bom construído, até a funcionalidade Mark a esse preço. Estável e resistente. Recomendar. 👍🏻👍🏻👍🏻, parece ok, हार्ट marca एवं ऑक्सीजन, bom para usuários normais ..... não para usuários pesados ​​co"&amp;"mo atividades diárias ..... boa aparência ... o aplicativo não está funcionando corretamente algumas vezes , A energia da bateria é incrível 👍🏻, é um bom relógio, mas a cinta sempre sai, bom relógio, não tão especial, mas média nesse preço")</f>
        <v>Esta foi realmente uma compra ideal. Bom desempenho, bom construído, até a funcionalidade Mark a esse preço. Estável e resistente. Recomendar. 👍🏻👍🏻👍🏻, parece ok, हार्ट marca एवं ऑक्सीजन, bom para usuários normais ..... não para usuários pesados ​​como atividades diárias ..... boa aparência ... o aplicativo não está funcionando corretamente algumas vezes , A energia da bateria é incrível 👍🏻, é um bom relógio, mas a cinta sempre sai, bom relógio, não tão especial, mas média nesse preço</v>
      </c>
    </row>
    <row r="499">
      <c r="A499" s="9" t="s">
        <v>1999</v>
      </c>
      <c r="B499" s="29" t="str">
        <f>VLOOKUP(dados!A499, reviews!A:G, 5, FALSE)</f>
        <v>Good phone , little expensive,Buyers Beware,I bought this mobile at 18k, worth on that price.,satisfied with the product,Single led flash light,Good product,Good not Excellent.,Good one</v>
      </c>
      <c r="C499" s="29" t="str">
        <f>VLOOKUP(dados!A499, reviews!A:G, 6, FALSE)</f>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👍,Camera Excellent, but battery life not good, maximum 6 hours,As this price limit its a good mobile with camera, battery, screen quality</v>
      </c>
      <c r="D499" s="29" t="str">
        <f>IFERROR(__xludf.DUMMYFUNCTION("GOOGLETRANSLATE(B499, ""en"", ""pt-br"")"),"Bom telefone, pouco caro, os compradores, cuidado, comprei este celular em 18k, vale a pena nesse preço., Satisfeito com o produto, luz flash de LED único, bom produto, bom não é excelente., Bom")</f>
        <v>Bom telefone, pouco caro, os compradores, cuidado, comprei este celular em 18k, vale a pena nesse preço., Satisfeito com o produto, luz flash de LED único, bom produto, bom não é excelente., Bom</v>
      </c>
      <c r="E499" s="29" t="str">
        <f>IFERROR(__xludf.DUMMYFUNCTION("GOOGLETRANSLATE(C499, ""en"", ""pt-br"")"),"A câmera é boa, o telefone é bastante realizado, carregamento rápido. Há alguns problemas de software insignificantes e não esquecem a senha (PIN), não há como você poder recuperá -la às configurações de fábrica, este é o meu segundo IQOO Z6 Pro e meus co"&amp;"nselhos humildes a todos os usuários e compradores por aí, não atualizam seu dispositivo para a versão mais recente do software. Definitivamente, isso causará sérios problemas de dreno de bateria durante a noite. Eu falo da minha experiência. Meu primeiro"&amp;" IQOO Z6 Pro 8GB é atualizado para a mais recente atualização do patch de segurança de agosto e drena a bateria à taxa de 10 porcentagem durante a noite, sem motivo específico. O dreno ocioso é muito pronunciado. No entanto, meu segundo IQOO Z6 Pro, que c"&amp;"omprei, ainda está sendo executado na versão original do software e possui uma excelente bateria com o dreno de bateria inativo insignificante. Então eu acho que é melhor não atualizar até o IQOO lançar uma atualização melhor resolvendo o problema de dren"&amp;"agem da bateria, acima da média performanceno Aquecimento Problema de impressão digital mais rápido e face liderar o peso da bateria da bateria, duvidamente do peso da câmera, confortável à mão, todos os recursos deste celular foram bons.Não sem dúvida Qu"&amp;"alquer um pode comprar isso, mas nem para jogos. Com o orçamento apenas ele estava disponível para mim., Luz de flash dupla em tom não está funcionando, acho que é apenas uma luz de LED única, duas coisas faltando1. Câmera do orifício do pino2. Fones de o"&amp;"uvido jack.overall 👍, câmera excelente, mas a duração da bateria não é boa, no máximo 6 horas, pois esse preço limita é um bom celular com câmera, bateria, qualidade da tela")</f>
        <v>A câmera é boa, o telefone é bastante realizado, carregamento rápido. Há alguns problemas de software insignificantes e não esquecem a senha (PIN), não há como você poder recuperá -la às configurações de fábrica, este é o meu segundo IQOO Z6 Pro e meus conselhos humildes a todos os usuários e compradores por aí, não atualizam seu dispositivo para a versão mais recente do software. Definitivamente, isso causará sérios problemas de dreno de bateria durante a noite. Eu falo da minha experiência. Meu primeiro IQOO Z6 Pro 8GB é atualizado para a mais recente atualização do patch de segurança de agosto e drena a bateria à taxa de 10 porcentagem durante a noite, sem motivo específico. O dreno ocioso é muito pronunciado. No entanto, meu segundo IQOO Z6 Pro, que comprei, ainda está sendo executado na versão original do software e possui uma excelente bateria com o dreno de bateria inativo insignificante. Então eu acho que é melhor não atualizar até o IQOO lançar uma atualização melhor resolvendo o problema de drenagem da bateria, acima da média performanceno Aquecimento Problema de impressão digital mais rápido e face liderar o peso da bateria da bateria, duvidamente do peso da câmera, confortável à mão, todos os recursos deste celular foram bons.Não sem dúvida Qualquer um pode comprar isso, mas nem para jogos. Com o orçamento apenas ele estava disponível para mim., Luz de flash dupla em tom não está funcionando, acho que é apenas uma luz de LED única, duas coisas faltando1. Câmera do orifício do pino2. Fones de ouvido jack.overall 👍, câmera excelente, mas a duração da bateria não é boa, no máximo 6 horas, pois esse preço limita é um bom celular com câmera, bateria, qualidade da tela</v>
      </c>
    </row>
    <row r="500">
      <c r="A500" s="9" t="s">
        <v>2002</v>
      </c>
      <c r="B500" s="29" t="str">
        <f>VLOOKUP(dados!A500, reviews!A:G, 5, FALSE)</f>
        <v>Great, best 4g phone for around 10,500Rs,Good midrange phone,SAMSUNG GALAXY M32 PRIME EDITION (Pros &amp; Cons),Great Phone but slow performance.,Good one,Good phone,Jitters,Many issues in Samsung M series</v>
      </c>
      <c r="C500" s="29" t="str">
        <f>VLOOKUP(dados!A500, reviews!A:G, 6, FALSE)</f>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v>
      </c>
      <c r="D500" s="29" t="str">
        <f>IFERROR(__xludf.DUMMYFUNCTION("GOOGLETRANSLATE(B500, ""en"", ""pt-br"")"),"Ótimo, melhor telefone 4G por cerca de 10.500rs, bom telefone de médio porte, Samsung Galaxy M32 Prime Edition (prós e contras), ótimo telefone, mas desempenho lento., Bom, bom telefone, jitters, muitos problemas na série Samsung M")</f>
        <v>Ótimo, melhor telefone 4G por cerca de 10.500rs, bom telefone de médio porte, Samsung Galaxy M32 Prime Edition (prós e contras), ótimo telefone, mas desempenho lento., Bom, bom telefone, jitters, muitos problemas na série Samsung M</v>
      </c>
      <c r="E500" s="29" t="str">
        <f>IFERROR(__xludf.DUMMYFUNCTION("GOOGLETRANSLATE(C500, ""en"", ""pt-br"")"),"Câmera: Ótimo. Não há palavras para o excelente desempenho ao preço de 10.500rs. Ele pode até vencer smartphones de até 15.000 Rs no departamento de câmeras. Lembre -se de que a exibição está sendo amolorial, Full HD+ com PPI alto consome mais bateria. Ge"&amp;"ralmente, a bateria permanece um dia e meio, se usado durante o dia sem jogos. Mas, apenas uma vez que vi algumas linhas coloridas passando horizontalmente em exibição. Mas isso foi apenas uma vez. Espero que não ocorra novamente.Edit: aconteceu porque re"&amp;"movi algumas permissões dos aplicativos do sistema. Isso nunca aconteceu novamente. segurando -o depois de usá -lo por um longo período de tempo. Mas, não é muito. Bem, ele parece a mesma quantidade de calor que você geralmente sente na maioria dos telefo"&amp;"nes orçamentários depois de jogar ou usar celulares por muito tempo em bateria baixa. Performance: nenhum problema, pois outros estão fazendo isso. Você pode jogar muitos jogos, simplesmente não é suave em jogos pesados. No uso diário, ele não está lag. E"&amp;"u já usei o SD 660 antes, isso tem o MTK G80 tão próximo que oferece o mesmo desempenho que o do SD660 ou podemos dizer que oferece um desempenho um pouco melhor e é comparável ao SD 662 .Eu não joguei jogos pesados ​​neste telefone, mas joguei jogos de c"&amp;"erca de 2 GB no meu telefone anterior, que tinha SD660. Então, acho que esses jogos funcionarão aqui sem atraso. E se você vir algum defeito de fabricação, sempre poderá colocar uma solicitação de substituição dentro de 7 dias após a entrega para o defeit"&amp;"o ou um produto diferente. E para o produto danificado, você deve fazer uma solicitação de substituição antes de 2 dias (leia a política de devolução para smartphones ou verifique a captura de tela que carreguei) agora como minha revisão, se você achou út"&amp;"il!, Bom smartphone para uso diário, boa duração da bateria, não pendure muito. Meu uso é normal e eu não jogo, por isso não tenho problemas de aquecimento. Recebi atualizações, agora em execução no Android 13 após a última atualização., Escrevo uma resen"&amp;"ha depois de usar este dispositivo quase 1 mês 24 dias.Samsung Galaxy M32 Prime EditionRam: 4GBROM: 64GBCOLOUR: Black#Amalonseliyai o comprou no amzon Great Indian Festival. 22 de setembro de 2022222, entregue em 26 de setembro de 2022. O pacote de entreg"&amp;"a foi decente. É um pacote completo dentro da faixa de preços de 11k.aunha -se absolutamente bem no uso normal do dia a dia. Você também pode jogar como BGMI, Free Fire Max, Call of Duty sem Lagging.Pros: 1. Super AMOLED Display2. Backup da bateria (uso n"&amp;"ormal de 2,5 dias e uso difícil de 1,5 dias), SOT (tela no tempo): vídeo do YouTube com 60% de brilho aproximadamente 10 horas+3. Oneui 4 fora da caixa com Android 12.4. Conectividade de rede.5. É tamanho. Exibição de 6,4 polegadas. Mão confortável. Supor"&amp;"te de carregamento de 25W.7. RAM virtual até 4GB.8. Sempre em exibição9. A selfie de 20MP era de ótima qualidade. Câmera verdadeira de 64MP (a qualidade da câmera é ótima com 15000 preços) contras: 1. Carregador de 15w dentro da caixa. Gravação de vídeo a"&amp;"penas com 1080p.3. A opção desativada de som de captura de câmera não está presente. Sem suporte ao vídeo 4K.5. O volume do Speak foi decente. Não muito mais alto. A impressão digital não é rápida. A trava do rosto não é determinada corretamente. Não 4G+,"&amp;" mas é um produto de qualidade da Samsung. &amp; 20MP Câmera frontal, 3. Uma interface do usuário, 4. Knox Security, 5. 6000mAh Big Battery.Cons- 1. Helio G80 Processador (deve ser pelo menos Helio G96 ou igual), 2. Muitos lags e problemas. (Ele deve ser corr"&amp;"igido e aprimorado por meio de atualizações de software). 3. Armazenamento EMMC (deve ser o armazenamento do UFS), 4. Nenhum suporte de agregação da transportadora. 5. Apenas o carregador de 15W na caixa (deve ser pelo menos 18W ou 20W Fast Charger)., Esc"&amp;"revendo esta revisão depois de usá -la por 6..7 meses ... meu pai está usando este ... bom para uso normal. Comprei por cerca de 14000. O que não gosto neste telefone é a qualidade da câmera. Sem lanterna, as fotos são muito boas, mas quando clicamos em f"&amp;"otos com lanterna sobre a qualidade não é boa ... então essa é a principal preocupação neste telefone. Espero que esse problema possa ser resolvido com uma atualização. Não há problema de aquecimento, O telefone está funcionando muito bem., Estou escreven"&amp;"do esta resenha após 3 meses de uso. O telefone é bom em geral. A duração da bateria é boa. A tela também é muito boa. O telefone não tem problema de aquecimento, embora eu não tenha jogado nenhum jogo por telefone., O telefone é bom para o uso normal de "&amp;"uso é muito bom, mas enfrentei alguns nervos Acontece raramente ..., edição múltipla no Samsung M32 .1.lock Screen Senha Senha. Não podemos redefinir a senha Se você receber a senha da tela de bloqueio que precisará redefinir o celular e não há opção para"&amp;" redefinição de senha.2. Meu telefone Samsung M32 não está sendo cobrado após o uso de 1 ano.3. edição e não respondendo.4.Eu recomendaria não comprar a série Samsung M, se você comprar significa que você enfrentaria tantos problemas e ficará frustrado.")</f>
        <v>Câmera: Ótimo. Não há palavras para o excelente desempenho ao preço de 10.500rs. Ele pode até vencer smartphones de até 15.000 Rs no departamento de câmeras. Lembre -se de que a exibição está sendo amolorial, Full HD+ com PPI alto consome mais bateria. Geralmente, a bateria permanece um dia e meio, se usado durante o dia sem jogos. Mas, apenas uma vez que vi algumas linhas coloridas passando horizontalmente em exibição. Mas isso foi apenas uma vez. Espero que não ocorra novamente.Edit: aconteceu porque removi algumas permissões dos aplicativos do sistema. Isso nunca aconteceu novamente. segurando -o depois de usá -lo por um longo período de tempo. Mas, não é muito. Bem, ele parece a mesma quantidade de calor que você geralmente sente na maioria dos telefones orçamentários depois de jogar ou usar celulares por muito tempo em bateria baixa. Performance: nenhum problema, pois outros estão fazendo isso. Você pode jogar muitos jogos, simplesmente não é suave em jogos pesados. No uso diário, ele não está lag. Eu já usei o SD 660 antes, isso tem o MTK G80 tão próximo que oferece o mesmo desempenho que o do SD660 ou podemos dizer que oferece um desempenho um pouco melhor e é comparável ao SD 662 .Eu não joguei jogos pesados ​​neste telefone, mas joguei jogos de cerca de 2 GB no meu telefone anterior, que tinha SD660. Então, acho que esses jogos funcionarão aqui sem atraso. E se você vir algum defeito de fabricação, sempre poderá colocar uma solicitação de substituição dentro de 7 dias após a entrega para o defeito ou um produto diferente. E para o produto danificado, você deve fazer uma solicitação de substituição antes de 2 dias (leia a política de devolução para smartphones ou verifique a captura de tela que carreguei) agora como minha revisão, se você achou útil!, Bom smartphone para uso diário, boa duração da bateria, não pendure muito. Meu uso é normal e eu não jogo, por isso não tenho problemas de aquecimento. Recebi atualizações, agora em execução no Android 13 após a última atualização., Escrevo uma resenha depois de usar este dispositivo quase 1 mês 24 dias.Samsung Galaxy M32 Prime EditionRam: 4GBROM: 64GBCOLOUR: Black#Amalonseliyai o comprou no amzon Great Indian Festival. 22 de setembro de 2022222, entregue em 26 de setembro de 2022. O pacote de entrega foi decente. É um pacote completo dentro da faixa de preços de 11k.aunha -se absolutamente bem no uso normal do dia a dia. Você também pode jogar como BGMI, Free Fire Max, Call of Duty sem Lagging.Pros: 1. Super AMOLED Display2. Backup da bateria (uso normal de 2,5 dias e uso difícil de 1,5 dias), SOT (tela no tempo): vídeo do YouTube com 60% de brilho aproximadamente 10 horas+3. Oneui 4 fora da caixa com Android 12.4. Conectividade de rede.5. É tamanho. Exibição de 6,4 polegadas. Mão confortável. Suporte de carregamento de 25W.7. RAM virtual até 4GB.8. Sempre em exibição9. A selfie de 20MP era de ótima qualidade. Câmera verdadeira de 64MP (a qualidade da câmera é ótima com 15000 preços) contras: 1. Carregador de 15w dentro da caixa. Gravação de vídeo apenas com 1080p.3. A opção desativada de som de captura de câmera não está presente. Sem suporte ao vídeo 4K.5. O volume do Speak foi decente. Não muito mais alto. A impressão digital não é rápida. A trava do rosto não é determinada corretamente. Não 4G+, mas é um produto de qualidade da Samsung. &amp; 20MP Câmera frontal, 3. Uma interface do usuário, 4. Knox Security, 5. 6000mAh Big Battery.Cons- 1. Helio G80 Processador (deve ser pelo menos Helio G96 ou igual), 2. Muitos lags e problemas. (Ele deve ser corrigido e aprimorado por meio de atualizações de software). 3. Armazenamento EMMC (deve ser o armazenamento do UFS), 4. Nenhum suporte de agregação da transportadora. 5. Apenas o carregador de 15W na caixa (deve ser pelo menos 18W ou 20W Fast Charger)., Escrevendo esta revisão depois de usá -la por 6..7 meses ... meu pai está usando este ... bom para uso normal. Comprei por cerca de 14000. O que não gosto neste telefone é a qualidade da câmera. Sem lanterna, as fotos são muito boas, mas quando clicamos em fotos com lanterna sobre a qualidade não é boa ... então essa é a principal preocupação neste telefone. Espero que esse problema possa ser resolvido com uma atualização. Não há problema de aquecimento, O telefone está funcionando muito bem., Estou escrevendo esta resenha após 3 meses de uso. O telefone é bom em geral. A duração da bateria é boa. A tela também é muito boa. O telefone não tem problema de aquecimento, embora eu não tenha jogado nenhum jogo por telefone., O telefone é bom para o uso normal de uso é muito bom, mas enfrentei alguns nervos Acontece raramente ..., edição múltipla no Samsung M32 .1.lock Screen Senha Senha. Não podemos redefinir a senha Se você receber a senha da tela de bloqueio que precisará redefinir o celular e não há opção para redefinição de senha.2. Meu telefone Samsung M32 não está sendo cobrado após o uso de 1 ano.3. edição e não respondendo.4.Eu recomendaria não comprar a série Samsung M, se você comprar significa que você enfrentaria tantos problemas e ficará frustrado.</v>
      </c>
    </row>
    <row r="501">
      <c r="A501" s="9" t="s">
        <v>2006</v>
      </c>
      <c r="B501" s="29" t="str">
        <f>VLOOKUP(dados!A501, reviews!A:G, 5, FALSE)</f>
        <v>Good 5g mobile,Overall good phone,The best phone in 2k22 I have purchased in 30sep,Works amazing and buttery smooth, design kinda boring though,Good,Overall good under this budget,not bad,Buy for normal daily use..</v>
      </c>
      <c r="C501" s="29" t="str">
        <f>VLOOKUP(dados!A501, reviews!A:G, 6, FALSE)</f>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v>
      </c>
      <c r="D501" s="29" t="str">
        <f>IFERROR(__xludf.DUMMYFUNCTION("GOOGLETRANSLATE(B501, ""en"", ""pt-br"")"),"Bom 5G Mobile, Bom telefone em geral, o melhor telefone em 2K22 que eu comprei no 30SEP, funciona incrível e amanteigado, projete meio chato, bom, em geral, bom sob esse orçamento, não ruim, compre para uso diário normal ..")</f>
        <v>Bom 5G Mobile, Bom telefone em geral, o melhor telefone em 2K22 que eu comprei no 30SEP, funciona incrível e amanteigado, projete meio chato, bom, em geral, bom sob esse orçamento, não ruim, compre para uso diário normal ..</v>
      </c>
      <c r="E501" s="29" t="str">
        <f>IFERROR(__xludf.DUMMYFUNCTION("GOOGLETRANSLATE(C501, ""en"", ""pt-br"")"),"A boa tela é uma boa duração da bateria é muito boa, a qualidade da câmera é boa para mim, a colocação da impressora não é boa, não pode ser usada com as duas mãos, usando -a dos últimos 3 meses agora. O backup da bateria é bom, a câmera é boa e, nessa fa"&amp;"ixa de preço, essa é uma das boas opções a partir de agora, o melhor telefone em 2K22 que comprei no 30SEP, mas em 2dec meu celular roubado durante esse período, usei 7-8 horas Em um dia continua, mas não há problema de lag a duração da bateria é bom, o a"&amp;"lto-falante não é bom, eu acho que neste celular há um problema que eu enfrento: -Phone é incrível com a Dimensidade 810 e eu só tenho elogios pela taxa de atualização do desempenho 90Hz A abertura dos olhos vindo de uma construção de telefone de 60Hz é b"&amp;"astante sólida e a parte traseira tem uma textura agradável que não cria impressões digitais muito Redmi empacotou o telefone com alguns recursos interessantes, como o IR Blaster e o surpreendentemente incrível DAC, que Redmi nem sequer flexionar no marke"&amp;"ting. (Meus fones de ouvido somam Miles Miles melhor deste telefone do que o meu laptop SMH)-A capa do telefone incluída está bem e é uma bela de Redmi para jogar um (o buraco em torno do fone de ouvido poderia ser maior, embora interfira em quaisquer cab"&amp;"os auxiliares com alojamentos chonky. )-Apenas as queixas id são que o design é meio que meio; Não parece incrível, mas nada para reclamar sobre o comentar a qualidade da câmera HMHM, pois eu sou um pleb que não sabe como nitpick na qualidade da câmera: o"&amp;" protetor de tela incluído em P está realmente ruim (só está abaixo de um mês e aí está lá já estão arranhões em torno da tela inferior onde a ID estará digitando). É altamente recomendável descascar -o e arriscar -se com o Gorilla Glass ou apenas consegu"&amp;"ir algo de reposição para que a Recomenda fortemente se você gosta de um telefone solidamente construído, focado em fazer as coisas em vez de sentar e ficar bonito, bom, se você comprar telefone Para fins de câmera, não compre isso. Mas o celular médio ge"&amp;"ral sob esse preço. Backup da bateria muito bom e alterando o tempo APX 40-50 minutos para 1 a 100%., Bom, é um bom produto para uso diário normal. A qualidade da câmera não está à altura.")</f>
        <v>A boa tela é uma boa duração da bateria é muito boa, a qualidade da câmera é boa para mim, a colocação da impressora não é boa, não pode ser usada com as duas mãos, usando -a dos últimos 3 meses agora. O backup da bateria é bom, a câmera é boa e, nessa faixa de preço, essa é uma das boas opções a partir de agora, o melhor telefone em 2K22 que comprei no 30SEP, mas em 2dec meu celular roubado durante esse período, usei 7-8 horas Em um dia continua, mas não há problema de lag a duração da bateria é bom, o alto-falante não é bom, eu acho que neste celular há um problema que eu enfrento: -Phone é incrível com a Dimensidade 810 e eu só tenho elogios pela taxa de atualização do desempenho 90Hz A abertura dos olhos vindo de uma construção de telefone de 60Hz é bastante sólida e a parte traseira tem uma textura agradável que não cria impressões digitais muito Redmi empacotou o telefone com alguns recursos interessantes, como o IR Blaster e o surpreendentemente incrível DAC, que Redmi nem sequer flexionar no marketing. (Meus fones de ouvido somam Miles Miles melhor deste telefone do que o meu laptop SMH)-A capa do telefone incluída está bem e é uma bela de Redmi para jogar um (o buraco em torno do fone de ouvido poderia ser maior, embora interfira em quaisquer cabos auxiliares com alojamentos chonky. )-Apenas as queixas id são que o design é meio que meio; Não parece incrível, mas nada para reclamar sobre o comentar a qualidade da câmera HMHM, pois eu sou um pleb que não sabe como nitpick na qualidade da câmera: o protetor de tela incluído em P está realmente ruim (só está abaixo de um mês e aí está lá já estão arranhões em torno da tela inferior onde a ID estará digitando). É altamente recomendável descascar -o e arriscar -se com o Gorilla Glass ou apenas conseguir algo de reposição para que a Recomenda fortemente se você gosta de um telefone solidamente construído, focado em fazer as coisas em vez de sentar e ficar bonito, bom, se você comprar telefone Para fins de câmera, não compre isso. Mas o celular médio geral sob esse preço. Backup da bateria muito bom e alterando o tempo APX 40-50 minutos para 1 a 100%., Bom, é um bom produto para uso diário normal. A qualidade da câmera não está à altura.</v>
      </c>
    </row>
    <row r="502">
      <c r="A502" s="9" t="s">
        <v>2010</v>
      </c>
      <c r="B502" s="29" t="str">
        <f>VLOOKUP(dados!A502, reviews!A:G, 5, FALSE)</f>
        <v>Good phone , little expensive,Buyers Beware,I bought this mobile at 18k, worth on that price.,satisfied with the product,Single led flash light,Good product,Good not Excellent.,Good one</v>
      </c>
      <c r="C502" s="29" t="str">
        <f>VLOOKUP(dados!A502, reviews!A:G, 6, FALSE)</f>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👍,Camera Excellent, but battery life not good, maximum 6 hours,As this price limit its a good mobile with camera, battery, screen quality</v>
      </c>
      <c r="D502" s="29" t="str">
        <f>IFERROR(__xludf.DUMMYFUNCTION("GOOGLETRANSLATE(B502, ""en"", ""pt-br"")"),"Bom telefone, pouco caro, os compradores, cuidado, comprei este celular em 18k, vale a pena nesse preço., Satisfeito com o produto, luz flash de LED único, bom produto, bom não é excelente., Bom")</f>
        <v>Bom telefone, pouco caro, os compradores, cuidado, comprei este celular em 18k, vale a pena nesse preço., Satisfeito com o produto, luz flash de LED único, bom produto, bom não é excelente., Bom</v>
      </c>
      <c r="E502" s="29" t="str">
        <f>IFERROR(__xludf.DUMMYFUNCTION("GOOGLETRANSLATE(C502, ""en"", ""pt-br"")"),"A câmera é boa, o telefone é bastante realizado, carregamento rápido. Há alguns problemas de software insignificantes e não esquecem a senha (PIN), não há como você poder recuperá -la às configurações de fábrica, este é o meu segundo IQOO Z6 Pro e meus co"&amp;"nselhos humildes a todos os usuários e compradores por aí, não atualizam seu dispositivo para a versão mais recente do software. Definitivamente, isso causará sérios problemas de dreno de bateria durante a noite. Eu falo da minha experiência. Meu primeiro"&amp;" IQOO Z6 Pro 8GB é atualizado para a mais recente atualização do patch de segurança de agosto e drena a bateria à taxa de 10 porcentagem durante a noite, sem motivo específico. O dreno ocioso é muito pronunciado. No entanto, meu segundo IQOO Z6 Pro, que c"&amp;"omprei, ainda está sendo executado na versão original do software e possui uma excelente bateria com o dreno de bateria inativo insignificante. Então eu acho que é melhor não atualizar até o IQOO lançar uma atualização melhor resolvendo o problema de dren"&amp;"agem da bateria, acima da média performanceno Aquecimento Problema de impressão digital mais rápido e face liderar o peso da bateria da bateria, duvidamente do peso da câmera, confortável à mão, todos os recursos deste celular foram bons.Não sem dúvida Qu"&amp;"alquer um pode comprar isso, mas nem para jogos. Com o orçamento apenas ele estava disponível para mim., Luz de flash dupla em tom não está funcionando, acho que é apenas uma luz de LED única, duas coisas faltando1. Câmera do orifício do pino2. Fones de o"&amp;"uvido jack.overall 👍, câmera excelente, mas a duração da bateria não é boa, no máximo 6 horas, pois esse preço limita é um bom celular com câmera, bateria, qualidade da tela")</f>
        <v>A câmera é boa, o telefone é bastante realizado, carregamento rápido. Há alguns problemas de software insignificantes e não esquecem a senha (PIN), não há como você poder recuperá -la às configurações de fábrica, este é o meu segundo IQOO Z6 Pro e meus conselhos humildes a todos os usuários e compradores por aí, não atualizam seu dispositivo para a versão mais recente do software. Definitivamente, isso causará sérios problemas de dreno de bateria durante a noite. Eu falo da minha experiência. Meu primeiro IQOO Z6 Pro 8GB é atualizado para a mais recente atualização do patch de segurança de agosto e drena a bateria à taxa de 10 porcentagem durante a noite, sem motivo específico. O dreno ocioso é muito pronunciado. No entanto, meu segundo IQOO Z6 Pro, que comprei, ainda está sendo executado na versão original do software e possui uma excelente bateria com o dreno de bateria inativo insignificante. Então eu acho que é melhor não atualizar até o IQOO lançar uma atualização melhor resolvendo o problema de drenagem da bateria, acima da média performanceno Aquecimento Problema de impressão digital mais rápido e face liderar o peso da bateria da bateria, duvidamente do peso da câmera, confortável à mão, todos os recursos deste celular foram bons.Não sem dúvida Qualquer um pode comprar isso, mas nem para jogos. Com o orçamento apenas ele estava disponível para mim., Luz de flash dupla em tom não está funcionando, acho que é apenas uma luz de LED única, duas coisas faltando1. Câmera do orifício do pino2. Fones de ouvido jack.overall 👍, câmera excelente, mas a duração da bateria não é boa, no máximo 6 horas, pois esse preço limita é um bom celular com câmera, bateria, qualidade da tela</v>
      </c>
    </row>
    <row r="503">
      <c r="A503" s="9" t="s">
        <v>2014</v>
      </c>
      <c r="B503" s="29" t="str">
        <f>VLOOKUP(dados!A503, reviews!A:G, 5, FALSE)</f>
        <v>Excellent Phone in the budget segment,Best value for money... But afraid of future MIUI updates.,Don't purchase it as camera phone 😤,Dependable &amp; it's been a year.,Budget mobile,Good for basic use,Phone is nice , but software is not</v>
      </c>
      <c r="C503" s="29" t="str">
        <f>VLOOKUP(dados!A503, reviews!A:G, 6, FALSE)</f>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v>
      </c>
      <c r="D503" s="29" t="str">
        <f>IFERROR(__xludf.DUMMYFUNCTION("GOOGLETRANSLATE(B503, ""en"", ""pt-br"")"),"Excelente telefone no segmento de orçamento, melhor valor para dinheiro ... mas com medo das futuras atualizações do MIUI., Não o compre como telefone da câmera 😤, confiável e já faz um ano., Orçamento móvel, bom para uso básico, o telefone é Bom, mas o "&amp;"software não é")</f>
        <v>Excelente telefone no segmento de orçamento, melhor valor para dinheiro ... mas com medo das futuras atualizações do MIUI., Não o compre como telefone da câmera 😤, confiável e já faz um ano., Orçamento móvel, bom para uso básico, o telefone é Bom, mas o software não é</v>
      </c>
      <c r="E503" s="29" t="str">
        <f>IFERROR(__xludf.DUMMYFUNCTION("GOOGLETRANSLATE(C503, ""en"", ""pt-br"")"),"Eu estava procurando um telefone abaixo de 10k. Não sou uma pessoa que acredita queimar dinheiro para telefones. Meu requisito era um telefone que tenha uma boa recepção de rede, boa recepção de Wi -Fi, um software equilibrado, boa duração da bateria, boa"&amp;" tela que não lidera os olhos, um bom hardware, o fone de ouvido de 3,5 mm e um carregador. Não preciso da rede 5G porque o 5G drena muito a bateria e o 5G gasta muitos dados. Não assisto filme ou YT na rede móvel e me pergunto quantos assistem a vídeos F"&amp;"HD, 2K e 4K sobre a rede móvel. Para baixar documentos, as redes sociais, os aplicativos bancários 4G são mais do que suficientes. No meu orçamento, descobri que todos os telefones têm 4 GB de RAM. Realme Narzo 50 foi 9999/- durante o GIF e tinha todos es"&amp;"ses recursos junto com um bom processador e outro foi o Redmi Note 11. Mas descobri que, se eu puder estender meu orçamento um pouco mais com todos os cupons e ofertas bancários, posso obter um Redmi Nota 11 com 6 GB de RAM em 11749/-. A RAM de 6 GB é sem"&amp;"pre preferida em 4 GB de RAM, porque ninguém sabe se, com atualizações futuras, o sistema operacional exigiria mais RAM ou não, também os softwares podem exigir mais RAM com o passar do tempo. Portanto, essa era a única opção que eu conhecia, então dispon"&amp;"ível. A Nota 11 do AMOLED tem uma tela AMOLED, não estou incomodado com 60Hz, 90Hz, 120Hz. Eu mantenho a taxa de atualização em 60Hz e o visor funciona sem lag ou gagueira zero. Toda a minha tela de mesa tem uma taxa de atualização de 60Hz e estou feliz c"&amp;"om eles, então por que preciso de uma tela de 90 Hz? Eu acho que tudo isso é apenas um truque comercializado por empresas e revisores on -line. A tela possui excelente capacidade de reprodução de cores e as cores parecem ricas. Você pode ajustar a tempera"&amp;"tura da cor para aquecer ou esfriar, mas acho que o padrão é bom para mim. Além disso, você pode calibrar as cores de exibição nas configurações, mas acho que você não precisa disso. O tamanho da tela é de 6,43 polegadas, poderia ter sido melhor se fosse "&amp;"de 6,7 polegadas. Eu prefiro um grande telefone de exibição. O Redmi Note 12 tem essa grande tela. Um protetor de tela de plástico é pré -aplicado na tela e estou feliz com isso. O protetor da tela parece suave e as impressões digitais podem ser facilment"&amp;"e removidas limpando com um pano úmido. A tela possui uma câmera de furo que parece boa. Este telefone duelo. Um é mais poderoso no fundo e outro no topo. Mas acho que o segundo alto -falante é na verdade o fone de ouvido que amplifica enquanto assiste a "&amp;"filmes ou YT. O alto -falante inferior é mais alto que o alto -falante e o volume é bom. O que mais você espera de tão pequenos alto -falantes! O telefone tem excelente recepção de wifi e rede móvel. Muitos se queixaram da baixa conectividade WiFi, mas da"&amp;" minha experiência, posso dizer que meu telefone e o modem wifi permanecem em diferentes andares, ainda assim recebo um bom sinal e nunca desconectei. A Voice Over Mobile Network parece agradável e clara e a outra parte pode ouvi -lo bem e limpar. No enta"&amp;"nto, como o segundo alto -falante é uma extensão da peça de fone de ouvido, o som vazará se a outra pessoa estiver gritando por telefone. O telefone possui bateria de 5000mAh e vem com carregador de 33W, que é um bônus nesse preço. A bateria oferece backu"&amp;"p longo. Com uma boa rede móvel, você pode usá -lo por 3 dias sem carregar usando recursos básicos, como telefone, SMS, e -mail, FB, WA etc. Mas eu o carrego regularmente e a carga da bateria nunca cai abaixo de 70%. O telefone possui processador SD680 qu"&amp;"e é Mais o suficiente para tarefas básicas e um desempenho bom sem qualquer atraso. A experiência é a manteiga suave. No entanto, os aplicativos são limpos automaticamente da RAM, que eu gosto, porque não preciso limpar a RAM manualmente. No entanto, após"&amp;" o Android 12, atualize o aplicativo Ram Hold por mais tempo, mas acabou com a limpeza. O SD 680 não aquece e é muito eficiente em termos de energia. Por causa dessa bateria, drena muito pouco e 33W carrega telefone dentro de 30 minutos pelo meu uso. O ca"&amp;"bo é USB A a C e se sente bom. Este telefone possui IR Blaster; portanto, em seu escritório em casa, você pode controlar o CA ou outros gadgets suportados com este telefone quando o controle remoto não estiver disponível. A RAM é de 6 GB e pode ser expand"&amp;"ida adicional 1 GB como RAM virtual ocupando o armazenamento. Mas desativei essa opção de configurações porque aumenta a vida de SSD. Isso possui 2 slot para cartão SIM + SD. O que é ótimo. Ambos o SIM têm a agregação VoLTE e da transportadora. O telefone"&amp;" tem belas costas e a cor é atraente. Algumas pessoas podem reclamar de plástico, mas lembre -se de que o telefone traseiro plástico tem melhor recepção de rede do que os telefones traseiros de metal ou vidro. E não tenho nenhum problema com o plástico. E"&amp;"u não acho que o plástico de volta faz seu telefone ou você parece barato. Estou feliz com o plástico de volta. O telefone também fornece uma tampa de TPU e a capa, por mais amarelencial que seja o mês. Esta é a química inerente à TPU, e ninguém pode impe"&amp;"dir essa degradação química. Como sempre pode ser desacelerado por não expor -o à luz solar. O scanner de impressão digital é excelente, funciona perfeitamente. A tela de toque também é excelente. No entanto, eu não gosto de alguns dos aplicativos pré -in"&amp;"stalados. Alguns podem ser desinstalados que alguns não podem especialmente o Mi Pay e GetApps da Mi Store. Eu não gosto deles. No entanto, eu gosto do aplicativo de segurança pré -instalado. Não há anúncio na notificação e tudo pode ser facilmente desati"&amp;"vado. A câmera na parte de trás é boa e suficiente para mim, no entanto, a câmera frontal não é boa. Não mostra fotos como câmera de 8MP. Eu adicionei algumas fotos clicadas pela câmera traseira Redmi Note 11. O MIUI é fluido e tem muitos usuários como On"&amp;"eui. O MIUI agora está livre de bugs e tem uma versão extremamente polida que agradará o usuário. Então, eu dou a Redmi 11 uma pontuação de 9,5/10. Este é um excelente telefone que eu recebi em 11749/- durante o Great Indian Festival. Eu recomendo Anyboy "&amp;"com uso básico para comprar este telefone. Este telefone não é para jogadores ou pessoas que assistem a vídeos 2K, $ K ou filmam essas coisas. Isso não é ou aqueles que são loucos por 5G. Caso contrário, este telefone atenderá a todos os seus requisitos n"&amp;"este segmento de preços., Uso de 50 dias ... 1. Boa duração da bateria. BQEST para uso diário. 33w carregador também bom. Melhor exibição, mas deveria ter 120Hz em vez de 90,3. Fense-in-de-mão 4. O alto-falante estéreo é alto e nítido (65-35 dividido) .5."&amp;" Câmera acima da média ... mas bom em relação ao preço. Ui de buggy (menor) como esperado. Mas UI13 melhor do que MIUI Bloody 12.5.7. 4G Chipset SD 680, o que é bom ... 4G+ sempre disponível.8. Algum problema menor com a recepção Wi -Fi. Não sei que eles "&amp;"vão corrigi -lo através da OTA. PUBG, amantes de bacalhau., O primeiro visual desse design de Starbust é atraente ... nenhuma palavra para expressar seu design, na sensação de mão e é toda a dimensão física. O segundo que me impressiona, é o backup da bat"&amp;"eria ..... E mesmo você joga quase por um longo tempo .... Isso oferece backup suficiente e velocidade de cobrança também 33W, também é um bom negócio a esse preço. O terceiro fator impressionante é o alto -falante duplo ... Tenho outro telefone de 40k e "&amp;"a qualidade do som é quase a mesma que. A experiência de reprodução de mídia também é aprimorada pela tela AMOLED, tela muito charmosa muito cor ...... literalmente, a qualidade da exibição é imbatível. O entalhe da câmera e o alto -falante duplo aumentam"&amp;" a experiência de reprodução da mídia. Outro desempenho como os jogos também é bom nesse preço. O botão de impressão digital também é muito receptivo. Todas as outras coisas e recursos são bons para o preço. Somente uma coisa é muito decepcionante BCOZ O "&amp;"hype de sua câmera que a empresa mostra depende muito da marca e da fotografia profissional, mas a câmera é de menor grau ... até meu velho Redmi Y2 que eu trocei com isso, tinha uma câmera melhor do que isso ... então, por favor, peço a todos .... não co"&amp;"mpre isso para a câmera .... apenas não. As imagens são mostradas nas imagens da câmera no site é ilustração de acordo comigo ...... Eu não recomendo que você compre este telefone como telefone da câmera. Se você não é usuário de câmera, certamente irá em"&amp;" frente. PROS- Design, sensação em mãos, bateria e carregamento, tela AMOLED, Dual SpeitherCons- Camera😤😤, um telefone de motorista diário bastante suave. A experiência geral tem sido satisfatória, a boa durabilidade da câmera também parece ser boa, eu "&amp;"o soltei algumas vezes e o Gorilla Glass 5 parece estar se sustentando. 120Hz é ótimo. A velocidade de carregamento também é boa, porém, nada alucinante. A duração da bateria é decente. Dura bastante, mas como eu o mantenho no modo 120Hz o tempo todo, é u"&amp;"m pouco menos para mim. Mas não tenho nenhum problema com a duração da bateria por enquanto., Faz o que a descrição diz. Qualidade da câmera não está até a marca, em comparação com outros celulares do Redmi. Até o modelo A3 clica melhor fotos. Você precis"&amp;"a pressionar o botão de bloqueio toda vez para ler a impressão digital. SREAMING. Se você planeja entregá -lo a seus pais ou idosos em sua família, basta instalar o lançador de terceiros e esconder o aplicativo desnecessário ASLO, desative a notificação d"&amp;"e spam e os anúncios em tela de bloqueio geral para os idosos ou o usuário do smartphone pela primeira vez., o telefone é bom, mas Estou enfrentando bugs estranhos devido a problemas de software. Depois disso, instalei manualmente o software global mais r"&amp;"ecente e funcionando bem.")</f>
        <v>Eu estava procurando um telefone abaixo de 10k. Não sou uma pessoa que acredita queimar dinheiro para telefones. Meu requisito era um telefone que tenha uma boa recepção de rede, boa recepção de Wi -Fi, um software equilibrado, boa duração da bateria, boa tela que não lidera os olhos, um bom hardware, o fone de ouvido de 3,5 mm e um carregador. Não preciso da rede 5G porque o 5G drena muito a bateria e o 5G gasta muitos dados. Não assisto filme ou YT na rede móvel e me pergunto quantos assistem a vídeos FHD, 2K e 4K sobre a rede móvel. Para baixar documentos, as redes sociais, os aplicativos bancários 4G são mais do que suficientes. No meu orçamento, descobri que todos os telefones têm 4 GB de RAM. Realme Narzo 50 foi 9999/- durante o GIF e tinha todos esses recursos junto com um bom processador e outro foi o Redmi Note 11. Mas descobri que, se eu puder estender meu orçamento um pouco mais com todos os cupons e ofertas bancários, posso obter um Redmi Nota 11 com 6 GB de RAM em 11749/-. A RAM de 6 GB é sempre preferida em 4 GB de RAM, porque ninguém sabe se, com atualizações futuras, o sistema operacional exigiria mais RAM ou não, também os softwares podem exigir mais RAM com o passar do tempo. Portanto, essa era a única opção que eu conhecia, então disponível. A Nota 11 do AMOLED tem uma tela AMOLED, não estou incomodado com 60Hz, 90Hz, 120Hz. Eu mantenho a taxa de atualização em 60Hz e o visor funciona sem lag ou gagueira zero. Toda a minha tela de mesa tem uma taxa de atualização de 60Hz e estou feliz com eles, então por que preciso de uma tela de 90 Hz? Eu acho que tudo isso é apenas um truque comercializado por empresas e revisores on -line. A tela possui excelente capacidade de reprodução de cores e as cores parecem ricas. Você pode ajustar a temperatura da cor para aquecer ou esfriar, mas acho que o padrão é bom para mim. Além disso, você pode calibrar as cores de exibição nas configurações, mas acho que você não precisa disso. O tamanho da tela é de 6,43 polegadas, poderia ter sido melhor se fosse de 6,7 polegadas. Eu prefiro um grande telefone de exibição. O Redmi Note 12 tem essa grande tela. Um protetor de tela de plástico é pré -aplicado na tela e estou feliz com isso. O protetor da tela parece suave e as impressões digitais podem ser facilmente removidas limpando com um pano úmido. A tela possui uma câmera de furo que parece boa. Este telefone duelo. Um é mais poderoso no fundo e outro no topo. Mas acho que o segundo alto -falante é na verdade o fone de ouvido que amplifica enquanto assiste a filmes ou YT. O alto -falante inferior é mais alto que o alto -falante e o volume é bom. O que mais você espera de tão pequenos alto -falantes! O telefone tem excelente recepção de wifi e rede móvel. Muitos se queixaram da baixa conectividade WiFi, mas da minha experiência, posso dizer que meu telefone e o modem wifi permanecem em diferentes andares, ainda assim recebo um bom sinal e nunca desconectei. A Voice Over Mobile Network parece agradável e clara e a outra parte pode ouvi -lo bem e limpar. No entanto, como o segundo alto -falante é uma extensão da peça de fone de ouvido, o som vazará se a outra pessoa estiver gritando por telefone. O telefone possui bateria de 5000mAh e vem com carregador de 33W, que é um bônus nesse preço. A bateria oferece backup longo. Com uma boa rede móvel, você pode usá -lo por 3 dias sem carregar usando recursos básicos, como telefone, SMS, e -mail, FB, WA etc. Mas eu o carrego regularmente e a carga da bateria nunca cai abaixo de 70%. O telefone possui processador SD680 que é Mais o suficiente para tarefas básicas e um desempenho bom sem qualquer atraso. A experiência é a manteiga suave. No entanto, os aplicativos são limpos automaticamente da RAM, que eu gosto, porque não preciso limpar a RAM manualmente. No entanto, após o Android 12, atualize o aplicativo Ram Hold por mais tempo, mas acabou com a limpeza. O SD 680 não aquece e é muito eficiente em termos de energia. Por causa dessa bateria, drena muito pouco e 33W carrega telefone dentro de 30 minutos pelo meu uso. O cabo é USB A a C e se sente bom. Este telefone possui IR Blaster; portanto, em seu escritório em casa, você pode controlar o CA ou outros gadgets suportados com este telefone quando o controle remoto não estiver disponível. A RAM é de 6 GB e pode ser expandida adicional 1 GB como RAM virtual ocupando o armazenamento. Mas desativei essa opção de configurações porque aumenta a vida de SSD. Isso possui 2 slot para cartão SIM + SD. O que é ótimo. Ambos o SIM têm a agregação VoLTE e da transportadora. O telefone tem belas costas e a cor é atraente. Algumas pessoas podem reclamar de plástico, mas lembre -se de que o telefone traseiro plástico tem melhor recepção de rede do que os telefones traseiros de metal ou vidro. E não tenho nenhum problema com o plástico. Eu não acho que o plástico de volta faz seu telefone ou você parece barato. Estou feliz com o plástico de volta. O telefone também fornece uma tampa de TPU e a capa, por mais amarelencial que seja o mês. Esta é a química inerente à TPU, e ninguém pode impedir essa degradação química. Como sempre pode ser desacelerado por não expor -o à luz solar. O scanner de impressão digital é excelente, funciona perfeitamente. A tela de toque também é excelente. No entanto, eu não gosto de alguns dos aplicativos pré -instalados. Alguns podem ser desinstalados que alguns não podem especialmente o Mi Pay e GetApps da Mi Store. Eu não gosto deles. No entanto, eu gosto do aplicativo de segurança pré -instalado. Não há anúncio na notificação e tudo pode ser facilmente desativado. A câmera na parte de trás é boa e suficiente para mim, no entanto, a câmera frontal não é boa. Não mostra fotos como câmera de 8MP. Eu adicionei algumas fotos clicadas pela câmera traseira Redmi Note 11. O MIUI é fluido e tem muitos usuários como Oneui. O MIUI agora está livre de bugs e tem uma versão extremamente polida que agradará o usuário. Então, eu dou a Redmi 11 uma pontuação de 9,5/10. Este é um excelente telefone que eu recebi em 11749/- durante o Great Indian Festival. Eu recomendo Anyboy com uso básico para comprar este telefone. Este telefone não é para jogadores ou pessoas que assistem a vídeos 2K, $ K ou filmam essas coisas. Isso não é ou aqueles que são loucos por 5G. Caso contrário, este telefone atenderá a todos os seus requisitos neste segmento de preços., Uso de 50 dias ... 1. Boa duração da bateria. BQEST para uso diário. 33w carregador também bom. Melhor exibição, mas deveria ter 120Hz em vez de 90,3. Fense-in-de-mão 4. O alto-falante estéreo é alto e nítido (65-35 dividido) .5. Câmera acima da média ... mas bom em relação ao preço. Ui de buggy (menor) como esperado. Mas UI13 melhor do que MIUI Bloody 12.5.7. 4G Chipset SD 680, o que é bom ... 4G+ sempre disponível.8. Algum problema menor com a recepção Wi -Fi. Não sei que eles vão corrigi -lo através da OTA. PUBG, amantes de bacalhau., O primeiro visual desse design de Starbust é atraente ... nenhuma palavra para expressar seu design, na sensação de mão e é toda a dimensão física. O segundo que me impressiona, é o backup da bateria ..... E mesmo você joga quase por um longo tempo .... Isso oferece backup suficiente e velocidade de cobrança também 33W, também é um bom negócio a esse preço. O terceiro fator impressionante é o alto -falante duplo ... Tenho outro telefone de 40k e a qualidade do som é quase a mesma que. A experiência de reprodução de mídia também é aprimorada pela tela AMOLED, tela muito charmosa muito cor ...... literalmente, a qualidade da exibição é imbatível. O entalhe da câmera e o alto -falante duplo aumentam a experiência de reprodução da mídia. Outro desempenho como os jogos também é bom nesse preço. O botão de impressão digital também é muito receptivo. Todas as outras coisas e recursos são bons para o preço. Somente uma coisa é muito decepcionante BCOZ O hype de sua câmera que a empresa mostra depende muito da marca e da fotografia profissional, mas a câmera é de menor grau ... até meu velho Redmi Y2 que eu trocei com isso, tinha uma câmera melhor do que isso ... então, por favor, peço a todos .... não compre isso para a câmera .... apenas não. As imagens são mostradas nas imagens da câmera no site é ilustração de acordo comigo ...... Eu não recomendo que você compre este telefone como telefone da câmera. Se você não é usuário de câmera, certamente irá em frente. PROS- Design, sensação em mãos, bateria e carregamento, tela AMOLED, Dual SpeitherCons- Camera😤😤, um telefone de motorista diário bastante suave. A experiência geral tem sido satisfatória, a boa durabilidade da câmera também parece ser boa, eu o soltei algumas vezes e o Gorilla Glass 5 parece estar se sustentando. 120Hz é ótimo. A velocidade de carregamento também é boa, porém, nada alucinante. A duração da bateria é decente. Dura bastante, mas como eu o mantenho no modo 120Hz o tempo todo, é um pouco menos para mim. Mas não tenho nenhum problema com a duração da bateria por enquanto., Faz o que a descrição diz. Qualidade da câmera não está até a marca, em comparação com outros celulares do Redmi. Até o modelo A3 clica melhor fotos. Você precisa pressionar o botão de bloqueio toda vez para ler a impressão digital. SREAMING. Se você planeja entregá -lo a seus pais ou idosos em sua família, basta instalar o lançador de terceiros e esconder o aplicativo desnecessário ASLO, desative a notificação de spam e os anúncios em tela de bloqueio geral para os idosos ou o usuário do smartphone pela primeira vez., o telefone é bom, mas Estou enfrentando bugs estranhos devido a problemas de software. Depois disso, instalei manualmente o software global mais recente e funcionando bem.</v>
      </c>
    </row>
    <row r="504">
      <c r="A504" s="9" t="s">
        <v>2018</v>
      </c>
      <c r="B504" s="29" t="str">
        <f>VLOOKUP(dados!A504, reviews!A:G, 5, FALSE)</f>
        <v>Value for money smartwatch for those interested in tracking their physical activity.,Noise pulse2max smart watch is awesome and looks good,Paisa wasool,One of the best smartwatches in this segment,Noise,Touch,Good value for money,Best budget segment fitness watch</v>
      </c>
      <c r="C504" s="29" t="str">
        <f>VLOOKUP(dados!A504, reviews!A:G, 6, FALSE)</f>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v>
      </c>
      <c r="D504" s="29" t="str">
        <f>IFERROR(__xludf.DUMMYFUNCTION("GOOGLETRANSLATE(B504, ""en"", ""pt-br"")"),"Valor do dinheiro Smartwatch para aqueles interessados ​​em rastrear sua atividade física., Ruído Pulse2max O relógio inteligente é incrível e parece bom, Paisa Wasool, um dos melhores relógios inteligentes neste segmento, ruído, toque, boa relação custo")</f>
        <v>Valor do dinheiro Smartwatch para aqueles interessados ​​em rastrear sua atividade física., Ruído Pulse2max O relógio inteligente é incrível e parece bom, Paisa Wasool, um dos melhores relógios inteligentes neste segmento, ruído, toque, boa relação custo</v>
      </c>
      <c r="E504" s="29" t="str">
        <f>IFERROR(__xludf.DUMMYFUNCTION("GOOGLETRANSLATE(C504, ""en"", ""pt-br"")"),"Vincular o relógio inteligente ao meu telefone celular não era tão contínuo quanto se espera para esse produto. Uma vez configurado, funciona perfeitamente. No entanto, o aplicativo de ruído smartwatch no meu Google não fornece dados sobre os ciclos de so"&amp;"no e também não há informações sobre como transferir os dados para outro aplicativo útil como um ajuste do Google., Ruído Pulse2Max Smart Watch é incrível e parece bom. A duração da bateria 4 dias está chegando com notificações sem notificações que está c"&amp;"hegando até 8 dias, a embalagem não foi apropriada que o pacote estava cheio de óleo no pacote, mas a embalagem da marca era adequada, então nenhum problema com o produto usando mais de 4 meses o produto é realmente Impressionante e com boa duração da bat"&amp;"eria e precisão e a qualidade das chamadas no SmartWatch são as melhores, eu uso o produto há um tempo e tenho que dizer que adoro isso. A bateria dura em torno de 4-5 dias, não 10 dias, você obtém uma duração de 10 dias de 10 dias se desativar quase todo"&amp;"s os recursos do relógio, como detecção de carros, e não a conectar ao seu telefone. O relógio requer mais suporte ao software e eles devem adicionar mais rostos de relógio ..., bom produto. Valor total do dinheiro !!, bom produto, o recurso de chamada a "&amp;"um preço tão preço é definitivamente uma vantagem, os recursos de saúde não são um pouco até a marca, mas gerenciáveis. A tela é responsiva, mas um pouco baixa res., Https: //m.media-amazon.com/images/i/61viko9cudl._sy88.jpg")</f>
        <v>Vincular o relógio inteligente ao meu telefone celular não era tão contínuo quanto se espera para esse produto. Uma vez configurado, funciona perfeitamente. No entanto, o aplicativo de ruído smartwatch no meu Google não fornece dados sobre os ciclos de sono e também não há informações sobre como transferir os dados para outro aplicativo útil como um ajuste do Google., Ruído Pulse2Max Smart Watch é incrível e parece bom. A duração da bateria 4 dias está chegando com notificações sem notificações que está chegando até 8 dias, a embalagem não foi apropriada que o pacote estava cheio de óleo no pacote, mas a embalagem da marca era adequada, então nenhum problema com o produto usando mais de 4 meses o produto é realmente Impressionante e com boa duração da bateria e precisão e a qualidade das chamadas no SmartWatch são as melhores, eu uso o produto há um tempo e tenho que dizer que adoro isso. A bateria dura em torno de 4-5 dias, não 10 dias, você obtém uma duração de 10 dias de 10 dias se desativar quase todos os recursos do relógio, como detecção de carros, e não a conectar ao seu telefone. O relógio requer mais suporte ao software e eles devem adicionar mais rostos de relógio ..., bom produto. Valor total do dinheiro !!, bom produto, o recurso de chamada a um preço tão preço é definitivamente uma vantagem, os recursos de saúde não são um pouco até a marca, mas gerenciáveis. A tela é responsiva, mas um pouco baixa res., Https: //m.media-amazon.com/images/i/61viko9cudl._sy88.jpg</v>
      </c>
    </row>
    <row r="505">
      <c r="A505" s="9" t="s">
        <v>149</v>
      </c>
      <c r="B505" s="29" t="str">
        <f>VLOOKUP(dados!A505, reviews!A:G, 5, FALSE)</f>
        <v>Just buy it dont even 2nd guess it,Quality is good,Nylon braided quiet sturdy,Amazing,Feels like steel harnessed wire - strong,Sturdy and durable. Useful for charging Power Banks,good,Nice quality</v>
      </c>
      <c r="C505" s="29" t="str">
        <f>VLOOKUP(dados!A505, reviews!A:G, 6, FALSE)</f>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v>
      </c>
      <c r="D505" s="29" t="str">
        <f>IFERROR(__xludf.DUMMYFUNCTION("GOOGLETRANSLATE(B505, ""en"", ""pt-br"")"),"Basta comprar, nem o segundo adivinhe, a qualidade é boa, nylon trançado silencioso robusto, incrível, parece um fio de aço - forte, forte e durável. Útil para cobrar bancos de energia, boa, boa qualidade")</f>
        <v>Basta comprar, nem o segundo adivinhe, a qualidade é boa, nylon trançado silencioso robusto, incrível, parece um fio de aço - forte, forte e durável. Útil para cobrar bancos de energia, boa, boa qualidade</v>
      </c>
      <c r="E505" s="29" t="str">
        <f>IFERROR(__xludf.DUMMYFUNCTION("GOOGLETRANSLATE(C505, ""en"", ""pt-br"")"),"Um cabo incrível por 300 dólares, ok de carregamento. Parece muito resistente e durável., Charagem rápida de até 25watts 2m de comprimento e realmente durável. Procurei como a 4ª vez passou por meus cabos mais antigos para os membros da família ainda em e"&amp;"stado de trabalho. Comprei em 2019 e quase os últimos três anos Publique um uso pesado ... vou comprar de novo! Cabo de carregamento USB C de boa qualidade, de boa qualidade, que permite o carregamento rápido para os telefones Samsung M21, bem como M33 5G"&amp;" 24 W, buscando telefones. Comprimento do cabo de 2 metros útil para manter o telefone na mesa enquanto carrega o adaptador conectado à saída elétrica. Melhor valor. Custos de 2 m semelhantes custam 3x ou 4x no mercado de varejo. Este é o melhor preço, ót"&amp;"imo produto. Quer isso, pois minha bateria portátil possui slot USB e iPad e Kindle Reader possui portas USB-C. Se encaixa perfeitamente na minha necessidade. Cobra muito rápido., Bom, muito bom no geral")</f>
        <v>Um cabo incrível por 300 dólares, ok de carregamento. Parece muito resistente e durável., Charagem rápida de até 25watts 2m de comprimento e realmente durável. Procurei como a 4ª vez passou por meus cabos mais antigos para os membros da família ainda em estado de trabalho. Comprei em 2019 e quase os últimos três anos Publique um uso pesado ... vou comprar de novo! Cabo de carregamento USB C de boa qualidade, de boa qualidade, que permite o carregamento rápido para os telefones Samsung M21, bem como M33 5G 24 W, buscando telefones. Comprimento do cabo de 2 metros útil para manter o telefone na mesa enquanto carrega o adaptador conectado à saída elétrica. Melhor valor. Custos de 2 m semelhantes custam 3x ou 4x no mercado de varejo. Este é o melhor preço, ótimo produto. Quer isso, pois minha bateria portátil possui slot USB e iPad e Kindle Reader possui portas USB-C. Se encaixa perfeitamente na minha necessidade. Cobra muito rápido., Bom, muito bom no geral</v>
      </c>
    </row>
    <row r="506">
      <c r="A506" s="9" t="s">
        <v>145</v>
      </c>
      <c r="B506" s="29" t="str">
        <f>VLOOKUP(dados!A506, reviews!A:G, 5, FALSE)</f>
        <v>Very good product.,Using as a spare cable in car,Sturdy, Durable, Fast Charging!,Good brand,It’s like original apple cable,One of the best wire ..,Super well build. Quality product worth the money,Good product</v>
      </c>
      <c r="C506" s="29" t="str">
        <f>VLOOKUP(dados!A506, reviews!A:G, 6, FALSE)</f>
        <v>Fast charging.,Cable seems to be of good quality, not used much as I keep it as backup in my car.,It’s good, sturdy &amp; durable!It supports fast charging!Only thing is it’s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v>
      </c>
      <c r="D506" s="29" t="str">
        <f>IFERROR(__xludf.DUMMYFUNCTION("GOOGLETRANSLATE(B506, ""en"", ""pt-br"")"),"Produto muito bom., Usando como um cabo sobressalente em carro, carregamento robusto, durável e rápido!, Boa marca, é como o cabo de maçã original, um dos melhores fios .., super bem construir. Produto de qualidade que vale o dinheiro, bom produto")</f>
        <v>Produto muito bom., Usando como um cabo sobressalente em carro, carregamento robusto, durável e rápido!, Boa marca, é como o cabo de maçã original, um dos melhores fios .., super bem construir. Produto de qualidade que vale o dinheiro, bom produto</v>
      </c>
      <c r="E506" s="29" t="str">
        <f>IFERROR(__xludf.DUMMYFUNCTION("GOOGLETRANSLATE(C506, ""en"", ""pt-br"")"),"Carregamento rápido., O cabo parece ser de boa qualidade, não é usado muito, pois eu o mantenho como backup no meu carro., É bom, robusto e durável! Ele suporta carregamento rápido! Estou escrevendo esta resenha após 10 dias de uso deste produto e achei m"&amp;"uito durável e resistente. Também é bom para viajar, onde você deve mantê -lo nas sacolas sem qualquer tipo de caixa. Eu recomendaria a todos., Melhor fio de fio C para conector de iluminação GO Compra de dinheiro, valor ao dinheiro, estou feliz com o pro"&amp;"duto. A qualidade é boa. Durável.")</f>
        <v>Carregamento rápido., O cabo parece ser de boa qualidade, não é usado muito, pois eu o mantenho como backup no meu carro., É bom, robusto e durável! Ele suporta carregamento rápido! Estou escrevendo esta resenha após 10 dias de uso deste produto e achei muito durável e resistente. Também é bom para viajar, onde você deve mantê -lo nas sacolas sem qualquer tipo de caixa. Eu recomendaria a todos., Melhor fio de fio C para conector de iluminação GO Compra de dinheiro, valor ao dinheiro, estou feliz com o produto. A qualidade é boa. Durável.</v>
      </c>
    </row>
    <row r="507">
      <c r="A507" s="9" t="s">
        <v>2024</v>
      </c>
      <c r="B507" s="29" t="str">
        <f>VLOOKUP(dados!A507, reviews!A:G, 5, FALSE)</f>
        <v>Good Quality,Good one,Good,Decent buy,Value for money,Product worth buying,Lasted for 5 months,It fullfilled my expectations.. Looks awesome..</v>
      </c>
      <c r="C507" s="29" t="str">
        <f>VLOOKUP(dados!A507, reviews!A:G, 6, FALSE)</f>
        <v>Good Quality. Works well. It shows warp charge on phone when charging. 4 start only coz the charging is a bit slower (about 20%) than the original.,Value for Money,Good 👍,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v>
      </c>
      <c r="D507" s="29" t="str">
        <f>IFERROR(__xludf.DUMMYFUNCTION("GOOGLETRANSLATE(B507, ""en"", ""pt-br"")"),"Boa qualidade, boa, boa e decente, compra, valor ao dinheiro, produto que vale a pena comprar, durou 5 meses, atenciou minhas expectativas .. parece incrível ..")</f>
        <v>Boa qualidade, boa, boa e decente, compra, valor ao dinheiro, produto que vale a pena comprar, durou 5 meses, atenciou minhas expectativas .. parece incrível ..</v>
      </c>
      <c r="E507" s="29" t="str">
        <f>IFERROR(__xludf.DUMMYFUNCTION("GOOGLETRANSLATE(C507, ""en"", ""pt-br"")"),"Boa qualidade. Funciona bem. Ele mostra a cobrança de warp no telefone ao carregar. 4 Inicie apenas porque o carregamento é um pouco mais lento (cerca de 20%) que o original., Valor do dinheiro, bom 👍, mas não como original, em todo o bom produto. Compra"&amp;" decente, produto muito bom, valor ao dinheiro, este cabo que comprei no final de 22 de julho e em dezembro de 22, parou de funcionar. Não é durável e não é uma relação custo / benefício por 330rs de cabo durou quase por 5 meses., Onim One Plus Type C Cab"&amp;"ine custa cerca de 800rs. Então foi ter um decente. Mas recebeu este produto com quase o mesmo que original. Vou escrever assim que começar a usar isso por um tempo. Mas minha primeira impressão neste produto é boa. Ele suporta o cargo de Warp 30W. Parece"&amp;" estável. Bom construído")</f>
        <v>Boa qualidade. Funciona bem. Ele mostra a cobrança de warp no telefone ao carregar. 4 Inicie apenas porque o carregamento é um pouco mais lento (cerca de 20%) que o original., Valor do dinheiro, bom 👍, mas não como original, em todo o bom produto. Compra decente, produto muito bom, valor ao dinheiro, este cabo que comprei no final de 22 de julho e em dezembro de 22, parou de funcionar. Não é durável e não é uma relação custo / benefício por 330rs de cabo durou quase por 5 meses., Onim One Plus Type C Cabine custa cerca de 800rs. Então foi ter um decente. Mas recebeu este produto com quase o mesmo que original. Vou escrever assim que começar a usar isso por um tempo. Mas minha primeira impressão neste produto é boa. Ele suporta o cargo de Warp 30W. Parece estável. Bom construído</v>
      </c>
    </row>
    <row r="508">
      <c r="A508" s="9" t="s">
        <v>2028</v>
      </c>
      <c r="B508" s="29" t="str">
        <f>VLOOKUP(dados!A508, reviews!A:G, 5, FALSE)</f>
        <v>just a watch not smart one... all features are to make fool of  you,Worst watch, connecting problem with phone nd automatically disconnecting from phone.,Very good quality of product and price is very low.,Good,ভালো,Damaged product supplied later on exchanged,Battery life less.,Amezing</v>
      </c>
      <c r="C508" s="29" t="str">
        <f>VLOOKUP(dados!A508, reviews!A:G, 6, FALSE)</f>
        <v>just a watch not smart one... all features are to make fool of  you,Worst watch,  connecting problem with phone nd automatically disconnecting from phone,Very good quality of product and price is very low.Very good,,ভালো ঘড়ি টা।,Dislike,After use of 2 months observed battery life is getting only one day max with only normal usage with out audio.Ok for regular usage,Superb</v>
      </c>
      <c r="D508" s="29" t="str">
        <f>IFERROR(__xludf.DUMMYFUNCTION("GOOGLETRANSLATE(B508, ""en"", ""pt-br"")"),"Apenas um relógio não é inteligente ... todos os recursos são fazer de você, o pior relógio, conectando o problema com o telefone e desconectando automaticamente do telefone., muito boa qualidade de produto e preço é muito baixo., bom, ভালো, produto danif"&amp;"icado fornecido mais tarde na troca, a duração da bateria menos., Amezing")</f>
        <v>Apenas um relógio não é inteligente ... todos os recursos são fazer de você, o pior relógio, conectando o problema com o telefone e desconectando automaticamente do telefone., muito boa qualidade de produto e preço é muito baixo., bom, ভালো, produto danificado fornecido mais tarde na troca, a duração da bateria menos., Amezing</v>
      </c>
      <c r="E508" s="29" t="str">
        <f>IFERROR(__xludf.DUMMYFUNCTION("GOOGLETRANSLATE(C508, ""en"", ""pt-br"")"),"Apenas um relógio não é inteligente ... Todos os recursos são fazer de você, o pior relógio, conectando problemas com telefone e desconectando automaticamente do telefone, muito boa qualidade de produto e preço é muito baixa. Muito bom ,, ভালো টা।। , Anti"&amp;"patia, após o uso de 2 meses observados, a duração da bateria está ficando apenas um dia no máximo com apenas uso normal sem áudio.ok para uso regular, excelente")</f>
        <v>Apenas um relógio não é inteligente ... Todos os recursos são fazer de você, o pior relógio, conectando problemas com telefone e desconectando automaticamente do telefone, muito boa qualidade de produto e preço é muito baixa. Muito bom ,, ভালো টা।। , Antipatia, após o uso de 2 meses observados, a duração da bateria está ficando apenas um dia no máximo com apenas uso normal sem áudio.ok para uso regular, excelente</v>
      </c>
    </row>
    <row r="509">
      <c r="A509" s="9" t="s">
        <v>2032</v>
      </c>
      <c r="B509" s="29" t="str">
        <f>VLOOKUP(dados!A509, reviews!A:G, 5, FALSE)</f>
        <v>Fake Product,Costly but excellent quality,Storage good but don't know how to Activate warantee??,Good for use,5 stas nahi diya kyuki capacity 477gb hi rahta hai,Speed not as advertise,Good one,It's ok</v>
      </c>
      <c r="C509" s="29" t="str">
        <f>VLOOKUP(dados!A509, reviews!A:G, 6, FALSE)</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c r="D509" s="29" t="str">
        <f>IFERROR(__xludf.DUMMYFUNCTION("GOOGLETRANSLATE(B509, ""en"", ""pt-br"")"),"Produto falso, caro, mas excelente qualidade, armazenamento bom, mas não sei como ativar a Warantee?")</f>
        <v>Produto falso, caro, mas excelente qualidade, armazenamento bom, mas não sei como ativar a Warantee?</v>
      </c>
      <c r="E509" s="29" t="str">
        <f>IFERROR(__xludf.DUMMYFUNCTION("GOOGLETRANSLATE(C509, ""en"", ""pt-br"")"),"O cartão SD de 128 GB está mostrando 134gbdon não comprar este produto, foi um pouco caro, mas o Prouduct é de ótima qualidade. Poderia ter sido feito um pouco mais barato. , O produto está ok.")</f>
        <v>O cartão SD de 128 GB está mostrando 134gbdon não comprar este produto, foi um pouco caro, mas o Prouduct é de ótima qualidade. Poderia ter sido feito um pouco mais barato. , O produto está ok.</v>
      </c>
    </row>
    <row r="510">
      <c r="A510" s="9" t="s">
        <v>2036</v>
      </c>
      <c r="B510" s="29" t="str">
        <f>VLOOKUP(dados!A510, reviews!A:G, 5, FALSE)</f>
        <v>7-8/10, Decent, good for day to day use,Good choice under budget of Rs2000,Average product.,Budget friendly,Overall it's a good watch,Good product,Best in design, accuracy and looks fancy. A must buy for every person who is watch enthusiast.,Having a great experience</v>
      </c>
      <c r="C510" s="29" t="str">
        <f>VLOOKUP(dados!A510, reviews!A:G, 6, FALSE)</f>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v>
      </c>
      <c r="D510" s="29" t="str">
        <f>IFERROR(__xludf.DUMMYFUNCTION("GOOGLETRANSLATE(B510, ""en"", ""pt-br"")"),"7-8/10, decente, bom para uso diário, boa escolha sob orçamento de Rs2000, produto médio., Friendia ao orçamento, no geral é um bom relógio, bom produto, melhor em design, precisão e parece chique. Um deve comprar para cada pessoa que está assistindo entu"&amp;"siasta., Ter uma ótima experiência")</f>
        <v>7-8/10, decente, bom para uso diário, boa escolha sob orçamento de Rs2000, produto médio., Friendia ao orçamento, no geral é um bom relógio, bom produto, melhor em design, precisão e parece chique. Um deve comprar para cada pessoa que está assistindo entusiasta., Ter uma ótima experiência</v>
      </c>
      <c r="E510" s="29" t="str">
        <f>IFERROR(__xludf.DUMMYFUNCTION("GOOGLETRANSLATE(C510, ""en"", ""pt-br"")"),"REVISÃO DE 2 MESES- Está funcionando bem, não há problema a partir de agora .. Algumas coisas- o rastreamento de etapas inteiras, eu comprei por esse motivo, isso basicamente não me satisfaz com esse nível com isso, mas isso Conta as etapas com precisão n"&amp;"o modo de caminhada (atividade), ela tem alguns arranhões. Só podemos ter 2, 1 personalização e 1 download do aplicativo (que tem opções limitadas), os outros fundos são apenas .. eh ... os looks, eu vou dar 9/10, é uma tela de toque diferente de boa apar"&amp;"ência é boa O rastreamento do sono também é meio preciso (eu ainda não entendi tão bem lol) A duração da bateria é Muah, eu a uso sem Bluetooth e ele sobrevive facilmente por 6-7 diasspo2 e freqüência cardíaca, eu apenas acredito no que diz que posso Não "&amp;"verifique se isso está correto. , estou bastante satisfeito com isso como meu primeiro relógio inteligente 😗, usei este produto por 4 dias e vou classificar os vários recursos e diferentes aspectos deste smartwatch, que podem ajudar os clientes aqui -ent"&amp;"ão, Bluetooth Chamando (4/5) - O microfone embutido deste relógio é excelente e a voz chega ao outro lado sem qualquer perturbação, o relógio se conecta sem problemas com o celular e não se desconecte automaticamente até fazer isso por meio de relógio ou "&amp;"telefone . Somente o golpe é que você não pode silenciar a chamada que é irritante em algum momento, espero que eles o corram com uma atualização. A melhor coisa é que também parece bom nos pulsos magros (pobre em mim, com pulso de 5,6 polegadas). Somente"&amp;" o golpe é que você pode fazer arranhões em exibição, portanto, proteja com ela algum tipo de tela de tela. Aposto que você não terá nenhuma experiência lenta. Conte etapas com precisão decente também. A precisão do sono também é aceitável. excelente. A v"&amp;"oz chega ao outro lado sem nenhum distúrbio. A qualidade de construção é boa sobre os pulsos, mas você pode fazer arranhões na tela; portanto, proteja -o com algum guarda de tela. Você deve ir para este relógio, se quiser um smartwatch para o orçamento ab"&amp;"aixo de 2000., é um bom relógio, mas eu enfrentei dois problemas, o primeiro é que não há nenhum recurso de aumento para acordar e o segundo é que não há não haver Opção para silenciar quando alguém te ligar ... acho que você deve comprá -lo se, na futura"&amp;" empresa, adicionar esses dois recursos ..., eu comprei recentemente o relógio Fire Boltt Phoenix e estou muito feliz com minha compra. O relógio é bastante elegante, e eu recebo elogios toda vez que o uso. O relógio também é bastante confortável de usar,"&amp;" e a alça é ajustável para caber em qualquer tamanho de pulso. O relógio também tem uma ótima duração da bateria, e eu posso passar dias sem ter que carregá -lo. O relógio também possui vários recursos, incluindo um contador de etapas, monitor de freqüênc"&amp;"ia cardíaca e rastreador de sono. Todos esses recursos são muito úteis e facilitam o rastreamento da minha atividade e da saúde. No geral, estou muito satisfeito com minha compra e recomendo o relógio Fire Boltt Phoenix para quem procura um relógio elegan"&amp;"te e funcional., Este relógio é absolutamente impressionante e de ótimo valor para o dinheiro. Realmente satisfeito com o design e a forma do relógio, definitivamente uma compra obrigatória para todas as pessoas. Louse a cor, a durabilidade e a precisão é"&amp;" super 👍. Basta ir em frente., Gostei do produto, ele possui muitos recursos como rastreamento de sono, SP02, medição de freqüência cardíaca, tocador de música, verificador de temperatura, meu único nitpick seria que ele só tem 2 jogos e, em segundo luga"&amp;"r, tem bons papéis de parede, mas um ben 10 Papel de parede Omnitrix daria uma aparência ainda mais incrível")</f>
        <v>REVISÃO DE 2 MESES- Está funcionando bem, não há problema a partir de agora .. Algumas coisas- o rastreamento de etapas inteiras, eu comprei por esse motivo, isso basicamente não me satisfaz com esse nível com isso, mas isso Conta as etapas com precisão no modo de caminhada (atividade), ela tem alguns arranhões. Só podemos ter 2, 1 personalização e 1 download do aplicativo (que tem opções limitadas), os outros fundos são apenas .. eh ... os looks, eu vou dar 9/10, é uma tela de toque diferente de boa aparência é boa O rastreamento do sono também é meio preciso (eu ainda não entendi tão bem lol) A duração da bateria é Muah, eu a uso sem Bluetooth e ele sobrevive facilmente por 6-7 diasspo2 e freqüência cardíaca, eu apenas acredito no que diz que posso Não verifique se isso está correto. , estou bastante satisfeito com isso como meu primeiro relógio inteligente 😗, usei este produto por 4 dias e vou classificar os vários recursos e diferentes aspectos deste smartwatch, que podem ajudar os clientes aqui -então, Bluetooth Chamando (4/5) - O microfone embutido deste relógio é excelente e a voz chega ao outro lado sem qualquer perturbação, o relógio se conecta sem problemas com o celular e não se desconecte automaticamente até fazer isso por meio de relógio ou telefone . Somente o golpe é que você não pode silenciar a chamada que é irritante em algum momento, espero que eles o corram com uma atualização. A melhor coisa é que também parece bom nos pulsos magros (pobre em mim, com pulso de 5,6 polegadas). Somente o golpe é que você pode fazer arranhões em exibição, portanto, proteja com ela algum tipo de tela de tela. Aposto que você não terá nenhuma experiência lenta. Conte etapas com precisão decente também. A precisão do sono também é aceitável. excelente. A voz chega ao outro lado sem nenhum distúrbio. A qualidade de construção é boa sobre os pulsos, mas você pode fazer arranhões na tela; portanto, proteja -o com algum guarda de tela. Você deve ir para este relógio, se quiser um smartwatch para o orçamento abaixo de 2000., é um bom relógio, mas eu enfrentei dois problemas, o primeiro é que não há nenhum recurso de aumento para acordar e o segundo é que não há não haver Opção para silenciar quando alguém te ligar ... acho que você deve comprá -lo se, na futura empresa, adicionar esses dois recursos ..., eu comprei recentemente o relógio Fire Boltt Phoenix e estou muito feliz com minha compra. O relógio é bastante elegante, e eu recebo elogios toda vez que o uso. O relógio também é bastante confortável de usar, e a alça é ajustável para caber em qualquer tamanho de pulso. O relógio também tem uma ótima duração da bateria, e eu posso passar dias sem ter que carregá -lo. O relógio também possui vários recursos, incluindo um contador de etapas, monitor de freqüência cardíaca e rastreador de sono. Todos esses recursos são muito úteis e facilitam o rastreamento da minha atividade e da saúde. No geral, estou muito satisfeito com minha compra e recomendo o relógio Fire Boltt Phoenix para quem procura um relógio elegante e funcional., Este relógio é absolutamente impressionante e de ótimo valor para o dinheiro. Realmente satisfeito com o design e a forma do relógio, definitivamente uma compra obrigatória para todas as pessoas. Louse a cor, a durabilidade e a precisão é super 👍. Basta ir em frente., Gostei do produto, ele possui muitos recursos como rastreamento de sono, SP02, medição de freqüência cardíaca, tocador de música, verificador de temperatura, meu único nitpick seria que ele só tem 2 jogos e, em segundo lugar, tem bons papéis de parede, mas um ben 10 Papel de parede Omnitrix daria uma aparência ainda mais incrível</v>
      </c>
    </row>
    <row r="511">
      <c r="A511" s="9" t="s">
        <v>2038</v>
      </c>
      <c r="B511" s="29" t="str">
        <f>VLOOKUP(dados!A511, reviews!A:G, 5, FALSE)</f>
        <v>Excellent Phone in the budget segment,Best value for money... But afraid of future MIUI updates.,Don't purchase it as camera phone 😤,Dependable &amp; it's been a year.,Budget mobile,Good for basic use,Phone is nice , but software is not</v>
      </c>
      <c r="C511" s="29" t="str">
        <f>VLOOKUP(dados!A511, reviews!A:G, 6, FALSE)</f>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v>
      </c>
      <c r="D511" s="29" t="str">
        <f>IFERROR(__xludf.DUMMYFUNCTION("GOOGLETRANSLATE(B511, ""en"", ""pt-br"")"),"Excelente telefone no segmento de orçamento, melhor valor para dinheiro ... mas com medo das futuras atualizações do MIUI., Não o compre como telefone da câmera 😤, confiável e já faz um ano., Orçamento móvel, bom para uso básico, o telefone é Bom, mas o "&amp;"software não é")</f>
        <v>Excelente telefone no segmento de orçamento, melhor valor para dinheiro ... mas com medo das futuras atualizações do MIUI., Não o compre como telefone da câmera 😤, confiável e já faz um ano., Orçamento móvel, bom para uso básico, o telefone é Bom, mas o software não é</v>
      </c>
      <c r="E511" s="29" t="str">
        <f>IFERROR(__xludf.DUMMYFUNCTION("GOOGLETRANSLATE(C511, ""en"", ""pt-br"")"),"Eu estava procurando um telefone abaixo de 10k. Não sou uma pessoa que acredita queimar dinheiro para telefones. Meu requisito era um telefone que tenha uma boa recepção de rede, boa recepção de Wi -Fi, um software equilibrado, boa duração da bateria, boa"&amp;" tela que não lidera os olhos, um bom hardware, o fone de ouvido de 3,5 mm e um carregador. Não preciso da rede 5G porque o 5G drena muito a bateria e o 5G gasta muitos dados. Não assisto filme ou YT na rede móvel e me pergunto quantos assistem a vídeos F"&amp;"HD, 2K e 4K sobre a rede móvel. Para baixar documentos, as redes sociais, os aplicativos bancários 4G são mais do que suficientes. No meu orçamento, descobri que todos os telefones têm 4 GB de RAM. Realme Narzo 50 foi 9999/- durante o GIF e tinha todos es"&amp;"ses recursos junto com um bom processador e outro foi o Redmi Note 11. Mas descobri que, se eu puder estender meu orçamento um pouco mais com todos os cupons e ofertas bancários, posso obter um Redmi Nota 11 com 6 GB de RAM em 11749/-. A RAM de 6 GB é sem"&amp;"pre preferida em 4 GB de RAM, porque ninguém sabe se, com atualizações futuras, o sistema operacional exigiria mais RAM ou não, também os softwares podem exigir mais RAM com o passar do tempo. Portanto, essa era a única opção que eu conhecia, então dispon"&amp;"ível. A Nota 11 do AMOLED tem uma tela AMOLED, não estou incomodado com 60Hz, 90Hz, 120Hz. Eu mantenho a taxa de atualização em 60Hz e o visor funciona sem lag ou gagueira zero. Toda a minha tela de mesa tem uma taxa de atualização de 60Hz e estou feliz c"&amp;"om eles, então por que preciso de uma tela de 90 Hz? Eu acho que tudo isso é apenas um truque comercializado por empresas e revisores on -line. A tela possui excelente capacidade de reprodução de cores e as cores parecem ricas. Você pode ajustar a tempera"&amp;"tura da cor para aquecer ou esfriar, mas acho que o padrão é bom para mim. Além disso, você pode calibrar as cores de exibição nas configurações, mas acho que você não precisa disso. O tamanho da tela é de 6,43 polegadas, poderia ter sido melhor se fosse "&amp;"de 6,7 polegadas. Eu prefiro um grande telefone de exibição. O Redmi Note 12 tem essa grande tela. Um protetor de tela de plástico é pré -aplicado na tela e estou feliz com isso. O protetor da tela parece suave e as impressões digitais podem ser facilment"&amp;"e removidas limpando com um pano úmido. A tela possui uma câmera de furo que parece boa. Este telefone duelo. Um é mais poderoso no fundo e outro no topo. Mas acho que o segundo alto -falante é na verdade o fone de ouvido que amplifica enquanto assiste a "&amp;"filmes ou YT. O alto -falante inferior é mais alto que o alto -falante e o volume é bom. O que mais você espera de tão pequenos alto -falantes! O telefone tem excelente recepção de wifi e rede móvel. Muitos se queixaram da baixa conectividade WiFi, mas da"&amp;" minha experiência, posso dizer que meu telefone e o modem wifi permanecem em diferentes andares, ainda assim recebo um bom sinal e nunca desconectei. A Voice Over Mobile Network parece agradável e clara e a outra parte pode ouvi -lo bem e limpar. No enta"&amp;"nto, como o segundo alto -falante é uma extensão da peça de fone de ouvido, o som vazará se a outra pessoa estiver gritando por telefone. O telefone possui bateria de 5000mAh e vem com carregador de 33W, que é um bônus nesse preço. A bateria oferece backu"&amp;"p longo. Com uma boa rede móvel, você pode usá -lo por 3 dias sem carregar usando recursos básicos, como telefone, SMS, e -mail, FB, WA etc. Mas eu o carrego regularmente e a carga da bateria nunca cai abaixo de 70%. O telefone possui processador SD680 qu"&amp;"e é Mais o suficiente para tarefas básicas e um desempenho bom sem qualquer atraso. A experiência é a manteiga suave. No entanto, os aplicativos são limpos automaticamente da RAM, que eu gosto, porque não preciso limpar a RAM manualmente. No entanto, após"&amp;" o Android 12, atualize o aplicativo Ram Hold por mais tempo, mas acabou com a limpeza. O SD 680 não aquece e é muito eficiente em termos de energia. Por causa dessa bateria, drena muito pouco e 33W carrega telefone dentro de 30 minutos pelo meu uso. O ca"&amp;"bo é USB A a C e se sente bom. Este telefone possui IR Blaster; portanto, em seu escritório em casa, você pode controlar o CA ou outros gadgets suportados com este telefone quando o controle remoto não estiver disponível. A RAM é de 6 GB e pode ser expand"&amp;"ida adicional 1 GB como RAM virtual ocupando o armazenamento. Mas desativei essa opção de configurações porque aumenta a vida de SSD. Isso possui 2 slot para cartão SIM + SD. O que é ótimo. Ambos o SIM têm a agregação VoLTE e da transportadora. O telefone"&amp;" tem belas costas e a cor é atraente. Algumas pessoas podem reclamar de plástico, mas lembre -se de que o telefone traseiro plástico tem melhor recepção de rede do que os telefones traseiros de metal ou vidro. E não tenho nenhum problema com o plástico. E"&amp;"u não acho que o plástico de volta faz seu telefone ou você parece barato. Estou feliz com o plástico de volta. O telefone também fornece uma tampa de TPU e a capa, por mais amarelencial que seja o mês. Esta é a química inerente à TPU, e ninguém pode impe"&amp;"dir essa degradação química. Como sempre pode ser desacelerado por não expor -o à luz solar. O scanner de impressão digital é excelente, funciona perfeitamente. A tela de toque também é excelente. No entanto, eu não gosto de alguns dos aplicativos pré -in"&amp;"stalados. Alguns podem ser desinstalados que alguns não podem especialmente o Mi Pay e GetApps da Mi Store. Eu não gosto deles. No entanto, eu gosto do aplicativo de segurança pré -instalado. Não há anúncio na notificação e tudo pode ser facilmente desati"&amp;"vado. A câmera na parte de trás é boa e suficiente para mim, no entanto, a câmera frontal não é boa. Não mostra fotos como câmera de 8MP. Eu adicionei algumas fotos clicadas pela câmera traseira Redmi Note 11. O MIUI é fluido e tem muitos usuários como On"&amp;"eui. O MIUI agora está livre de bugs e tem uma versão extremamente polida que agradará o usuário. Então, eu dou a Redmi 11 uma pontuação de 9,5/10. Este é um excelente telefone que eu recebi em 11749/- durante o Great Indian Festival. Eu recomendo Anyboy "&amp;"com uso básico para comprar este telefone. Este telefone não é para jogadores ou pessoas que assistem a vídeos 2K, $ K ou filmam essas coisas. Isso não é ou aqueles que são loucos por 5G. Caso contrário, este telefone atenderá a todos os seus requisitos n"&amp;"este segmento de preços., Uso de 50 dias ... 1. Boa duração da bateria. BQEST para uso diário. 33w carregador também bom. Melhor exibição, mas deveria ter 120Hz em vez de 90,3. Fense-in-de-mão 4. O alto-falante estéreo é alto e nítido (65-35 dividido) .5."&amp;" Câmera acima da média ... mas bom em relação ao preço. Ui de buggy (menor) como esperado. Mas UI13 melhor do que MIUI Bloody 12.5.7. 4G Chipset SD 680, o que é bom ... 4G+ sempre disponível.8. Algum problema menor com a recepção Wi -Fi. Não sei que eles "&amp;"vão corrigi -lo através da OTA. PUBG, amantes de bacalhau., O primeiro visual desse design de Starbust é atraente ... nenhuma palavra para expressar seu design, na sensação de mão e é toda a dimensão física. O segundo que me impressiona, é o backup da bat"&amp;"eria ..... E mesmo você joga quase por um longo tempo .... Isso oferece backup suficiente e velocidade de cobrança também 33W, também é um bom negócio a esse preço. O terceiro fator impressionante é o alto -falante duplo ... Tenho outro telefone de 40k e "&amp;"a qualidade do som é quase a mesma que. A experiência de reprodução de mídia também é aprimorada pela tela AMOLED, tela muito charmosa muito cor ...... literalmente, a qualidade da exibição é imbatível. O entalhe da câmera e o alto -falante duplo aumentam"&amp;" a experiência de reprodução da mídia. Outro desempenho como os jogos também é bom nesse preço. O botão de impressão digital também é muito receptivo. Todas as outras coisas e recursos são bons para o preço. Somente uma coisa é muito decepcionante BCOZ O "&amp;"hype de sua câmera que a empresa mostra depende muito da marca e da fotografia profissional, mas a câmera é de menor grau ... até meu velho Redmi Y2 que eu trocei com isso, tinha uma câmera melhor do que isso ... então, por favor, peço a todos .... não co"&amp;"mpre isso para a câmera .... apenas não. As imagens são mostradas nas imagens da câmera no site é ilustração de acordo comigo ...... Eu não recomendo que você compre este telefone como telefone da câmera. Se você não é usuário de câmera, certamente irá em"&amp;" frente. PROS- Design, sensação em mãos, bateria e carregamento, tela AMOLED, Dual SpeitherCons- Camera😤😤, um telefone de motorista diário bastante suave. A experiência geral tem sido satisfatória, a boa durabilidade da câmera também parece ser boa, eu "&amp;"o soltei algumas vezes e o Gorilla Glass 5 parece estar se sustentando. 120Hz é ótimo. A velocidade de carregamento também é boa, porém, nada alucinante. A duração da bateria é decente. Dura bastante, mas como eu o mantenho no modo 120Hz o tempo todo, é u"&amp;"m pouco menos para mim. Mas não tenho nenhum problema com a duração da bateria por enquanto., Faz o que a descrição diz. Qualidade da câmera não está até a marca, em comparação com outros celulares do Redmi. Até o modelo A3 clica melhor fotos. Você precis"&amp;"a pressionar o botão de bloqueio toda vez para ler a impressão digital. SREAMING. Se você planeja entregá -lo a seus pais ou idosos em sua família, basta instalar o lançador de terceiros e esconder o aplicativo desnecessário ASLO, desative a notificação d"&amp;"e spam e os anúncios em tela de bloqueio geral para os idosos ou o usuário do smartphone pela primeira vez., o telefone é bom, mas Estou enfrentando bugs estranhos devido a problemas de software. Depois disso, instalei manualmente o software global mais r"&amp;"ecente e funcionando bem.")</f>
        <v>Eu estava procurando um telefone abaixo de 10k. Não sou uma pessoa que acredita queimar dinheiro para telefones. Meu requisito era um telefone que tenha uma boa recepção de rede, boa recepção de Wi -Fi, um software equilibrado, boa duração da bateria, boa tela que não lidera os olhos, um bom hardware, o fone de ouvido de 3,5 mm e um carregador. Não preciso da rede 5G porque o 5G drena muito a bateria e o 5G gasta muitos dados. Não assisto filme ou YT na rede móvel e me pergunto quantos assistem a vídeos FHD, 2K e 4K sobre a rede móvel. Para baixar documentos, as redes sociais, os aplicativos bancários 4G são mais do que suficientes. No meu orçamento, descobri que todos os telefones têm 4 GB de RAM. Realme Narzo 50 foi 9999/- durante o GIF e tinha todos esses recursos junto com um bom processador e outro foi o Redmi Note 11. Mas descobri que, se eu puder estender meu orçamento um pouco mais com todos os cupons e ofertas bancários, posso obter um Redmi Nota 11 com 6 GB de RAM em 11749/-. A RAM de 6 GB é sempre preferida em 4 GB de RAM, porque ninguém sabe se, com atualizações futuras, o sistema operacional exigiria mais RAM ou não, também os softwares podem exigir mais RAM com o passar do tempo. Portanto, essa era a única opção que eu conhecia, então disponível. A Nota 11 do AMOLED tem uma tela AMOLED, não estou incomodado com 60Hz, 90Hz, 120Hz. Eu mantenho a taxa de atualização em 60Hz e o visor funciona sem lag ou gagueira zero. Toda a minha tela de mesa tem uma taxa de atualização de 60Hz e estou feliz com eles, então por que preciso de uma tela de 90 Hz? Eu acho que tudo isso é apenas um truque comercializado por empresas e revisores on -line. A tela possui excelente capacidade de reprodução de cores e as cores parecem ricas. Você pode ajustar a temperatura da cor para aquecer ou esfriar, mas acho que o padrão é bom para mim. Além disso, você pode calibrar as cores de exibição nas configurações, mas acho que você não precisa disso. O tamanho da tela é de 6,43 polegadas, poderia ter sido melhor se fosse de 6,7 polegadas. Eu prefiro um grande telefone de exibição. O Redmi Note 12 tem essa grande tela. Um protetor de tela de plástico é pré -aplicado na tela e estou feliz com isso. O protetor da tela parece suave e as impressões digitais podem ser facilmente removidas limpando com um pano úmido. A tela possui uma câmera de furo que parece boa. Este telefone duelo. Um é mais poderoso no fundo e outro no topo. Mas acho que o segundo alto -falante é na verdade o fone de ouvido que amplifica enquanto assiste a filmes ou YT. O alto -falante inferior é mais alto que o alto -falante e o volume é bom. O que mais você espera de tão pequenos alto -falantes! O telefone tem excelente recepção de wifi e rede móvel. Muitos se queixaram da baixa conectividade WiFi, mas da minha experiência, posso dizer que meu telefone e o modem wifi permanecem em diferentes andares, ainda assim recebo um bom sinal e nunca desconectei. A Voice Over Mobile Network parece agradável e clara e a outra parte pode ouvi -lo bem e limpar. No entanto, como o segundo alto -falante é uma extensão da peça de fone de ouvido, o som vazará se a outra pessoa estiver gritando por telefone. O telefone possui bateria de 5000mAh e vem com carregador de 33W, que é um bônus nesse preço. A bateria oferece backup longo. Com uma boa rede móvel, você pode usá -lo por 3 dias sem carregar usando recursos básicos, como telefone, SMS, e -mail, FB, WA etc. Mas eu o carrego regularmente e a carga da bateria nunca cai abaixo de 70%. O telefone possui processador SD680 que é Mais o suficiente para tarefas básicas e um desempenho bom sem qualquer atraso. A experiência é a manteiga suave. No entanto, os aplicativos são limpos automaticamente da RAM, que eu gosto, porque não preciso limpar a RAM manualmente. No entanto, após o Android 12, atualize o aplicativo Ram Hold por mais tempo, mas acabou com a limpeza. O SD 680 não aquece e é muito eficiente em termos de energia. Por causa dessa bateria, drena muito pouco e 33W carrega telefone dentro de 30 minutos pelo meu uso. O cabo é USB A a C e se sente bom. Este telefone possui IR Blaster; portanto, em seu escritório em casa, você pode controlar o CA ou outros gadgets suportados com este telefone quando o controle remoto não estiver disponível. A RAM é de 6 GB e pode ser expandida adicional 1 GB como RAM virtual ocupando o armazenamento. Mas desativei essa opção de configurações porque aumenta a vida de SSD. Isso possui 2 slot para cartão SIM + SD. O que é ótimo. Ambos o SIM têm a agregação VoLTE e da transportadora. O telefone tem belas costas e a cor é atraente. Algumas pessoas podem reclamar de plástico, mas lembre -se de que o telefone traseiro plástico tem melhor recepção de rede do que os telefones traseiros de metal ou vidro. E não tenho nenhum problema com o plástico. Eu não acho que o plástico de volta faz seu telefone ou você parece barato. Estou feliz com o plástico de volta. O telefone também fornece uma tampa de TPU e a capa, por mais amarelencial que seja o mês. Esta é a química inerente à TPU, e ninguém pode impedir essa degradação química. Como sempre pode ser desacelerado por não expor -o à luz solar. O scanner de impressão digital é excelente, funciona perfeitamente. A tela de toque também é excelente. No entanto, eu não gosto de alguns dos aplicativos pré -instalados. Alguns podem ser desinstalados que alguns não podem especialmente o Mi Pay e GetApps da Mi Store. Eu não gosto deles. No entanto, eu gosto do aplicativo de segurança pré -instalado. Não há anúncio na notificação e tudo pode ser facilmente desativado. A câmera na parte de trás é boa e suficiente para mim, no entanto, a câmera frontal não é boa. Não mostra fotos como câmera de 8MP. Eu adicionei algumas fotos clicadas pela câmera traseira Redmi Note 11. O MIUI é fluido e tem muitos usuários como Oneui. O MIUI agora está livre de bugs e tem uma versão extremamente polida que agradará o usuário. Então, eu dou a Redmi 11 uma pontuação de 9,5/10. Este é um excelente telefone que eu recebi em 11749/- durante o Great Indian Festival. Eu recomendo Anyboy com uso básico para comprar este telefone. Este telefone não é para jogadores ou pessoas que assistem a vídeos 2K, $ K ou filmam essas coisas. Isso não é ou aqueles que são loucos por 5G. Caso contrário, este telefone atenderá a todos os seus requisitos neste segmento de preços., Uso de 50 dias ... 1. Boa duração da bateria. BQEST para uso diário. 33w carregador também bom. Melhor exibição, mas deveria ter 120Hz em vez de 90,3. Fense-in-de-mão 4. O alto-falante estéreo é alto e nítido (65-35 dividido) .5. Câmera acima da média ... mas bom em relação ao preço. Ui de buggy (menor) como esperado. Mas UI13 melhor do que MIUI Bloody 12.5.7. 4G Chipset SD 680, o que é bom ... 4G+ sempre disponível.8. Algum problema menor com a recepção Wi -Fi. Não sei que eles vão corrigi -lo através da OTA. PUBG, amantes de bacalhau., O primeiro visual desse design de Starbust é atraente ... nenhuma palavra para expressar seu design, na sensação de mão e é toda a dimensão física. O segundo que me impressiona, é o backup da bateria ..... E mesmo você joga quase por um longo tempo .... Isso oferece backup suficiente e velocidade de cobrança também 33W, também é um bom negócio a esse preço. O terceiro fator impressionante é o alto -falante duplo ... Tenho outro telefone de 40k e a qualidade do som é quase a mesma que. A experiência de reprodução de mídia também é aprimorada pela tela AMOLED, tela muito charmosa muito cor ...... literalmente, a qualidade da exibição é imbatível. O entalhe da câmera e o alto -falante duplo aumentam a experiência de reprodução da mídia. Outro desempenho como os jogos também é bom nesse preço. O botão de impressão digital também é muito receptivo. Todas as outras coisas e recursos são bons para o preço. Somente uma coisa é muito decepcionante BCOZ O hype de sua câmera que a empresa mostra depende muito da marca e da fotografia profissional, mas a câmera é de menor grau ... até meu velho Redmi Y2 que eu trocei com isso, tinha uma câmera melhor do que isso ... então, por favor, peço a todos .... não compre isso para a câmera .... apenas não. As imagens são mostradas nas imagens da câmera no site é ilustração de acordo comigo ...... Eu não recomendo que você compre este telefone como telefone da câmera. Se você não é usuário de câmera, certamente irá em frente. PROS- Design, sensação em mãos, bateria e carregamento, tela AMOLED, Dual SpeitherCons- Camera😤😤, um telefone de motorista diário bastante suave. A experiência geral tem sido satisfatória, a boa durabilidade da câmera também parece ser boa, eu o soltei algumas vezes e o Gorilla Glass 5 parece estar se sustentando. 120Hz é ótimo. A velocidade de carregamento também é boa, porém, nada alucinante. A duração da bateria é decente. Dura bastante, mas como eu o mantenho no modo 120Hz o tempo todo, é um pouco menos para mim. Mas não tenho nenhum problema com a duração da bateria por enquanto., Faz o que a descrição diz. Qualidade da câmera não está até a marca, em comparação com outros celulares do Redmi. Até o modelo A3 clica melhor fotos. Você precisa pressionar o botão de bloqueio toda vez para ler a impressão digital. SREAMING. Se você planeja entregá -lo a seus pais ou idosos em sua família, basta instalar o lançador de terceiros e esconder o aplicativo desnecessário ASLO, desative a notificação de spam e os anúncios em tela de bloqueio geral para os idosos ou o usuário do smartphone pela primeira vez., o telefone é bom, mas Estou enfrentando bugs estranhos devido a problemas de software. Depois disso, instalei manualmente o software global mais recente e funcionando bem.</v>
      </c>
    </row>
    <row r="512">
      <c r="A512" s="9" t="s">
        <v>2041</v>
      </c>
      <c r="B512" s="29" t="str">
        <f>VLOOKUP(dados!A512, reviews!A:G, 5, FALSE)</f>
        <v>nice product,Great watch,Ok ok,Nice 👍,Thik thak,Avarage,Smart watch,They can improve more</v>
      </c>
      <c r="C512" s="29" t="str">
        <f>VLOOKUP(dados!A512, reviews!A:G, 6, FALSE)</f>
        <v>I really like this product. Gifted to my sister, and she likes it,Great ⌚,Good product,Nice 👍,Thik hai,In this price range it's ok product,Color so nice..I loved it,Need some more features:(</v>
      </c>
      <c r="D512" s="29" t="str">
        <f>IFERROR(__xludf.DUMMYFUNCTION("GOOGLETRANSLATE(B512, ""en"", ""pt-br"")"),"bom produto, ótimo relógio, ok ok, bom 👍, thik thak, avarage, relógio inteligente, eles podem melhorar mais")</f>
        <v>bom produto, ótimo relógio, ok ok, bom 👍, thik thak, avarage, relógio inteligente, eles podem melhorar mais</v>
      </c>
      <c r="E512" s="29" t="str">
        <f>IFERROR(__xludf.DUMMYFUNCTION("GOOGLETRANSLATE(C512, ""en"", ""pt-br"")"),"Eu realmente gosto deste produto. Dotado para minha irmã, e ela gosta, ótima ⌚, bom produto, bom 👍, thik hai, nessa faixa de preço, tudo bem, cor, cor tão legal ... eu adorei, preciso de mais alguns recursos :(")</f>
        <v>Eu realmente gosto deste produto. Dotado para minha irmã, e ela gosta, ótima ⌚, bom produto, bom 👍, thik hai, nessa faixa de preço, tudo bem, cor, cor tão legal ... eu adorei, preciso de mais alguns recursos :(</v>
      </c>
    </row>
    <row r="513">
      <c r="A513" s="9" t="s">
        <v>2045</v>
      </c>
      <c r="B513" s="29" t="str">
        <f>VLOOKUP(dados!A513, reviews!A:G, 5, FALSE)</f>
        <v>Good 5g mobile,Overall good phone,The best phone in 2k22 I have purchased in 30sep,Works amazing and buttery smooth, design kinda boring though,Good,Overall good under this budget,not bad,Buy for normal daily use..</v>
      </c>
      <c r="C513" s="29" t="str">
        <f>VLOOKUP(dados!A513, reviews!A:G, 6, FALSE)</f>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v>
      </c>
      <c r="D513" s="29" t="str">
        <f>IFERROR(__xludf.DUMMYFUNCTION("GOOGLETRANSLATE(B513, ""en"", ""pt-br"")"),"Bom 5G Mobile, Bom telefone em geral, o melhor telefone em 2K22 que eu comprei no 30SEP, funciona incrível e amanteigado, projete meio chato, bom, em geral, bom sob esse orçamento, não ruim, compre para uso diário normal ..")</f>
        <v>Bom 5G Mobile, Bom telefone em geral, o melhor telefone em 2K22 que eu comprei no 30SEP, funciona incrível e amanteigado, projete meio chato, bom, em geral, bom sob esse orçamento, não ruim, compre para uso diário normal ..</v>
      </c>
      <c r="E513" s="29" t="str">
        <f>IFERROR(__xludf.DUMMYFUNCTION("GOOGLETRANSLATE(C513, ""en"", ""pt-br"")"),"A boa tela é uma boa duração da bateria é muito boa, a qualidade da câmera é boa para mim, a colocação da impressora não é boa, não pode ser usada com as duas mãos, usando -a dos últimos 3 meses agora. O backup da bateria é bom, a câmera é boa e, nessa fa"&amp;"ixa de preço, essa é uma das boas opções a partir de agora, o melhor telefone em 2K22 que comprei no 30SEP, mas em 2dec meu celular roubado durante esse período, usei 7-8 horas Em um dia continua, mas não há problema de lag a duração da bateria é bom, o a"&amp;"lto-falante não é bom, eu acho que neste celular há um problema que eu enfrento: -Phone é incrível com a Dimensidade 810 e eu só tenho elogios pela taxa de atualização do desempenho 90Hz A abertura dos olhos vindo de uma construção de telefone de 60Hz é b"&amp;"astante sólida e a parte traseira tem uma textura agradável que não cria impressões digitais muito Redmi empacotou o telefone com alguns recursos interessantes, como o IR Blaster e o surpreendentemente incrível DAC, que Redmi nem sequer flexionar no marke"&amp;"ting. (Meus fones de ouvido somam Miles Miles melhor deste telefone do que o meu laptop SMH)-A capa do telefone incluída está bem e é uma bela de Redmi para jogar um (o buraco em torno do fone de ouvido poderia ser maior, embora interfira em quaisquer cab"&amp;"os auxiliares com alojamentos chonky. )-Apenas as queixas id são que o design é meio que meio; Não parece incrível, mas nada para reclamar sobre o comentar a qualidade da câmera HMHM, pois eu sou um pleb que não sabe como nitpick na qualidade da câmera: o"&amp;" protetor de tela incluído em P está realmente ruim (só está abaixo de um mês e aí está lá já estão arranhões em torno da tela inferior onde a ID estará digitando). É altamente recomendável descascar -o e arriscar -se com o Gorilla Glass ou apenas consegu"&amp;"ir algo de reposição para que a Recomenda fortemente se você gosta de um telefone solidamente construído, focado em fazer as coisas em vez de sentar e ficar bonito, bom, se você comprar telefone Para fins de câmera, não compre isso. Mas o celular médio ge"&amp;"ral sob esse preço. Backup da bateria muito bom e alterando o tempo APX 40-50 minutos para 1 a 100%., Bom, é um bom produto para uso diário normal. A qualidade da câmera não está à altura.")</f>
        <v>A boa tela é uma boa duração da bateria é muito boa, a qualidade da câmera é boa para mim, a colocação da impressora não é boa, não pode ser usada com as duas mãos, usando -a dos últimos 3 meses agora. O backup da bateria é bom, a câmera é boa e, nessa faixa de preço, essa é uma das boas opções a partir de agora, o melhor telefone em 2K22 que comprei no 30SEP, mas em 2dec meu celular roubado durante esse período, usei 7-8 horas Em um dia continua, mas não há problema de lag a duração da bateria é bom, o alto-falante não é bom, eu acho que neste celular há um problema que eu enfrento: -Phone é incrível com a Dimensidade 810 e eu só tenho elogios pela taxa de atualização do desempenho 90Hz A abertura dos olhos vindo de uma construção de telefone de 60Hz é bastante sólida e a parte traseira tem uma textura agradável que não cria impressões digitais muito Redmi empacotou o telefone com alguns recursos interessantes, como o IR Blaster e o surpreendentemente incrível DAC, que Redmi nem sequer flexionar no marketing. (Meus fones de ouvido somam Miles Miles melhor deste telefone do que o meu laptop SMH)-A capa do telefone incluída está bem e é uma bela de Redmi para jogar um (o buraco em torno do fone de ouvido poderia ser maior, embora interfira em quaisquer cabos auxiliares com alojamentos chonky. )-Apenas as queixas id são que o design é meio que meio; Não parece incrível, mas nada para reclamar sobre o comentar a qualidade da câmera HMHM, pois eu sou um pleb que não sabe como nitpick na qualidade da câmera: o protetor de tela incluído em P está realmente ruim (só está abaixo de um mês e aí está lá já estão arranhões em torno da tela inferior onde a ID estará digitando). É altamente recomendável descascar -o e arriscar -se com o Gorilla Glass ou apenas conseguir algo de reposição para que a Recomenda fortemente se você gosta de um telefone solidamente construído, focado em fazer as coisas em vez de sentar e ficar bonito, bom, se você comprar telefone Para fins de câmera, não compre isso. Mas o celular médio geral sob esse preço. Backup da bateria muito bom e alterando o tempo APX 40-50 minutos para 1 a 100%., Bom, é um bom produto para uso diário normal. A qualidade da câmera não está à altura.</v>
      </c>
    </row>
    <row r="514">
      <c r="A514" s="9" t="s">
        <v>2049</v>
      </c>
      <c r="B514" s="29" t="str">
        <f>VLOOKUP(dados!A514, reviews!A:G, 5, FALSE)</f>
        <v>Sensors burnt my wrist upon wearing overnight,Worst to buy,👍👍,It's  good,Low battery life and it's okay to buy,Superb 😘,Good,Good product</v>
      </c>
      <c r="C514" s="29" t="str">
        <f>VLOOKUP(dados!A514, reviews!A:G, 6, FALSE)</f>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v>
      </c>
      <c r="D514" s="29" t="str">
        <f>IFERROR(__xludf.DUMMYFUNCTION("GOOGLETRANSLATE(B514, ""en"", ""pt-br"")"),"Sensores queimaram meu pulso ao usar durante a noite, pior para comprar, 👍👍, é bom, baixa duração da bateria e está tudo bem para comprar, excelente 😘, bom, bom produto")</f>
        <v>Sensores queimaram meu pulso ao usar durante a noite, pior para comprar, 👍👍, é bom, baixa duração da bateria e está tudo bem para comprar, excelente 😘, bom, bom produto</v>
      </c>
      <c r="E514" s="29" t="str">
        <f>IFERROR(__xludf.DUMMYFUNCTION("GOOGLETRANSLATE(C514, ""en"", ""pt-br"")"),"Os sensores queimaram a dois pontos de mais de 3 mm de diâmetro no meu pulso ao usar durante a noite e eu abandonei usá -lo por medo. Tinha fotos fechadas. , Duração longa da bateria, recursos máximos, bom, bom produto")</f>
        <v>Os sensores queimaram a dois pontos de mais de 3 mm de diâmetro no meu pulso ao usar durante a noite e eu abandonei usá -lo por medo. Tinha fotos fechadas. , Duração longa da bateria, recursos máximos, bom, bom produto</v>
      </c>
    </row>
    <row r="515">
      <c r="A515" s="9" t="s">
        <v>2053</v>
      </c>
      <c r="B515" s="29" t="str">
        <f>VLOOKUP(dados!A515, reviews!A:G, 5, FALSE)</f>
        <v>Na,Add bluthooth calling,Premium build watch with mid range features and some bad design choices,Happy with the purchase,Got this watch at 4499,Nyc watch with minimal features,Worth the money,No call receiving option</v>
      </c>
      <c r="C515" s="29" t="str">
        <f>VLOOKUP(dados!A515, reviews!A:G, 6, FALSE)</f>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it  ,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v>
      </c>
      <c r="D515" s="29" t="str">
        <f>IFERROR(__xludf.DUMMYFUNCTION("GOOGLETRANSLATE(B515, ""en"", ""pt-br"")"),"NA, Adicione a chamada de Bluthooth, relógio de construção premium com recursos intermediários e algumas opções ruins de design, felizes com a compra, recebi este relógio em 4499, relógio de Nova York com recursos mínimos, vale o dinheiro, sem opção de re"&amp;"cebimento de chamada")</f>
        <v>NA, Adicione a chamada de Bluthooth, relógio de construção premium com recursos intermediários e algumas opções ruins de design, felizes com a compra, recebi este relógio em 4499, relógio de Nova York com recursos mínimos, vale o dinheiro, sem opção de recebimento de chamada</v>
      </c>
      <c r="E515" s="29" t="str">
        <f>IFERROR(__xludf.DUMMYFUNCTION("GOOGLETRANSLATE(C515, ""en"", ""pt-br"")"),"Eu realmente surpreende que não exista uma chamada Bluetooth e nenhuma marca GPSal, embora seja boa, mas se houver Bluetooth e GPS, será muito bom para os compradores, os pedidos adicionam chamadas de Bluthooth para que o seu relógio a venda aumentará, é "&amp;"um relógio de compilação premium com recursos de alcance média. Ele precisa de muitas atualizações de software para corrigir bugs e más opções de design. Eu devolvi o relógio após um dia de uso porque os recursos não justificaram o preço que eu estava pag"&amp;"ando. A mesma notificação aparece duas vezes nas notações de relógios que limpei do meu telefone, não desapareça do relógio e até vibra aleatoriamente, mostrando as notificações antigas. Quando eu quero esclarecer uma notificação, tenho que deslizar para "&amp;"a esquerda para o ícone excluir e depois tocar no ícone de exclusão. Por que a etapa extra? Por que não considerar o deslizamento deixado como uma remoção de notificações? As chamadas no relógio só têm o botão de rejeição. Não há botão para aceitar a cham"&amp;"ada do Watch.Google Sync Sync não pode armazenar apenas 5 rostos de relógio por vez. Além disso, a variedade de facas de relógios não é muito, o que provavelmente é compreensível porque acabou de lançar algumas atualizações de software que seria um relógi"&amp;"o realmente competitivo, espero que não o abandonem, como se abandonassem a atualização do relógio OnePlus, https: // m.media-mazon.com/images/i/61ousyai-0l._sy88.jpg,nice watch a 4499 Preço Eu usei cartão de crédito do City Bank para desconto, as funções"&amp;" são super suaves, embora o aplicativo n-saúde às vezes faça Não rastreie o exercício, em geral o relógio é um ótimo produto., Atualizar por PLZ e adicionar opção de recebimento de chamadas")</f>
        <v>Eu realmente surpreende que não exista uma chamada Bluetooth e nenhuma marca GPSal, embora seja boa, mas se houver Bluetooth e GPS, será muito bom para os compradores, os pedidos adicionam chamadas de Bluthooth para que o seu relógio a venda aumentará, é um relógio de compilação premium com recursos de alcance média. Ele precisa de muitas atualizações de software para corrigir bugs e más opções de design. Eu devolvi o relógio após um dia de uso porque os recursos não justificaram o preço que eu estava pagando. A mesma notificação aparece duas vezes nas notações de relógios que limpei do meu telefone, não desapareça do relógio e até vibra aleatoriamente, mostrando as notificações antigas. Quando eu quero esclarecer uma notificação, tenho que deslizar para a esquerda para o ícone excluir e depois tocar no ícone de exclusão. Por que a etapa extra? Por que não considerar o deslizamento deixado como uma remoção de notificações? As chamadas no relógio só têm o botão de rejeição. Não há botão para aceitar a chamada do Watch.Google Sync Sync não pode armazenar apenas 5 rostos de relógio por vez. Além disso, a variedade de facas de relógios não é muito, o que provavelmente é compreensível porque acabou de lançar algumas atualizações de software que seria um relógio realmente competitivo, espero que não o abandonem, como se abandonassem a atualização do relógio OnePlus, https: // m.media-mazon.com/images/i/61ousyai-0l._sy88.jpg,nice watch a 4499 Preço Eu usei cartão de crédito do City Bank para desconto, as funções são super suaves, embora o aplicativo n-saúde às vezes faça Não rastreie o exercício, em geral o relógio é um ótimo produto., Atualizar por PLZ e adicionar opção de recebimento de chamadas</v>
      </c>
    </row>
    <row r="516">
      <c r="A516" s="9" t="s">
        <v>173</v>
      </c>
      <c r="B516" s="29" t="str">
        <f>VLOOKUP(dados!A516, reviews!A:G, 5, FALSE)</f>
        <v>It's pretty good,Average quality,very good and useful usb cable,Good USB cable. My experience was very good it is long lasting,Good,Nice product and useful,-,Sturdy but does not support 33w charging</v>
      </c>
      <c r="C516" s="29" t="str">
        <f>VLOOKUP(dados!A516, reviews!A:G, 6, FALSE)</f>
        <v>It's a good product.,Like,Very good item strong and useful USB cableValue for moneyThanks to amazon and producer,https://m.media-amazon.com/images/W/WEBP_402378-T1/images/I/51112ZRE-1L._SY88.jpg,Good,Nice product and useful product,-,Sturdy but does not support 33w charging</v>
      </c>
      <c r="D516" s="29" t="str">
        <f>IFERROR(__xludf.DUMMYFUNCTION("GOOGLETRANSLATE(B516, ""en"", ""pt-br"")"),"É muito bom, qualidade média, cabo USB muito bom e útil, bom cabo USB. Minha experiência foi muito boa, é duradouro, bom, bom produto e útil,-, resistente, mas não suporta carregamento de 33w")</f>
        <v>É muito bom, qualidade média, cabo USB muito bom e útil, bom cabo USB. Minha experiência foi muito boa, é duradouro, bom, bom produto e útil,-, resistente, mas não suporta carregamento de 33w</v>
      </c>
      <c r="E516" s="29" t="str">
        <f>IFERROR(__xludf.DUMMYFUNCTION("GOOGLETRANSLATE(C516, ""en"", ""pt-br"")"),"É um bom produto., Tipo, um item muito bom forte e útil USB CableValue for Moneythanks para a Amazon e produtor, https: //m.media-amazon.com/images/w/webp_402378-t1/images/i/51112zre-1l ._Sy88.jpg, bom, bom produto e produto útil,-, robusto, mas não supor"&amp;"ta carregamento de 33w")</f>
        <v>É um bom produto., Tipo, um item muito bom forte e útil USB CableValue for Moneythanks para a Amazon e produtor, https: //m.media-amazon.com/images/w/webp_402378-t1/images/i/51112zre-1l ._Sy88.jpg, bom, bom produto e produto útil,-, robusto, mas não suporta carregamento de 33w</v>
      </c>
    </row>
    <row r="517">
      <c r="A517" s="9" t="s">
        <v>2058</v>
      </c>
      <c r="B517" s="29" t="str">
        <f>VLOOKUP(dados!A517, reviews!A:G, 5, FALSE)</f>
        <v>Noise,Nice watch',DeezNuts are important,Noise,Noise,Good 👍,Noice,Noise</v>
      </c>
      <c r="C517" s="29" t="str">
        <f>VLOOKUP(dados!A517, reviews!A:G, 6, FALSE)</f>
        <v>Only issue I've had is battery life.Rest it is a great product.,Very nice watchNice touch,ok.,Nice,Good product,Battery back up need to be improved... Remaining all features are good...,Ai is not working properly,Watch is good ..but I had battery issue and alarm issues</v>
      </c>
      <c r="D517" s="29" t="str">
        <f>IFERROR(__xludf.DUMMYFUNCTION("GOOGLETRANSLATE(B517, ""en"", ""pt-br"")"),"Ruído, bom relógio ', deeznuts são importantes, ruído, ruído, bom 👍, noice, ruído")</f>
        <v>Ruído, bom relógio ', deeznuts são importantes, ruído, ruído, bom 👍, noice, ruído</v>
      </c>
      <c r="E517" s="29" t="str">
        <f>IFERROR(__xludf.DUMMYFUNCTION("GOOGLETRANSLATE(C517, ""en"", ""pt-br"")"),"A única questão que tive é a duração da bateria. Rest, é um ótimo produto., Muito bom WatchNice Touch, OK., Bom, bom produto, a bateria de backup precisa ser melhorada ... permanecendo todos os recursos são bons ..., Ai não está funcionando corretamente, "&amp;"o relógio é bom ... mas eu tive problemas de bateria e problemas de alarme")</f>
        <v>A única questão que tive é a duração da bateria. Rest, é um ótimo produto., Muito bom WatchNice Touch, OK., Bom, bom produto, a bateria de backup precisa ser melhorada ... permanecendo todos os recursos são bons ..., Ai não está funcionando corretamente, o relógio é bom ... mas eu tive problemas de bateria e problemas de alarme</v>
      </c>
    </row>
    <row r="518">
      <c r="A518" s="9" t="s">
        <v>2062</v>
      </c>
      <c r="B518" s="29" t="str">
        <f>VLOOKUP(dados!A518, reviews!A:G, 5, FALSE)</f>
        <v>Out of 5 iam giving 3.5 rating everything is okay except voice sound during call,Simple for rough use,charger quality bad,Lightweight.,Terriffic battery life,Good one for elders,Good in this price,Good</v>
      </c>
      <c r="C518" s="29" t="str">
        <f>VLOOKUP(dados!A518, reviews!A:G, 6, FALSE)</f>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v>
      </c>
      <c r="D518" s="29" t="str">
        <f>IFERROR(__xludf.DUMMYFUNCTION("GOOGLETRANSLATE(B518, ""en"", ""pt-br"")"),"Dos 5 iam, dando 3,5 classificação, tudo está bem, exceto o som da voz durante a chamada, simples para uso bruto, qualidade do carregador ruim, leve.")</f>
        <v>Dos 5 iam, dando 3,5 classificação, tudo está bem, exceto o som da voz durante a chamada, simples para uso bruto, qualidade do carregador ruim, leve.</v>
      </c>
      <c r="E518" s="29" t="str">
        <f>IFERROR(__xludf.DUMMYFUNCTION("GOOGLETRANSLATE(C518, ""en"", ""pt-br"")"),"Classificação está tudo bem, exceto o som da voz durante a chamada, a duração da bateria é muito boa ... o som também é alto ... econômico., Qualidade do carregador ruim, https: //m.media-amazon.com/images/i/614vmh+hrtl ._Sy88.jpg, a bateria durou mais de"&amp;" 15 dias com uso de baixo médio porte. Toda a funcionalidade funciona bem. Perfeito para alguém que deseja limitar as distrações de um smartphone., Bom produto para anciãos, trabalhando bem por cerca de 1 ano. Tudo bem, há algum distúrbio no som enquanto "&amp;"usa FM sem fio")</f>
        <v>Classificação está tudo bem, exceto o som da voz durante a chamada, a duração da bateria é muito boa ... o som também é alto ... econômico., Qualidade do carregador ruim, https: //m.media-amazon.com/images/i/614vmh+hrtl ._Sy88.jpg, a bateria durou mais de 15 dias com uso de baixo médio porte. Toda a funcionalidade funciona bem. Perfeito para alguém que deseja limitar as distrações de um smartphone., Bom produto para anciãos, trabalhando bem por cerca de 1 ano. Tudo bem, há algum distúrbio no som enquanto usa FM sem fio</v>
      </c>
    </row>
    <row r="519">
      <c r="A519" s="9" t="s">
        <v>2066</v>
      </c>
      <c r="B519" s="29" t="str">
        <f>VLOOKUP(dados!A519, reviews!A:G, 5, FALSE)</f>
        <v>Premium looking watch,Excellent Product,The Tracking and touch would be better,Bluetooth connectivity,Very good,The watch is good,Felt Good,Not bad</v>
      </c>
      <c r="C519" s="29" t="str">
        <f>VLOOKUP(dados!A519, reviews!A:G, 6, FALSE)</f>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v>
      </c>
      <c r="D519" s="29" t="str">
        <f>IFERROR(__xludf.DUMMYFUNCTION("GOOGLETRANSLATE(B519, ""en"", ""pt-br"")"),"Relógio de aparência premium, excelente produto, rastreamento e toque seriam melhores, conectividade Bluetooth, muito boa, o relógio é bom, parecia bom, não é ruim")</f>
        <v>Relógio de aparência premium, excelente produto, rastreamento e toque seriam melhores, conectividade Bluetooth, muito boa, o relógio é bom, parecia bom, não é ruim</v>
      </c>
      <c r="E519" s="29" t="str">
        <f>IFERROR(__xludf.DUMMYFUNCTION("GOOGLETRANSLATE(C519, ""en"", ""pt-br"")"),"São apenas 4 dias desde que estamos usando o produto e, com base no uso até agora, a revisão está abaixo: Prós: 1) Parece, parece premium.2) durar uma semana ou mais com uso normal (fecharam todas as notificações que salvam a bateria) 4) Etapas da precisã"&amp;"o: dará 8 em 105) carregador magnético (fácil de carregar) contras: 1) não notará nada até agora., I I Encomendei 2 relógios para minha esposa e irmã. Consegui o preço de 1500. Eu sempre sou fã de Firebolt. E Ninja 3 é muito bom. A resposta do toque é boa"&amp;". Boa duração da bateria. A pista de sono é muito ocorrida. Tem todos os recursos necessários e esses são bastante precisos. É leve e parece bom. Acima de tudo, é um excelente produto a esse preço. A tela de toque não é tão boa que leva tempo pode ser que"&amp;" eu preciso usá -lo por um tempo para melhor experiência, gosto do sono, medição de batimentos cardíacos, SPO2 e rastreamento de exercícios. Eu não gosto O Bluetooth do relógio inteligente apenas. Eu uso este relógio para exercícios, a tela da bateria é a"&amp;" tela GoodTouch IS NELEALL, os equipamentos são muito bons, eu gosto do estilo de relógio e o carregamento é tão rápido, o Firebolt Ninja 3Felt Good for the Watch, simples e fácil, é bom, valor para dinheiro, desempenho geral é bom.")</f>
        <v>São apenas 4 dias desde que estamos usando o produto e, com base no uso até agora, a revisão está abaixo: Prós: 1) Parece, parece premium.2) durar uma semana ou mais com uso normal (fecharam todas as notificações que salvam a bateria) 4) Etapas da precisão: dará 8 em 105) carregador magnético (fácil de carregar) contras: 1) não notará nada até agora., I I Encomendei 2 relógios para minha esposa e irmã. Consegui o preço de 1500. Eu sempre sou fã de Firebolt. E Ninja 3 é muito bom. A resposta do toque é boa. Boa duração da bateria. A pista de sono é muito ocorrida. Tem todos os recursos necessários e esses são bastante precisos. É leve e parece bom. Acima de tudo, é um excelente produto a esse preço. A tela de toque não é tão boa que leva tempo pode ser que eu preciso usá -lo por um tempo para melhor experiência, gosto do sono, medição de batimentos cardíacos, SPO2 e rastreamento de exercícios. Eu não gosto O Bluetooth do relógio inteligente apenas. Eu uso este relógio para exercícios, a tela da bateria é a tela GoodTouch IS NELEALL, os equipamentos são muito bons, eu gosto do estilo de relógio e o carregamento é tão rápido, o Firebolt Ninja 3Felt Good for the Watch, simples e fácil, é bom, valor para dinheiro, desempenho geral é bom.</v>
      </c>
    </row>
    <row r="520">
      <c r="A520" s="9" t="s">
        <v>177</v>
      </c>
      <c r="B520" s="29" t="str">
        <f>VLOOKUP(dados!A520, reviews!A:G, 5, FALSE)</f>
        <v>Good,Worth to buy,Great value for price,Good product,Nice product.,Reliable and worth it!,Much more sturdy and durable than Apple cable,Good</v>
      </c>
      <c r="C520" s="29" t="str">
        <f>VLOOKUP(dados!A520, reviews!A:G, 6, FALSE)</f>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v>
      </c>
      <c r="D520" s="29" t="str">
        <f>IFERROR(__xludf.DUMMYFUNCTION("GOOGLETRANSLATE(B520, ""en"", ""pt-br"")"),"Bom, vale a pena comprar, ótimo valor pelo preço, bom produto, bom produto., Confiável e vale a pena!, Muito mais resistente e durável que o cabo de maçã, bom")</f>
        <v>Bom, vale a pena comprar, ótimo valor pelo preço, bom produto, bom produto., Confiável e vale a pena!, Muito mais resistente e durável que o cabo de maçã, bom</v>
      </c>
      <c r="E520" s="29" t="str">
        <f>IFERROR(__xludf.DUMMYFUNCTION("GOOGLETRANSLATE(C520, ""en"", ""pt-br"")"),"Bom orçamento MFI certificado levemente cabo por esse preço. Atualize a revisão do uso após 3 a 5 meses., Melhor que o original em matéria de robustez e durabilidade. Melhor na perspectiva de cobrança. É muito melhor na durabilidade do fio da Apple origin"&amp;"al. Não pense mais que você pode comprar cegamente para comprar e é certificado MFI para que o dispositivo iOS não esteja danificado. Mas o pequeno ponto negativo é a qualidade da embalagem do produto., O carregador é um ótimo acessório de transporte enqu"&amp;"anto viaja sem arriscar o carregador original. O preço também é muito acessível e a velocidade de carregamento é muito boa com um bom adaptador ou banco de energia., Bom produto, um bom produto, Pode recomendar tudo, a única coisa que vejo como problema é"&amp;" o material, as roscas dos cabos retiram quando aderem a um materiais de velcro. Outro produto bom bom, carrega muito bem como original, agradável, confiável e vale a pena, o cabo enviado em caixa feita pela Apple parecia menos resistente e confiável depo"&amp;"is de usar uma ou duas vezes e sentiu que se quebraria mais rapidamente na porta de iluminação e teve Para encomendar o Amazon Basics Cable, que é melhor Miles e a Apple Mifi Certified,")</f>
        <v>Bom orçamento MFI certificado levemente cabo por esse preço. Atualize a revisão do uso após 3 a 5 meses., Melhor que o original em matéria de robustez e durabilidade. Melhor na perspectiva de cobrança. É muito melhor na durabilidade do fio da Apple original. Não pense mais que você pode comprar cegamente para comprar e é certificado MFI para que o dispositivo iOS não esteja danificado. Mas o pequeno ponto negativo é a qualidade da embalagem do produto., O carregador é um ótimo acessório de transporte enquanto viaja sem arriscar o carregador original. O preço também é muito acessível e a velocidade de carregamento é muito boa com um bom adaptador ou banco de energia., Bom produto, um bom produto, Pode recomendar tudo, a única coisa que vejo como problema é o material, as roscas dos cabos retiram quando aderem a um materiais de velcro. Outro produto bom bom, carrega muito bem como original, agradável, confiável e vale a pena, o cabo enviado em caixa feita pela Apple parecia menos resistente e confiável depois de usar uma ou duas vezes e sentiu que se quebraria mais rapidamente na porta de iluminação e teve Para encomendar o Amazon Basics Cable, que é melhor Miles e a Apple Mifi Certified,</v>
      </c>
    </row>
    <row r="521">
      <c r="A521" s="9" t="s">
        <v>2071</v>
      </c>
      <c r="B521" s="29" t="str">
        <f>VLOOKUP(dados!A521, reviews!A:G, 5, FALSE)</f>
        <v>good till now,Good,An additional charger same as ORIGINAL .,Good adapter,Best,okay okay,Good,Good product</v>
      </c>
      <c r="C521" s="29" t="str">
        <f>VLOOKUP(dados!A521, reviews!A:G, 6, FALSE)</f>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v>
      </c>
      <c r="D521" s="29" t="str">
        <f>IFERROR(__xludf.DUMMYFUNCTION("GOOGLETRANSLATE(B521, ""en"", ""pt-br"")"),"bom até agora, bom, um carregador adicional igual ao original., bom adaptador, melhor, ok ok, bom, bom produto")</f>
        <v>bom até agora, bom, um carregador adicional igual ao original., bom adaptador, melhor, ok ok, bom, bom produto</v>
      </c>
      <c r="E521" s="29" t="str">
        <f>IFERROR(__xludf.DUMMYFUNCTION("GOOGLETRANSLATE(C521, ""en"", ""pt-br"")"),"Eu o uso para alimentar meu alto -falante Bluetooth e outra luz USB. Portanto, então ele pode ser bom, um bom carregador meu feedback é 1 mês após a doação é um bom produto., Trabalhando com qualquer tipo de USB do tipo c ou micro.Temperature sempre norma"&amp;"l com intervalos de 2,4 amp. Não é bom comprado por Rs.188, muito melhor,@99 ou 149 Isso é o bom negócio, um trocador normal vê as condições de garantia, bom, bom produto e valor para o dinheiro.")</f>
        <v>Eu o uso para alimentar meu alto -falante Bluetooth e outra luz USB. Portanto, então ele pode ser bom, um bom carregador meu feedback é 1 mês após a doação é um bom produto., Trabalhando com qualquer tipo de USB do tipo c ou micro.Temperature sempre normal com intervalos de 2,4 amp. Não é bom comprado por Rs.188, muito melhor,@99 ou 149 Isso é o bom negócio, um trocador normal vê as condições de garantia, bom, bom produto e valor para o dinheiro.</v>
      </c>
    </row>
    <row r="522">
      <c r="A522" s="9" t="s">
        <v>2075</v>
      </c>
      <c r="B522" s="29" t="str">
        <f>VLOOKUP(dados!A522, reviews!A:G, 5, FALSE)</f>
        <v>Good quality screen protector,Well made basic screen protector,Good one,Good affordable tempered glass,Perfect for pixel 6a,Recommended,Perfect and budget screen guard for pixel 7,Okish</v>
      </c>
      <c r="C522" s="29" t="str">
        <f>VLOOKUP(dados!A522, reviews!A:G, 6, FALSE)</f>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 There is no guide to help you stick the screen guard, which is okay as we all know how to do it. I recommend this product over the overpriced, branded screen guards. But yes, I am not sure how it acts in a drop, and I am scared to test it. But it feels like it will protect the phone display during an accidental drop.,Does the job. Thats it</v>
      </c>
      <c r="D522" s="29" t="str">
        <f>IFERROR(__xludf.DUMMYFUNCTION("GOOGLETRANSLATE(B522, ""en"", ""pt-br"")"),"Protetor de tela de boa qualidade, protetor de tela básico bem feito, bom, bom vidro temperado a acessível, perfeito para pixel 6a, recomendado, perfeito e protetor de tela de orçamento para o pixel 7, okish")</f>
        <v>Protetor de tela de boa qualidade, protetor de tela básico bem feito, bom, bom vidro temperado a acessível, perfeito para pixel 6a, recomendado, perfeito e protetor de tela de orçamento para o pixel 7, okish</v>
      </c>
      <c r="E522" s="29" t="str">
        <f>IFERROR(__xludf.DUMMYFUNCTION("GOOGLETRANSLATE(C522, ""en"", ""pt-br"")"),"Nicey compactado, fácil de instalar e com adesivo de boa qualidade. Perfeitamente se encaixa na tela, é um protetor de tela básico bem feito. O aplicativo pode ser complicado, pois vem sem alinhador. Mas a proteção que ele oferece é boa para a durabilidad"&amp;"e dos arranhões. Temperado é agradável e fácil de instalar. A adesão pode ser melhor., Um bom produto nessa faixa de preço, melhor do que outro vidro temperado caro, parece premium. A sensibilidade ao toque é boa, com um pouco de medo, comprei este item p"&amp;"ara o meu novo pixel 7. Para minha surpresa, ele se encaixa perfeitamente no telefone e até consegui enfiá -lo sem bolhas. Até a resposta de toque e a impressão digital está funcionando perfeitamente, não há guia para ajudá -lo a colar a proteção da tela,"&amp;" o que é bom, pois todos sabemos como fazê -lo. Eu recomendo este produto sobre os guardas de tela de marca muito caro. Mas sim, não tenho certeza de como ele age em uma gota e tenho medo de testá -lo. Mas parece que ele protegerá a exibição do telefone d"&amp;"urante uma queda acidental., Faz o trabalho. É isso")</f>
        <v>Nicey compactado, fácil de instalar e com adesivo de boa qualidade. Perfeitamente se encaixa na tela, é um protetor de tela básico bem feito. O aplicativo pode ser complicado, pois vem sem alinhador. Mas a proteção que ele oferece é boa para a durabilidade dos arranhões. Temperado é agradável e fácil de instalar. A adesão pode ser melhor., Um bom produto nessa faixa de preço, melhor do que outro vidro temperado caro, parece premium. A sensibilidade ao toque é boa, com um pouco de medo, comprei este item para o meu novo pixel 7. Para minha surpresa, ele se encaixa perfeitamente no telefone e até consegui enfiá -lo sem bolhas. Até a resposta de toque e a impressão digital está funcionando perfeitamente, não há guia para ajudá -lo a colar a proteção da tela, o que é bom, pois todos sabemos como fazê -lo. Eu recomendo este produto sobre os guardas de tela de marca muito caro. Mas sim, não tenho certeza de como ele age em uma gota e tenho medo de testá -lo. Mas parece que ele protegerá a exibição do telefone durante uma queda acidental., Faz o trabalho. É isso</v>
      </c>
    </row>
    <row r="523">
      <c r="A523" s="9" t="s">
        <v>2079</v>
      </c>
      <c r="B523" s="29" t="str">
        <f>VLOOKUP(dados!A523, reviews!A:G, 5, FALSE)</f>
        <v>Very useful,Very useful item to make your phone cables long lasting,Price can be reduced as this product is not worth for 80 rs,Value for money,It is useful,Good product,Good quality,Its good item in this money</v>
      </c>
      <c r="C523" s="29" t="str">
        <f>VLOOKUP(dados!A523, reviews!A:G, 6, FALSE)</f>
        <v>A 10bucks piece can save cable worth hundreds. Totally recommend,I just received it and applied on my iphone related cables and connectors. Specially, apple accessories are not that sturdy and doesn’t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v>
      </c>
      <c r="D523" s="29" t="str">
        <f>IFERROR(__xludf.DUMMYFUNCTION("GOOGLETRANSLATE(B523, ""en"", ""pt-br"")"),"Item muito útil e muito útil para tornar seus cabos de telefone duradouros, o preço pode ser reduzido, pois este produto não vale para 80 Rs, valor ao dinheiro, é útil, bom produto, boa qualidade, seu bom item neste dinheiro")</f>
        <v>Item muito útil e muito útil para tornar seus cabos de telefone duradouros, o preço pode ser reduzido, pois este produto não vale para 80 Rs, valor ao dinheiro, é útil, bom produto, boa qualidade, seu bom item neste dinheiro</v>
      </c>
      <c r="E523" s="29" t="str">
        <f>IFERROR(__xludf.DUMMYFUNCTION("GOOGLETRANSLATE(C523, ""en"", ""pt-br"")"),"Uma peça de 10bucks pode salvar o cabo no valor de centenas. Recomendo totalmente, acabei de receber e aplicar em meus cabos e conectores relacionados ao iPhone. Especialmente, os acessórios da Apple não são tão robustos e não dura muito devido a quebra n"&amp;"os pontos finais devido ao desgaste. desgaste e lágrimas. Também se aplicaram em fones de ouvido. Estará vigiando o período se realmente aumentar a vida dos cabos. Agora, sentindo -se bem com esse produto útil. O preço é alto, você pode optar por isso., É"&amp;" útil. Depois de usá -lo, a durabilidade do cabo é boa., Produto muito bom Ele definitivamente protege seu cabo, ele realmente não protege o cabo se o cabo estiver começando a se desgastar. Você precisa usar isso antes que o cabo comece a se desgastar. Fu"&amp;"nciona apenas se o cabo for grosso o suficiente. Mas boa qualidade geral., Bom")</f>
        <v>Uma peça de 10bucks pode salvar o cabo no valor de centenas. Recomendo totalmente, acabei de receber e aplicar em meus cabos e conectores relacionados ao iPhone. Especialmente, os acessórios da Apple não são tão robustos e não dura muito devido a quebra nos pontos finais devido ao desgaste. desgaste e lágrimas. Também se aplicaram em fones de ouvido. Estará vigiando o período se realmente aumentar a vida dos cabos. Agora, sentindo -se bem com esse produto útil. O preço é alto, você pode optar por isso., É útil. Depois de usá -lo, a durabilidade do cabo é boa., Produto muito bom Ele definitivamente protege seu cabo, ele realmente não protege o cabo se o cabo estiver começando a se desgastar. Você precisa usar isso antes que o cabo comece a se desgastar. Funciona apenas se o cabo for grosso o suficiente. Mas boa qualidade geral., Bom</v>
      </c>
    </row>
    <row r="524">
      <c r="A524" s="9" t="s">
        <v>2083</v>
      </c>
      <c r="B524" s="29" t="str">
        <f>VLOOKUP(dados!A524, reviews!A:G, 5, FALSE)</f>
        <v>Nice phone,15 day review,Nice Phone,Extent,Awesome phone, recommend to buy it.,its all okay,Design,Good</v>
      </c>
      <c r="C524" s="29" t="str">
        <f>VLOOKUP(dados!A524, reviews!A:G, 6, FALSE)</f>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v>
      </c>
      <c r="D524" s="29" t="str">
        <f>IFERROR(__xludf.DUMMYFUNCTION("GOOGLETRANSLATE(B524, ""en"", ""pt-br"")"),"Bom telefone, revisão de 15 dias, bom telefone, extensão, telefone incrível, recomendo comprá -lo., Tudo bem, design, bom")</f>
        <v>Bom telefone, revisão de 15 dias, bom telefone, extensão, telefone incrível, recomendo comprá -lo., Tudo bem, design, bom</v>
      </c>
      <c r="E524" s="29" t="str">
        <f>IFERROR(__xludf.DUMMYFUNCTION("GOOGLETRANSLATE(C524, ""en"", ""pt-br"")"),"No geral, é um bom telefone a esse preço, é um bom telefone para seus pais. De você é um usuário pesado, então não considere este telefone.Cons: -1. Carregamento lento (este telefone geralmente leva cerca de 2 horas para carga total) 2. Nos dias iniciais,"&amp;" você ficará impressionado com o consumo de bateria, ou seja, ele roda 1,5 a 2 dias após o carregamento apenas uma vez, mas depois de alguns dias volta ao Normal3. Você não receberá recursos como câmera lenta etc. etc. Nesta faixa de preço, você pode obte"&amp;"r esses recursos em outros telefones ou variantes do mi é minha revisão de 15 dias, portanto, não experimentei todos os recursos do telefone voltará logo após usá -lo há meses, Nill, extensão, telefone incrível, recomendo comprá-lo., Está tudo bem, https:"&amp;" //m.media-amazon.com/images/i/513nl6zji4l._sy88.jpg,nice")</f>
        <v>No geral, é um bom telefone a esse preço, é um bom telefone para seus pais. De você é um usuário pesado, então não considere este telefone.Cons: -1. Carregamento lento (este telefone geralmente leva cerca de 2 horas para carga total) 2. Nos dias iniciais, você ficará impressionado com o consumo de bateria, ou seja, ele roda 1,5 a 2 dias após o carregamento apenas uma vez, mas depois de alguns dias volta ao Normal3. Você não receberá recursos como câmera lenta etc. etc. Nesta faixa de preço, você pode obter esses recursos em outros telefones ou variantes do mi é minha revisão de 15 dias, portanto, não experimentei todos os recursos do telefone voltará logo após usá -lo há meses, Nill, extensão, telefone incrível, recomendo comprá-lo., Está tudo bem, https: //m.media-amazon.com/images/i/513nl6zji4l._sy88.jpg,nice</v>
      </c>
    </row>
    <row r="525">
      <c r="A525" s="9" t="s">
        <v>2086</v>
      </c>
      <c r="B525" s="29" t="str">
        <f>VLOOKUP(dados!A525, reviews!A:G, 5, FALSE)</f>
        <v>Works well, but not for long,Good product,Good product,Good quality,Excellent.,Good,Average item,Try to improve</v>
      </c>
      <c r="C525" s="29" t="str">
        <f>VLOOKUP(dados!A525, reviews!A:G, 6, FALSE)</f>
        <v>The sound quality is excellent for the price, and so are the three buttons. However, the material quality isn't good, and the wite breaks after 9 months or so.,Less bass.. good sound.. quality might be better,I like to buy this headphones,Good product,  very much I like you 👍Good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v>
      </c>
      <c r="D525" s="29" t="str">
        <f>IFERROR(__xludf.DUMMYFUNCTION("GOOGLETRANSLATE(B525, ""en"", ""pt-br"")"),"Funciona bem, mas não por muito tempo, bom produto, bom produto, boa qualidade, excelente., Bom item médio, tente melhorar")</f>
        <v>Funciona bem, mas não por muito tempo, bom produto, bom produto, boa qualidade, excelente., Bom item médio, tente melhorar</v>
      </c>
      <c r="E525" s="29" t="str">
        <f>IFERROR(__xludf.DUMMYFUNCTION("GOOGLETRANSLATE(C525, ""en"", ""pt-br"")"),"A qualidade do som é excelente para o preço, assim como os três botões. No entanto, a qualidade do material não é boa, e o WITE quebra após 9 meses ou mais., Menos baixo .. bom som .. Qualidade pode ser melhor, eu gosto de comprar esses fones de ouvido, b"&amp;"om produto, muito eu gosto de você 👍 Boa qualidade de som. Bom, é realmente um produto muito bom. Muito obrigado Samsung Galaxy, eu tentei muitos fones de ouvido com quase todas as marcas. Mas isso é perfeito. Mids e baixos são excelentes. Treble e baixo"&amp;" estão bem equilibrados. O controle remoto possui 3 botões, o microfone funciona bem durante a chamada., Https: //m.media-amazon.com/images/i/81qrq52xf8l._sy88.jpg.its não tão bons não tão ruins, como .... ?")</f>
        <v>A qualidade do som é excelente para o preço, assim como os três botões. No entanto, a qualidade do material não é boa, e o WITE quebra após 9 meses ou mais., Menos baixo .. bom som .. Qualidade pode ser melhor, eu gosto de comprar esses fones de ouvido, bom produto, muito eu gosto de você 👍 Boa qualidade de som. Bom, é realmente um produto muito bom. Muito obrigado Samsung Galaxy, eu tentei muitos fones de ouvido com quase todas as marcas. Mas isso é perfeito. Mids e baixos são excelentes. Treble e baixo estão bem equilibrados. O controle remoto possui 3 botões, o microfone funciona bem durante a chamada., Https: //m.media-amazon.com/images/i/81qrq52xf8l._sy88.jpg.its não tão bons não tão ruins, como .... ?</v>
      </c>
    </row>
    <row r="526">
      <c r="A526" s="9" t="s">
        <v>2090</v>
      </c>
      <c r="B526" s="29" t="str">
        <f>VLOOKUP(dados!A526, reviews!A:G, 5, FALSE)</f>
        <v>Totally worth rs99,Best,Valuable,Good,Fulfil purpose, easy to carry,Good product,Good product,Good</v>
      </c>
      <c r="C526" s="29" t="str">
        <f>VLOOKUP(dados!A526, reviews!A:G, 6, FALSE)</f>
        <v>Perfect for a 10 inch tablet both vertically and horizontally,It was the best phone holder,Premium quality and reasonable price 👍🏼,Good,Fulfil purpose, easy to carry, solid material. Think it will last long.,Nice,Liked the product. Easy to carry, portable,  foldable, lightweight.,Good</v>
      </c>
      <c r="D526" s="29" t="str">
        <f>IFERROR(__xludf.DUMMYFUNCTION("GOOGLETRANSLATE(B526, ""en"", ""pt-br"")"),"Vale a pena Rs99, melhor, valioso, bom, cumprir um propósito, fácil de transportar, bom produto, bom produto, bom")</f>
        <v>Vale a pena Rs99, melhor, valioso, bom, cumprir um propósito, fácil de transportar, bom produto, bom produto, bom</v>
      </c>
      <c r="E526" s="29" t="str">
        <f>IFERROR(__xludf.DUMMYFUNCTION("GOOGLETRANSLATE(C526, ""en"", ""pt-br"")"),"Perfeito para um comprimido de 10 polegadas, vertical e horizontalmente, era o melhor suporte para telefone, qualidade premium e preço razoável 👍🏼, bom, bom propósito, fácil de transportar, material sólido. Acho que vai durar muito., Nice, gostou do pro"&amp;"duto. Fácil de transportar, portátil, dobrável, leve., Bom")</f>
        <v>Perfeito para um comprimido de 10 polegadas, vertical e horizontalmente, era o melhor suporte para telefone, qualidade premium e preço razoável 👍🏼, bom, bom propósito, fácil de transportar, material sólido. Acho que vai durar muito., Nice, gostou do produto. Fácil de transportar, portátil, dobrável, leve., Bom</v>
      </c>
    </row>
    <row r="527">
      <c r="A527" s="9" t="s">
        <v>2094</v>
      </c>
      <c r="B527" s="29" t="str">
        <f>VLOOKUP(dados!A527, reviews!A:G, 5, FALSE)</f>
        <v>Feature Wise OK at this Price But Sometimes call screen not come on the display of Watch,Problem with connection.,Good,Good watch,Worth ₹1799,Very nice product,Touch working smoothly.,Nice watch</v>
      </c>
      <c r="C527" s="29" t="str">
        <f>VLOOKUP(dados!A527, reviews!A:G, 6, FALSE)</f>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v>
      </c>
      <c r="D527" s="29" t="str">
        <f>IFERROR(__xludf.DUMMYFUNCTION("GOOGLETRANSLATE(B527, ""en"", ""pt-br"")"),"Características Ok a esse preço, mas às vezes a tela de chamada não aparece na exibição do relógio, problema com a conexão., Bom, bom relógio, no valor de ₹ 1799, produto muito bom, toque de trabalho sem problemas., Bom relógio")</f>
        <v>Características Ok a esse preço, mas às vezes a tela de chamada não aparece na exibição do relógio, problema com a conexão., Bom, bom relógio, no valor de ₹ 1799, produto muito bom, toque de trabalho sem problemas., Bom relógio</v>
      </c>
      <c r="E527" s="29" t="str">
        <f>IFERROR(__xludf.DUMMYFUNCTION("GOOGLETRANSLATE(C527, ""en"", ""pt-br"")"),"Esta revisão é baseada nos meus dois dias de uso. Funciona bem no rastreamento de atividades e fitness, mas às vezes o software se comporta mal. Precisa de alguma melhoria no software e não funcionar apenas com o Bluetooth Connect, requer uma conexão com "&amp;"a Internet para sincronização. E às vezes o Bluetooth não funciona totalmente. Acredito que os problemas que estão chegando podem ser resolvidos pelas próximas atualizações de software. Etiqueta de entrada SmartWatch com os recursos de chamada Wise OK., E"&amp;"u só tenho um problema, às vezes ele atua como um alto -falante e todos os sons de tudo o que estiver tocando no telefone vem do relógio. Também gostaria de saber se consigo silenciar o toque vindo do relógio. Existe alguma maneira. Por favor ajude. Estou"&amp;" usando o iPhone 11., o produto é muito bom, parece tão leve durante os exercícios que é tão confortável de usar e a razão pela qual dei 4 estrelas é que a qualidade do som não é tão boa, bonita e duas coisas estão faltando 1. Ciclo de saúde feminino. . G"&amp;"eneral boa aparência, bom desempenho, boa qualidade e preço acessível., Https: //m.media-amazon.com/images/i/71saf3ahxhl._sy88.jpg, textura boa deste relógio. É leve em peso. Muito confortável de usar., Https: //m.media-amazon.com/images/i/61oenyrsg2l._sy"&amp;"88.jpg")</f>
        <v>Esta revisão é baseada nos meus dois dias de uso. Funciona bem no rastreamento de atividades e fitness, mas às vezes o software se comporta mal. Precisa de alguma melhoria no software e não funcionar apenas com o Bluetooth Connect, requer uma conexão com a Internet para sincronização. E às vezes o Bluetooth não funciona totalmente. Acredito que os problemas que estão chegando podem ser resolvidos pelas próximas atualizações de software. Etiqueta de entrada SmartWatch com os recursos de chamada Wise OK., Eu só tenho um problema, às vezes ele atua como um alto -falante e todos os sons de tudo o que estiver tocando no telefone vem do relógio. Também gostaria de saber se consigo silenciar o toque vindo do relógio. Existe alguma maneira. Por favor ajude. Estou usando o iPhone 11., o produto é muito bom, parece tão leve durante os exercícios que é tão confortável de usar e a razão pela qual dei 4 estrelas é que a qualidade do som não é tão boa, bonita e duas coisas estão faltando 1. Ciclo de saúde feminino. . General boa aparência, bom desempenho, boa qualidade e preço acessível., Https: //m.media-amazon.com/images/i/71saf3ahxhl._sy88.jpg, textura boa deste relógio. É leve em peso. Muito confortável de usar., Https: //m.media-amazon.com/images/i/61oenyrsg2l._sy88.jpg</v>
      </c>
    </row>
    <row r="528">
      <c r="A528" s="9" t="s">
        <v>2098</v>
      </c>
      <c r="B528" s="29" t="str">
        <f>VLOOKUP(dados!A528, reviews!A:G, 5, FALSE)</f>
        <v>Quite firm and steady.,👍,good buy,Theft easy,Good product,Its work,Best in market,quality</v>
      </c>
      <c r="C528" s="29" t="str">
        <f>VLOOKUP(dados!A528, reviews!A:G, 6, FALSE)</f>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v>
      </c>
      <c r="D528" s="29" t="str">
        <f>IFERROR(__xludf.DUMMYFUNCTION("GOOGLETRANSLATE(B528, ""en"", ""pt-br"")"),"Bastante firme e constante., 👍, boa compra, roubo fácil, bom produto, seu trabalho, melhor no mercado, qualidade")</f>
        <v>Bastante firme e constante., 👍, boa compra, roubo fácil, bom produto, seu trabalho, melhor no mercado, qualidade</v>
      </c>
      <c r="E528" s="29" t="str">
        <f>IFERROR(__xludf.DUMMYFUNCTION("GOOGLETRANSLATE(C528, ""en"", ""pt-br"")"),"Muito firme e constante. Eu gostaria que eles usassem um pouco de metal ou fibra dura para isso, como os detentores da empresa Bobo. Porém, ótimo produto a esse preço., Bom produto e boa qualidade, o pino deve ser fornecido para prender o parafuso traseir"&amp;"o, tudo é bom, mas supõe ter um sistema de travamento BCOZ qualquer Bom, eu gostaria que houvesse um manual de instruções adequado que não seja na caixa, mas não é difícil de descobrir. O produto é incrível. É resistente e constante, mesmo em estradas rui"&amp;"ns. O telefone está completamente seguro. Compre este produto sem pensar duas vezes. Eu amei tanto o produto que tenho que pedir mais um porque os membros da minha família também precisam de um., Qualidade de Avarage")</f>
        <v>Muito firme e constante. Eu gostaria que eles usassem um pouco de metal ou fibra dura para isso, como os detentores da empresa Bobo. Porém, ótimo produto a esse preço., Bom produto e boa qualidade, o pino deve ser fornecido para prender o parafuso traseiro, tudo é bom, mas supõe ter um sistema de travamento BCOZ qualquer Bom, eu gostaria que houvesse um manual de instruções adequado que não seja na caixa, mas não é difícil de descobrir. O produto é incrível. É resistente e constante, mesmo em estradas ruins. O telefone está completamente seguro. Compre este produto sem pensar duas vezes. Eu amei tanto o produto que tenho que pedir mais um porque os membros da minha família também precisam de um., Qualidade de Avarage</v>
      </c>
    </row>
    <row r="529">
      <c r="A529" s="9" t="s">
        <v>2104</v>
      </c>
      <c r="B529" s="29" t="str">
        <f>VLOOKUP(dados!A529, reviews!A:G, 5, FALSE)</f>
        <v>Very sturdy and convenient.,Good product,Very,Find summed up review below,Very Useful 🙂👍,Great product,Good product,Works well enough, it isn’t really stable and tend to vibrate</v>
      </c>
      <c r="C529" s="29" t="str">
        <f>VLOOKUP(dados!A529, reviews!A:G, 6, FALSE)</f>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don’t have to touch your phone frequently such as video calling or voice calling etc.  Otherwise it’s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isn’t really stable and tend to vibrate and shake when holding tablet and some heavier phones.Also I can only hold phone horizontally, that means it gonna block charging ports and speakers.</v>
      </c>
      <c r="D529" s="29" t="str">
        <f>IFERROR(__xludf.DUMMYFUNCTION("GOOGLETRANSLATE(B529, ""en"", ""pt-br"")"),"Muito resistente e conveniente., Bom produto, muito, encontre uma revisão resumida abaixo, muito útil 🙂👍, ótimo produto, bom produto, funciona bem o suficiente, não é realmente estável e tendem a vibrar")</f>
        <v>Muito resistente e conveniente., Bom produto, muito, encontre uma revisão resumida abaixo, muito útil 🙂👍, ótimo produto, bom produto, funciona bem o suficiente, não é realmente estável e tendem a vibrar</v>
      </c>
      <c r="E529" s="29" t="str">
        <f>IFERROR(__xludf.DUMMYFUNCTION("GOOGLETRANSLATE(C529, ""en"", ""pt-br"")"),"Prós: muito resistente e estável. Não é facilmente derrubado por crianças. Não tem medo de cair. O suporte do portador de mobile é muito flexível, fácil de 360 ​​graus. ou superfícies grossas. Se mantém bem. Os ajustes tão rápidos (com comprimento) podem "&amp;"não ser possíveis enquanto assistem ... mas isso aumenta a robustez. Então tudo bem. O suporte móvel também é um pouco apertado para inserir o telefone e remover. Mas, novamente, você não precisa temer sobre o afrouxamento móvel e cair., Pelo preço é o me"&amp;"lhor, é difícil, mas sem dureza não pode reter um peso de tablete também Valor do dinheiro, mas você pergunta à loja neste produto quanto de outras maneiras a qualidade e o material são bons, melhor para transmitir vídeos, porque se você encaixar seu tele"&amp;"fone nisso e depois tocar, ele se move devido ao peso do telefone ou use isso Para qualquer trabalho em que você não precise tocar seu telefone com frequência, como videochamadas ou chamadas de voz etc. Caso contrário, é bom, muito útil para os alunos par"&amp;"a o estudo on -line, útil para os amantes de filmes., Usando para o Kindle na cama. Basa gramado e bom grampo. O comprimento do fio deveria ter sido um pouco mais em 9 polegadas, o que permitirá que o usuário mantenha o celular/ Kindle a uma boa distância"&amp;"., O comprimento não é ótimo, mas o produto é perfeito para o seu prêmio e resolve os Purpos, usando -o como uma cama O braço, funciona bem o suficiente, não é realmente estável e tende a vibrar e tremer ao segurar o tablet e alguns telefones mais pesados"&amp;". Além disso, eu só posso segurar o telefone horizontalmente, isso significa que ele vai bloquear portas e alto -falantes de carregamento.")</f>
        <v>Prós: muito resistente e estável. Não é facilmente derrubado por crianças. Não tem medo de cair. O suporte do portador de mobile é muito flexível, fácil de 360 ​​graus. ou superfícies grossas. Se mantém bem. Os ajustes tão rápidos (com comprimento) podem não ser possíveis enquanto assistem ... mas isso aumenta a robustez. Então tudo bem. O suporte móvel também é um pouco apertado para inserir o telefone e remover. Mas, novamente, você não precisa temer sobre o afrouxamento móvel e cair., Pelo preço é o melhor, é difícil, mas sem dureza não pode reter um peso de tablete também Valor do dinheiro, mas você pergunta à loja neste produto quanto de outras maneiras a qualidade e o material são bons, melhor para transmitir vídeos, porque se você encaixar seu telefone nisso e depois tocar, ele se move devido ao peso do telefone ou use isso Para qualquer trabalho em que você não precise tocar seu telefone com frequência, como videochamadas ou chamadas de voz etc. Caso contrário, é bom, muito útil para os alunos para o estudo on -line, útil para os amantes de filmes., Usando para o Kindle na cama. Basa gramado e bom grampo. O comprimento do fio deveria ter sido um pouco mais em 9 polegadas, o que permitirá que o usuário mantenha o celular/ Kindle a uma boa distância., O comprimento não é ótimo, mas o produto é perfeito para o seu prêmio e resolve os Purpos, usando -o como uma cama O braço, funciona bem o suficiente, não é realmente estável e tende a vibrar e tremer ao segurar o tablet e alguns telefones mais pesados. Além disso, eu só posso segurar o telefone horizontalmente, isso significa que ele vai bloquear portas e alto -falantes de carregamento.</v>
      </c>
    </row>
    <row r="530">
      <c r="A530" s="9" t="s">
        <v>2108</v>
      </c>
      <c r="B530" s="29" t="str">
        <f>VLOOKUP(dados!A530, reviews!A:G, 5, FALSE)</f>
        <v>Prompt service. Good quality,Product is good, but little over priced.,The best screen guard I’ve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v>
      </c>
      <c r="C530" s="29" t="str">
        <f>VLOOKUP(dados!A530, reviews!A:G, 6, FALSE)</f>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v>
      </c>
      <c r="D530" s="29" t="str">
        <f>IFERROR(__xludf.DUMMYFUNCTION("GOOGLETRANSLATE(B530, ""en"", ""pt-br"")"),"Serviço rápido. A boa qualidade, o produto é bom, mas pouco com preços., O melhor guarda de tela que usei em termos de facilidade de instalação e acabamento do produto, já que não há um mestre alinhado, é quase impossível colocá -lo no lugar certo. , Bom "&amp;"produto e preço bem, de ótima qualidade e 100% de transparência, bom para o preço, excelente suporte ao cliente com um produto perfeito")</f>
        <v>Serviço rápido. A boa qualidade, o produto é bom, mas pouco com preços., O melhor guarda de tela que usei em termos de facilidade de instalação e acabamento do produto, já que não há um mestre alinhado, é quase impossível colocá -lo no lugar certo. , Bom produto e preço bem, de ótima qualidade e 100% de transparência, bom para o preço, excelente suporte ao cliente com um produto perfeito</v>
      </c>
      <c r="E530" s="29" t="str">
        <f>IFERROR(__xludf.DUMMYFUNCTION("GOOGLETRANSLATE(C530, ""en"", ""pt-br"")"),"Vidro temperado de boa qualidade. A melhor parte é que esses caras são extremamente rápidos nos problemas de atendimento ao cliente e garantia, qualidade do produto boa, mas com preços acima. Também há pequenas lacunas da borda, mas podem ser ignoradas. E"&amp;"u tenho dois guardas de tela (para 14 Pro &amp; Pro Max) e instalei apenas o do 14 Pro. Eu estive acostumado a consertar guardas de tela para vários tipos de telefone de vários guardas de tela de marca. Minha revisão honesta após a instalação - eu realmente g"&amp;"ostei de como a instalação era fácil, a cobertura da proteção de tela em toda a tela e o acabamento de o produto uma vez instalado. Espero colocar uma atualização após um período de tempo sobre como o guarda da tela lidou com meu uso áspero., Bom, o produ"&amp;"to ficou bem embalado e é durável. De fato muito melhor do que outras organizações que tentam vender as mesmas coisas com preços inflacionados. O produto permanece por muito tempo e tem todas as qualidades a serem chamadas de um produto de topo, comprei r"&amp;"ecentemente um protetor de tela para o meu smartphone e estou extremamente feliz com minha compra. O protetor de tela era fácil de instalar e se encaixa perfeitamente no meu telefone. Ele forneceu excelente proteção para a tela do meu telefone e impediu q"&amp;"ualquer arranhão ou dano. A proteção da tela é feita de material de alta qualidade e é muito durável. Eu recomendo esse guarda de tela para quem deseja proteger a tela do telefone. É um ótimo valor para o preço e excedeu minhas expectativas. No geral, est"&amp;"ou muito satisfeito com minha compra e definitivamente comprarei desta empresa novamente no futuro. A qualidade do vidro é boa. Uso -o nos últimos dois meses, o revestimento resistente a arranhões funciona bem., Tive problemas com a aplicação inicial da p"&amp;"roteção de tela (i Telefone XS) e, em seguida, entrei em contato com o suporte ao cliente para resolvê -lo. Eles imediatamente responderam e o problema foi resolvido. Estou muito feliz com a compra e planejo outro para o meu Samsung M 42 5G.")</f>
        <v>Vidro temperado de boa qualidade. A melhor parte é que esses caras são extremamente rápidos nos problemas de atendimento ao cliente e garantia, qualidade do produto boa, mas com preços acima. Também há pequenas lacunas da borda, mas podem ser ignoradas. Eu tenho dois guardas de tela (para 14 Pro &amp; Pro Max) e instalei apenas o do 14 Pro. Eu estive acostumado a consertar guardas de tela para vários tipos de telefone de vários guardas de tela de marca. Minha revisão honesta após a instalação - eu realmente gostei de como a instalação era fácil, a cobertura da proteção de tela em toda a tela e o acabamento de o produto uma vez instalado. Espero colocar uma atualização após um período de tempo sobre como o guarda da tela lidou com meu uso áspero., Bom, o produto ficou bem embalado e é durável. De fato muito melhor do que outras organizações que tentam vender as mesmas coisas com preços inflacionados. O produto permanece por muito tempo e tem todas as qualidades a serem chamadas de um produto de topo, comprei recentemente um protetor de tela para o meu smartphone e estou extremamente feliz com minha compra. O protetor de tela era fácil de instalar e se encaixa perfeitamente no meu telefone. Ele forneceu excelente proteção para a tela do meu telefone e impediu qualquer arranhão ou dano. A proteção da tela é feita de material de alta qualidade e é muito durável. Eu recomendo esse guarda de tela para quem deseja proteger a tela do telefone. É um ótimo valor para o preço e excedeu minhas expectativas. No geral, estou muito satisfeito com minha compra e definitivamente comprarei desta empresa novamente no futuro. A qualidade do vidro é boa. Uso -o nos últimos dois meses, o revestimento resistente a arranhões funciona bem., Tive problemas com a aplicação inicial da proteção de tela (i Telefone XS) e, em seguida, entrei em contato com o suporte ao cliente para resolvê -lo. Eles imediatamente responderam e o problema foi resolvido. Estou muito feliz com a compra e planejo outro para o meu Samsung M 42 5G.</v>
      </c>
    </row>
    <row r="531">
      <c r="A531" s="9" t="s">
        <v>2112</v>
      </c>
      <c r="B531" s="29" t="str">
        <f>VLOOKUP(dados!A531, reviews!A:G, 5, FALSE)</f>
        <v>Ok but not bad,Good stand but not quality product,Not so good,Low quality,Worth and good quality,Very useful,Very use ful and easy to carry,I like the product</v>
      </c>
      <c r="C531" s="29" t="str">
        <f>VLOOKUP(dados!A531, reviews!A:G, 6, FALSE)</f>
        <v>Lital bit ok,Good design but china product,It changes the angle and gets loose in a few days only,Very poor quality,It's worth and good quality,Very good quality,,I like the quality of the phone holder its amazing</v>
      </c>
      <c r="D531" s="29" t="str">
        <f>IFERROR(__xludf.DUMMYFUNCTION("GOOGLETRANSLATE(B531, ""en"", ""pt-br"")"),"OK, mas não é ruim, bom suporte, mas não de qualidade, não é tão bom, de baixa qualidade, valor e boa qualidade, muito útil, muito útil e fácil de transportar, eu gosto do produto")</f>
        <v>OK, mas não é ruim, bom suporte, mas não de qualidade, não é tão bom, de baixa qualidade, valor e boa qualidade, muito útil, muito útil e fácil de transportar, eu gosto do produto</v>
      </c>
      <c r="E531" s="29" t="str">
        <f>IFERROR(__xludf.DUMMYFUNCTION("GOOGLETRANSLATE(C531, ""en"", ""pt-br"")"),"Bit Lital Ok, bom design, mas porcelana, ele muda o ângulo e se solta em alguns dias apenas, muito baixa qualidade, vale a pena e boa qualidade, muito boa qualidade, eu gosto da qualidade do suporte do telefone é incrível")</f>
        <v>Bit Lital Ok, bom design, mas porcelana, ele muda o ângulo e se solta em alguns dias apenas, muito baixa qualidade, vale a pena e boa qualidade, muito boa qualidade, eu gosto da qualidade do suporte do telefone é incrível</v>
      </c>
    </row>
    <row r="532">
      <c r="A532" s="9" t="s">
        <v>2116</v>
      </c>
      <c r="B532" s="29" t="str">
        <f>VLOOKUP(dados!A532, reviews!A:G, 5, FALSE)</f>
        <v>I have been using this phone since 2month it's very good on problem,Nice products,nice product,I am giving  9 out of 10.,Ek dam mst,Tecno Spark 8T,Gud,Lag</v>
      </c>
      <c r="C532" s="29" t="str">
        <f>VLOOKUP(dados!A532, reviews!A:G, 6, FALSE)</f>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v>
      </c>
      <c r="D532" s="29" t="str">
        <f>IFERROR(__xludf.DUMMYFUNCTION("GOOGLETRANSLATE(B532, ""en"", ""pt-br"")"),"Eu tenho usado este telefone desde 2 meses, é muito bom em problemas, produtos agradáveis, produtos legais, estou dando 9 em 10., ek dam mst, tecno spark 8t, gud, lag")</f>
        <v>Eu tenho usado este telefone desde 2 meses, é muito bom em problemas, produtos agradáveis, produtos legais, estou dando 9 em 10., ek dam mst, tecno spark 8t, gud, lag</v>
      </c>
      <c r="E532" s="29" t="str">
        <f>IFERROR(__xludf.DUMMYFUNCTION("GOOGLETRANSLATE(C532, ""en"", ""pt-br"")"),"Eu usei este celular no último 2 meses. é muito baixo., Fentastik, bom. Mas o nível de brilho é naturalmente baixo nesta marca de telefone, Gud, ela fica muito pendurada e há muitos anúncios e funções embutidas no telefone que são muito irritantes.")</f>
        <v>Eu usei este celular no último 2 meses. é muito baixo., Fentastik, bom. Mas o nível de brilho é naturalmente baixo nesta marca de telefone, Gud, ela fica muito pendurada e há muitos anúncios e funções embutidas no telefone que são muito irritantes.</v>
      </c>
    </row>
    <row r="533">
      <c r="A533" s="9" t="s">
        <v>2120</v>
      </c>
      <c r="B533" s="29" t="str">
        <f>VLOOKUP(dados!A533, reviews!A:G, 5, FALSE)</f>
        <v>Handy, premium and fast charger but just 2 outputs,Don’t give much back up,Lightweight heavy duty but charging speed less,Not fast charging to one plus Nord mobile,Power beast with some drawbacks,BEAST mode,User review,Charging is fast. C to C cable and adaptor not supplied</v>
      </c>
      <c r="C533" s="29" t="str">
        <f>VLOOKUP(dados!A533, reviews!A:G, 6, FALSE)</f>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v>
      </c>
      <c r="D533" s="29" t="str">
        <f>IFERROR(__xludf.DUMMYFUNCTION("GOOGLETRANSLATE(B533, ""en"", ""pt-br"")"),"Handy, Premium e Fast Charger, mas apenas 2 saídas, não devoluem muito, de serviço pesado leve, mas a velocidade de carregamento menos, não carregando rápido a um mais Nord Mobile, Power Beast com algumas desvantagens, modo de besta, revisão do usuário, c"&amp;"arregamento é rápido. C para C Cabo e adaptador não fornecidos")</f>
        <v>Handy, Premium e Fast Charger, mas apenas 2 saídas, não devoluem muito, de serviço pesado leve, mas a velocidade de carregamento menos, não carregando rápido a um mais Nord Mobile, Power Beast com algumas desvantagens, modo de besta, revisão do usuário, carregamento é rápido. C para C Cabo e adaptador não fornecidos</v>
      </c>
      <c r="E533" s="29" t="str">
        <f>IFERROR(__xludf.DUMMYFUNCTION("GOOGLETRANSLATE(C533, ""en"", ""pt-br"")"),"O produto é útil e realmente é bom de segurar. Ele suporta carregamento rápido. Leva cerca de 5 a 6 horas para carregá -lo totalmente. O único lado negativo é que, ele tem apenas 2 saídas 1 USB 2 e outro USB C, é bom se você deseja um banco de energia orç"&amp;"amentária, mas máximo Dura até 2,5 cobranças no Apple 12 Pro Max, o carregamento é super rápido. Leve, considerando 20 K de carga, mas com carga lenta. Eu tenho um telefone de carregamento rápido e não carrega rápido o suficiente. Leve. Fácil de transport"&amp;"ar. Cobra rapidamente também. Gud geral. Recebi com desconto de Rs2000. Satisfeito, não está carregando rápido para o meu celular, mais Nord 2., revisão inicial postagem de 1 mês de tempo de USAGECHARGING - mais de 6 horas com cabo de alimentação de carre"&amp;"gamento rápido e telefone adaptador de energia - pode carregar um telefone 3-4 vezes (testado com 3400mAh Bateria) LEDs - Resíduos absolutos. Tão suave que não pode ser visto de um banco de poder de Distancethis realmente entrega como mencionado. Consegui"&amp;" carregar meu telefone 1+7t 3 vezes totalmente com ainda mais carregamento deixado no Power Bank. Demorou cerca de 1,5 horas para carregar meu telefone completamente. Produto absolutamente incrível pelo preço oferecido, você pode optar por este. Também te"&amp;"ntei o recurso duplo, ou seja, cobrar o Power Bank e ao mesmo tempo cobrar telefone e funciona bem sem problemas. Não enfrentou nenhum problema com a questão do aquecimento do Power Bank enquanto cobrava telefone ou por si mesmo. A porta de carregamento d"&amp;"o tipo C para o Power Bank é boa, para que você não precise transportar dois cabos diferentes e os cabos USB do tipo A são difíceis de encontrar. O cabo de carregamento fornecido junto não usa utilidade, ele não suporta carregamento rápido. Portanto, usou"&amp;" o cabo de carregamento rápido para o carregamento do telefone e o PW Bank.2. LEDs não são úteis a alguns metros de distância. Como eles são tão leves para serem vistos à distância. Você terá que manter o PB muito próximo para realmente ver LEDs. Embora n"&amp;"ão seja um quebra de negócio, mas definitivamente 1 estrela deduziu devido a isso. Volamente muito volumoso, definitivamente não pode ser carregado no bolso. Não é um quebra de negócio novamente., Este Powerbank é o pai de todos. Considerando a quantidade"&amp;" de suco embalado, seu fator de forma é gerenciável. Ele mantém 27k de 27k de carga. Pode reverter a carga outro PowerBank. Ele cobrou um banco de energia de 8k de 0 a 100% em cerca de 18 minutos, enquanto caiu de 100 a 75%. 4 Indicadores de LED, indicand"&amp;"o que o quartil de carga deixado no dispositivo é muito útil. Ainda não tive que lutar uma vez para carregar o dispositivo, mesmo com o uso pesado diariamente, eu mal caio para 75% antes de recarregá -lo. Ele mantém a carga muito bem também. Compra sólida"&amp;", você literalmente tem um gerador no seu bolso., Vale em dinheiro, cobrar é rápido. Fornecido apenas com cabo USB a C.C a CABE e adaptador C para C e adaptador são necessários para usar a outra porta de carregamento / descarga. Portanto, a Cable &amp; Adotor"&amp;" adicional deve ser adquirida separadamente. Outros fabricantes fornecem junto com o cabo C a C, mesmo com menor custo.")</f>
        <v>O produto é útil e realmente é bom de segurar. Ele suporta carregamento rápido. Leva cerca de 5 a 6 horas para carregá -lo totalmente. O único lado negativo é que, ele tem apenas 2 saídas 1 USB 2 e outro USB C, é bom se você deseja um banco de energia orçamentária, mas máximo Dura até 2,5 cobranças no Apple 12 Pro Max, o carregamento é super rápido. Leve, considerando 20 K de carga, mas com carga lenta. Eu tenho um telefone de carregamento rápido e não carrega rápido o suficiente. Leve. Fácil de transportar. Cobra rapidamente também. Gud geral. Recebi com desconto de Rs2000. Satisfeito, não está carregando rápido para o meu celular, mais Nord 2., revisão inicial postagem de 1 mês de tempo de USAGECHARGING - mais de 6 horas com cabo de alimentação de carregamento rápido e telefone adaptador de energia - pode carregar um telefone 3-4 vezes (testado com 3400mAh Bateria) LEDs - Resíduos absolutos. Tão suave que não pode ser visto de um banco de poder de Distancethis realmente entrega como mencionado. Consegui carregar meu telefone 1+7t 3 vezes totalmente com ainda mais carregamento deixado no Power Bank. Demorou cerca de 1,5 horas para carregar meu telefone completamente. Produto absolutamente incrível pelo preço oferecido, você pode optar por este. Também tentei o recurso duplo, ou seja, cobrar o Power Bank e ao mesmo tempo cobrar telefone e funciona bem sem problemas. Não enfrentou nenhum problema com a questão do aquecimento do Power Bank enquanto cobrava telefone ou por si mesmo. A porta de carregamento do tipo C para o Power Bank é boa, para que você não precise transportar dois cabos diferentes e os cabos USB do tipo A são difíceis de encontrar. O cabo de carregamento fornecido junto não usa utilidade, ele não suporta carregamento rápido. Portanto, usou o cabo de carregamento rápido para o carregamento do telefone e o PW Bank.2. LEDs não são úteis a alguns metros de distância. Como eles são tão leves para serem vistos à distância. Você terá que manter o PB muito próximo para realmente ver LEDs. Embora não seja um quebra de negócio, mas definitivamente 1 estrela deduziu devido a isso. Volamente muito volumoso, definitivamente não pode ser carregado no bolso. Não é um quebra de negócio novamente., Este Powerbank é o pai de todos. Considerando a quantidade de suco embalado, seu fator de forma é gerenciável. Ele mantém 27k de 27k de carga. Pode reverter a carga outro PowerBank. Ele cobrou um banco de energia de 8k de 0 a 100% em cerca de 18 minutos, enquanto caiu de 100 a 75%. 4 Indicadores de LED, indicando que o quartil de carga deixado no dispositivo é muito útil. Ainda não tive que lutar uma vez para carregar o dispositivo, mesmo com o uso pesado diariamente, eu mal caio para 75% antes de recarregá -lo. Ele mantém a carga muito bem também. Compra sólida, você literalmente tem um gerador no seu bolso., Vale em dinheiro, cobrar é rápido. Fornecido apenas com cabo USB a C.C a CABE e adaptador C para C e adaptador são necessários para usar a outra porta de carregamento / descarga. Portanto, a Cable &amp; Adotor adicional deve ser adquirida separadamente. Outros fabricantes fornecem junto com o cabo C a C, mesmo com menor custo.</v>
      </c>
    </row>
    <row r="534">
      <c r="A534" s="9" t="s">
        <v>2124</v>
      </c>
      <c r="B534" s="29" t="str">
        <f>VLOOKUP(dados!A534, reviews!A:G, 5, FALSE)</f>
        <v>Good 5g mobile,Overall good phone,The best phone in 2k22 I have purchased in 30sep,Works amazing and buttery smooth, design kinda boring though,Good,Overall good under this budget,not bad,Buy for normal daily use..</v>
      </c>
      <c r="C534" s="29" t="str">
        <f>VLOOKUP(dados!A534, reviews!A:G, 6, FALSE)</f>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v>
      </c>
      <c r="D534" s="29" t="str">
        <f>IFERROR(__xludf.DUMMYFUNCTION("GOOGLETRANSLATE(B534, ""en"", ""pt-br"")"),"Bom 5G Mobile, Bom telefone em geral, o melhor telefone em 2K22 que eu comprei no 30SEP, funciona incrível e amanteigado, projete meio chato, bom, em geral, bom sob esse orçamento, não ruim, compre para uso diário normal ..")</f>
        <v>Bom 5G Mobile, Bom telefone em geral, o melhor telefone em 2K22 que eu comprei no 30SEP, funciona incrível e amanteigado, projete meio chato, bom, em geral, bom sob esse orçamento, não ruim, compre para uso diário normal ..</v>
      </c>
      <c r="E534" s="29" t="str">
        <f>IFERROR(__xludf.DUMMYFUNCTION("GOOGLETRANSLATE(C534, ""en"", ""pt-br"")"),"A boa tela é uma boa duração da bateria é muito boa, a qualidade da câmera é boa para mim, a colocação da impressora não é boa, não pode ser usada com as duas mãos, usando -a dos últimos 3 meses agora. O backup da bateria é bom, a câmera é boa e, nessa fa"&amp;"ixa de preço, essa é uma das boas opções a partir de agora, o melhor telefone em 2K22 que comprei no 30SEP, mas em 2dec meu celular roubado durante esse período, usei 7-8 horas Em um dia continua, mas não há problema de lag a duração da bateria é bom, o a"&amp;"lto-falante não é bom, eu acho que neste celular há um problema que eu enfrento: -Phone é incrível com a Dimensidade 810 e eu só tenho elogios pela taxa de atualização do desempenho 90Hz A abertura dos olhos vindo de uma construção de telefone de 60Hz é b"&amp;"astante sólida e a parte traseira tem uma textura agradável que não cria impressões digitais muito Redmi empacotou o telefone com alguns recursos interessantes, como o IR Blaster e o surpreendentemente incrível DAC, que Redmi nem sequer flexionar no marke"&amp;"ting. (Meus fones de ouvido somam Miles Miles melhor deste telefone do que o meu laptop SMH)-A capa do telefone incluída está bem e é uma bela de Redmi para jogar um (o buraco em torno do fone de ouvido poderia ser maior, embora interfira em quaisquer cab"&amp;"os auxiliares com alojamentos chonky. )-Apenas as queixas id são que o design é meio que meio; Não parece incrível, mas nada para reclamar sobre o comentar a qualidade da câmera HMHM, pois eu sou um pleb que não sabe como nitpick na qualidade da câmera: o"&amp;" protetor de tela incluído em P está realmente ruim (só está abaixo de um mês e aí está lá já estão arranhões em torno da tela inferior onde a ID estará digitando). É altamente recomendável descascar -o e arriscar -se com o Gorilla Glass ou apenas consegu"&amp;"ir algo de reposição para que a Recomenda fortemente se você gosta de um telefone solidamente construído, focado em fazer as coisas em vez de sentar e ficar bonito, bom, se você comprar telefone Para fins de câmera, não compre isso. Mas o celular médio ge"&amp;"ral sob esse preço. Backup da bateria muito bom e alterando o tempo APX 40-50 minutos para 1 a 100%., Bom, é um bom produto para uso diário normal. A qualidade da câmera não está à altura.")</f>
        <v>A boa tela é uma boa duração da bateria é muito boa, a qualidade da câmera é boa para mim, a colocação da impressora não é boa, não pode ser usada com as duas mãos, usando -a dos últimos 3 meses agora. O backup da bateria é bom, a câmera é boa e, nessa faixa de preço, essa é uma das boas opções a partir de agora, o melhor telefone em 2K22 que comprei no 30SEP, mas em 2dec meu celular roubado durante esse período, usei 7-8 horas Em um dia continua, mas não há problema de lag a duração da bateria é bom, o alto-falante não é bom, eu acho que neste celular há um problema que eu enfrento: -Phone é incrível com a Dimensidade 810 e eu só tenho elogios pela taxa de atualização do desempenho 90Hz A abertura dos olhos vindo de uma construção de telefone de 60Hz é bastante sólida e a parte traseira tem uma textura agradável que não cria impressões digitais muito Redmi empacotou o telefone com alguns recursos interessantes, como o IR Blaster e o surpreendentemente incrível DAC, que Redmi nem sequer flexionar no marketing. (Meus fones de ouvido somam Miles Miles melhor deste telefone do que o meu laptop SMH)-A capa do telefone incluída está bem e é uma bela de Redmi para jogar um (o buraco em torno do fone de ouvido poderia ser maior, embora interfira em quaisquer cabos auxiliares com alojamentos chonky. )-Apenas as queixas id são que o design é meio que meio; Não parece incrível, mas nada para reclamar sobre o comentar a qualidade da câmera HMHM, pois eu sou um pleb que não sabe como nitpick na qualidade da câmera: o protetor de tela incluído em P está realmente ruim (só está abaixo de um mês e aí está lá já estão arranhões em torno da tela inferior onde a ID estará digitando). É altamente recomendável descascar -o e arriscar -se com o Gorilla Glass ou apenas conseguir algo de reposição para que a Recomenda fortemente se você gosta de um telefone solidamente construído, focado em fazer as coisas em vez de sentar e ficar bonito, bom, se você comprar telefone Para fins de câmera, não compre isso. Mas o celular médio geral sob esse preço. Backup da bateria muito bom e alterando o tempo APX 40-50 minutos para 1 a 100%., Bom, é um bom produto para uso diário normal. A qualidade da câmera não está à altura.</v>
      </c>
    </row>
    <row r="535">
      <c r="A535" s="9" t="s">
        <v>2128</v>
      </c>
      <c r="B535" s="29" t="str">
        <f>VLOOKUP(dados!A535, reviews!A:G, 5, FALSE)</f>
        <v>A conditional beast,Overall satisfied but Wow factor is no missing,Honest one which might help.,Perfect one , You can buy</v>
      </c>
      <c r="C535" s="29" t="str">
        <f>VLOOKUP(dados!A535, reviews!A:G, 6, FALSE)</f>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v>
      </c>
      <c r="D535" s="29" t="str">
        <f>IFERROR(__xludf.DUMMYFUNCTION("GOOGLETRANSLATE(B535, ""en"", ""pt-br"")"),"Uma besta condicional, em geral satisfeita, mas o fator uau não está faltando, honesto, que pode ajudar., Perfeito, você pode comprar")</f>
        <v>Uma besta condicional, em geral satisfeita, mas o fator uau não está faltando, honesto, que pode ajudar., Perfeito, você pode comprar</v>
      </c>
      <c r="E535" s="29" t="str">
        <f>IFERROR(__xludf.DUMMYFUNCTION("GOOGLETRANSLATE(C535, ""en"", ""pt-br"")"),"Gostado - tela de primeira linha, tela deslumbrante, dispositivo pesado e seriamente poderoso, graças a 8+ Gen 1. Vremenda duração da bateria em uso pesado. Dispositivo super legal. Experiência amanteigada sedosa com desempenho rápido. boa qualidade de so"&amp;"m. O fator de forma é realmente bom. Quero dizer, a tela é plana, por isso parece um telefone largo (não muito largo, mas parece) também é alto, é por isso que realmente parece bem à mão. Eu tenho um iPad, mas todo o trabalho agora pode ser feito por tele"&amp;"fone, por isso estou feliz. Não gostei - como eu tinha OP5T, eu amei o oxigênio OS, mas agora parece a UI da Realme. A câmera é pior para esse preço. O sensor principal é bom outros dois são inúteis. A empresa deve fornecer uma lente telefoto nessa faixa "&amp;"de preço. Eu tinha OP5T e anteriormente OP3T, ambas as câmera eram boas. A câmera OP10T é exatamente a mesma que Nord 2T.Connculus - se você procura velocidade, desempenho, duração da bateria, longevidade, melhor da tela, sensação premium, vá em frente. C"&amp;"âmera então, por favor, não escolha isso. Ou você pode esperar pelo próximo OP ou optar por outros dispositivos. Se você não se preocupa com a experiência da interface do usuário (ou seja, oxigênio), vá para iqoo9t (é muito melhor em especificações), vá p"&amp;"ara GSMarena compare OP10R e OP10T. Exatamente a mesma especificação, exceto o processador e a velocidade de carregamento (essa carga muito rápida não é exigida excluindo especificações importantes)., Eu sou o usuário do OnePlus desde o primeiro telefone."&amp;" Eu usei o OnePlus 1, OnePlus Nord, Nord CE, Nord 5T e agora 10T. Eu uso 10T como meu telefone principal desde o último mês. Toda vez que o OnePlus nunca deixa de impressionar com seu novo telefone, mas desta vez você sentiria que algo está faltando pode "&amp;"ser porque o OnePlus já aumentou tanto a sua fasquia que o usuário sempre espera mais deles. Quando vi 10t pela primeira vez, em algum lugar da minha mente subconsciente, tomei minha decisão de comprar esta besta. Mas antes de revisar os telefones, de um "&amp;"Nord 2 ao iPhone 14. Minhas classificações: Projeto e construção: 9/10camera Qualidade: 7/10battery Backup e Charging Time: 9.5/10Permance: 9/106/10DUly Projeto e construção são inigualáveis. Tão resistente e bonito. A qualidade da câmera pode ser um pont"&amp;"o de discussão. Eles deveriam ter dado mais na câmera porque o telefone vem em alto alcance e nível premium, mas a câmera atual não é tão ruim. Ninguém pode superar o tempo de carregamento da bateria e o tempo de backup. Dentro de 20 min 0 a 100%, altamen"&amp;"te impressionante. Ele sobreviverá em torno de 1 dia para o usuário médio. O desempenho é bom, instalado e executou vários aplicativos de cada vez, nunca enfrentou nenhum problema do Hung ou App Carsh. Como eu disse, mesmo que o Wow Factor esteja faltando"&amp;" desta vez, eu diria um bom telefone com bom desempenho, design e recursos gerais. Se você conseguir a venda por volta de 40k, é um bom negócio. Vá em frente, nada de se arrepender. 😊, comprou alguns dias atrás !! Mudou do meu Asus, então eu tinha expect"&amp;"ativas muito altas e, bem, ele teve um desempenho próximo, mas também muitos rebaixamentos também, eu vou listar como prós e contras! Pros: - Quero dizer, Snapdragon 8+ Gen 1, você pode esperar um desempenho incrível, por que não o melhor nível, pois é o "&amp;"melhor processador que o Android poderia oferecer? Bem, porque sinto que o processador neste está com o relógio para reduzir o aquecimento, mas está se mantendo muito bom em termos de jogos e outros testes e outras coisas de referência. Segurando que pare"&amp;"ce um telefone premium, espere para o quadro de c, é feito de policarbonato, mas podemos pegar um jeito mais tarde. Rápido e uma boa interface do usuário, é claro que alguns recursos antigos não estão disponíveis agora, pois eu usei um OnePlus 5 no passad"&amp;"o por algumas semanas, mas podemos pegar um pendurar neste novo sistema operacional de oxigênio, apenas espero que não esteja completamente virado para colorir o sistema operacional. - O carregamento é apenas uma insanidade nessa, mudando de um telefone q"&amp;"ue costumava levar cerca de 2 horas para serem totalmente carregados para este, quase terminando a cobrança completa com menos de 20 minutos e eu o testemunhei várias vezes, é apenas impressionante, mas alguns problemas E vou falar sobre isso em contras- "&amp;"rede e conexão são rápidos e bons! Não enfrentei nenhum problema importante em minhas experiências de rede! Chamular é uma boa experiência, conectar-se com redes e Bluetooth é extremamente rápido, bom em geral. E só quero manter minha crença no uso da vid"&amp;"a real, para que esteja indo bem. Como realmente? Pelo menos merecemos uma estrutura de metal nesse segmento de preços, que é o que me incomodou um pouco, não realmente um grande fã de slider de alerta, então eu não me importei com a parte. A lente princi"&amp;"pal, a ampla e a macro simplesmente não faziam sentido e são completamente inúteis nesse segmento, essa é literalmente a mesma configuração do Nord 2T, mas apenas uma melhor otimização de software, a câmera frontal também está bem, nada que carregue com e"&amp;"xcelente carregamento De fato, é um dos principais fatores neste telefone, mas isso afeta o backup da bateria, geralmente no meu uso, tenho que cobrar duas vezes para que seja usado o dia inteiro, ele drena um pouco mais do que eu esperava , também não há"&amp;" opção disponível para desativar a cobrança de 150w para permitir que ela cobre na velocidade usual para testar a bateria, exceto o modo de otimização noturna, o que é meio bom na minha opinião. O Phone é um bom segmento nessa faixa de preço e se se Você "&amp;"acredita na imagem de marca específica e em seus produtos, em seguida. Embora o IQOO 9T forneça uma melhor configuração da câmera com um desempenho um pouco mais agressivo do processador, mas este dispositivo também faz o trabalho. Então, basicamente, est"&amp;"ou revisando -o após o uso de 1 mês e 2 dias. Estou dando 4 estrelas por causa do controle deslizante de alerta. Vamos limpar isso por pontos. A bateria é incrível. Ele receberá um custo total em 19 minutos e 20 segundos. Dura mais de 25 horas para mim. A"&amp;" qualidade da câmera é boa. Especialmente o modo noturno é incrível. Algumas melhorias devem ser feitas para a câmera selfie, mas clica em uma boa imagem. Sem atraso, sem suspensão. Funciona bem e muito rápido. A única coisa que decepciona é alerta o cont"&amp;"role deslizante que está faltando neste telefone. A qualidade do vídeo é incrível enquanto você grava e está estável. Enquanto assiste a qualquer OTT, a qualidade do streaming é incrível. Você pode aproveitar completamente .7. O orador do telefone é perfe"&amp;"ito, mesmo no volume mais baixo, você pode ouvir claramente a voz de plantão.")</f>
        <v>Gostado - tela de primeira linha, tela deslumbrante, dispositivo pesado e seriamente poderoso, graças a 8+ Gen 1. Vremenda duração da bateria em uso pesado. Dispositivo super legal. Experiência amanteigada sedosa com desempenho rápido. boa qualidade de som. O fator de forma é realmente bom. Quero dizer, a tela é plana, por isso parece um telefone largo (não muito largo, mas parece) também é alto, é por isso que realmente parece bem à mão. Eu tenho um iPad, mas todo o trabalho agora pode ser feito por telefone, por isso estou feliz. Não gostei - como eu tinha OP5T, eu amei o oxigênio OS, mas agora parece a UI da Realme. A câmera é pior para esse preço. O sensor principal é bom outros dois são inúteis. A empresa deve fornecer uma lente telefoto nessa faixa de preço. Eu tinha OP5T e anteriormente OP3T, ambas as câmera eram boas. A câmera OP10T é exatamente a mesma que Nord 2T.Connculus - se você procura velocidade, desempenho, duração da bateria, longevidade, melhor da tela, sensação premium, vá em frente. Câmera então, por favor, não escolha isso. Ou você pode esperar pelo próximo OP ou optar por outros dispositivos. Se você não se preocupa com a experiência da interface do usuário (ou seja, oxigênio), vá para iqoo9t (é muito melhor em especificações), vá para GSMarena compare OP10R e OP10T. Exatamente a mesma especificação, exceto o processador e a velocidade de carregamento (essa carga muito rápida não é exigida excluindo especificações importantes)., Eu sou o usuário do OnePlus desde o primeiro telefone. Eu usei o OnePlus 1, OnePlus Nord, Nord CE, Nord 5T e agora 10T. Eu uso 10T como meu telefone principal desde o último mês. Toda vez que o OnePlus nunca deixa de impressionar com seu novo telefone, mas desta vez você sentiria que algo está faltando pode ser porque o OnePlus já aumentou tanto a sua fasquia que o usuário sempre espera mais deles. Quando vi 10t pela primeira vez, em algum lugar da minha mente subconsciente, tomei minha decisão de comprar esta besta. Mas antes de revisar os telefones, de um Nord 2 ao iPhone 14. Minhas classificações: Projeto e construção: 9/10camera Qualidade: 7/10battery Backup e Charging Time: 9.5/10Permance: 9/106/10DUly Projeto e construção são inigualáveis. Tão resistente e bonito. A qualidade da câmera pode ser um ponto de discussão. Eles deveriam ter dado mais na câmera porque o telefone vem em alto alcance e nível premium, mas a câmera atual não é tão ruim. Ninguém pode superar o tempo de carregamento da bateria e o tempo de backup. Dentro de 20 min 0 a 100%, altamente impressionante. Ele sobreviverá em torno de 1 dia para o usuário médio. O desempenho é bom, instalado e executou vários aplicativos de cada vez, nunca enfrentou nenhum problema do Hung ou App Carsh. Como eu disse, mesmo que o Wow Factor esteja faltando desta vez, eu diria um bom telefone com bom desempenho, design e recursos gerais. Se você conseguir a venda por volta de 40k, é um bom negócio. Vá em frente, nada de se arrepender. 😊, comprou alguns dias atrás !! Mudou do meu Asus, então eu tinha expectativas muito altas e, bem, ele teve um desempenho próximo, mas também muitos rebaixamentos também, eu vou listar como prós e contras! Pros: - Quero dizer, Snapdragon 8+ Gen 1, você pode esperar um desempenho incrível, por que não o melhor nível, pois é o melhor processador que o Android poderia oferecer? Bem, porque sinto que o processador neste está com o relógio para reduzir o aquecimento, mas está se mantendo muito bom em termos de jogos e outros testes e outras coisas de referência. Segurando que parece um telefone premium, espere para o quadro de c, é feito de policarbonato, mas podemos pegar um jeito mais tarde. Rápido e uma boa interface do usuário, é claro que alguns recursos antigos não estão disponíveis agora, pois eu usei um OnePlus 5 no passado por algumas semanas, mas podemos pegar um pendurar neste novo sistema operacional de oxigênio, apenas espero que não esteja completamente virado para colorir o sistema operacional. - O carregamento é apenas uma insanidade nessa, mudando de um telefone que costumava levar cerca de 2 horas para serem totalmente carregados para este, quase terminando a cobrança completa com menos de 20 minutos e eu o testemunhei várias vezes, é apenas impressionante, mas alguns problemas E vou falar sobre isso em contras- rede e conexão são rápidos e bons! Não enfrentei nenhum problema importante em minhas experiências de rede! Chamular é uma boa experiência, conectar-se com redes e Bluetooth é extremamente rápido, bom em geral. E só quero manter minha crença no uso da vida real, para que esteja indo bem. Como realmente? Pelo menos merecemos uma estrutura de metal nesse segmento de preços, que é o que me incomodou um pouco, não realmente um grande fã de slider de alerta, então eu não me importei com a parte. A lente principal, a ampla e a macro simplesmente não faziam sentido e são completamente inúteis nesse segmento, essa é literalmente a mesma configuração do Nord 2T, mas apenas uma melhor otimização de software, a câmera frontal também está bem, nada que carregue com excelente carregamento De fato, é um dos principais fatores neste telefone, mas isso afeta o backup da bateria, geralmente no meu uso, tenho que cobrar duas vezes para que seja usado o dia inteiro, ele drena um pouco mais do que eu esperava , também não há opção disponível para desativar a cobrança de 150w para permitir que ela cobre na velocidade usual para testar a bateria, exceto o modo de otimização noturna, o que é meio bom na minha opinião. O Phone é um bom segmento nessa faixa de preço e se se Você acredita na imagem de marca específica e em seus produtos, em seguida. Embora o IQOO 9T forneça uma melhor configuração da câmera com um desempenho um pouco mais agressivo do processador, mas este dispositivo também faz o trabalho. Então, basicamente, estou revisando -o após o uso de 1 mês e 2 dias. Estou dando 4 estrelas por causa do controle deslizante de alerta. Vamos limpar isso por pontos. A bateria é incrível. Ele receberá um custo total em 19 minutos e 20 segundos. Dura mais de 25 horas para mim. A qualidade da câmera é boa. Especialmente o modo noturno é incrível. Algumas melhorias devem ser feitas para a câmera selfie, mas clica em uma boa imagem. Sem atraso, sem suspensão. Funciona bem e muito rápido. A única coisa que decepciona é alerta o controle deslizante que está faltando neste telefone. A qualidade do vídeo é incrível enquanto você grava e está estável. Enquanto assiste a qualquer OTT, a qualidade do streaming é incrível. Você pode aproveitar completamente .7. O orador do telefone é perfeito, mesmo no volume mais baixo, você pode ouvir claramente a voz de plantão.</v>
      </c>
    </row>
    <row r="536">
      <c r="A536" s="9" t="s">
        <v>2132</v>
      </c>
      <c r="B536" s="29" t="str">
        <f>VLOOKUP(dados!A536, reviews!A:G, 5, FALSE)</f>
        <v>Ok phone,Good Basic Phone,Nice one,Hghjk,Good one,Nokia 150,Listen to this before buying..,Good produt</v>
      </c>
      <c r="C536" s="29" t="str">
        <f>VLOOKUP(dados!A536, reviews!A:G, 6, FALSE)</f>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v>
      </c>
      <c r="D536" s="29" t="str">
        <f>IFERROR(__xludf.DUMMYFUNCTION("GOOGLETRANSLATE(B536, ""en"", ""pt-br"")"),"Ok, telefone, bom telefone básico, bom, hghjk, bom, Nokia 150, ouça isso antes de comprar .., bom produto")</f>
        <v>Ok, telefone, bom telefone básico, bom, hghjk, bom, Nokia 150, ouça isso antes de comprar .., bom produto</v>
      </c>
      <c r="E536" s="29" t="str">
        <f>IFERROR(__xludf.DUMMYFUNCTION("GOOGLETRANSLATE(C536, ""en"", ""pt-br"")"),"O áudio contém muita distorção ao usar o alto -falante, a duração da bateria é boa. Comprei este telefone para minha equipe, que pode lidar com apenas esses tipos básicos de variedades. Ela está muito feliz e adora a cor., Nice, HGH, o backup da bateria é"&amp;" ótimo. Não gostei do design do botão central. Quatro botões separados se encaixariam muito bem em vez de um quadrado. A ironia é que é para os clientes indianos, mas não conseguiu encontrar o idioma de Gujarati neste telefone. O produto geral é bom para "&amp;"o uso normal. Bluetooth, rádio, câmera, cartão de memória, SIM duplo, jogos são recursos adicionais para diversão., Bom produto, é incrível ... e vale o custo. O único ponto fraco é que a resposta do telefone é um pouco tarde. . Depois de pressionar os bo"&amp;"tões ... Caso contrário, é o melhor nesse intervalo .., bom, fácil de usar e mais flexível de transportar, boa duração da bateria e qualidade da câmera também, a qualidade do som que não é ruim, é boa em todo o valor do dinheiro.")</f>
        <v>O áudio contém muita distorção ao usar o alto -falante, a duração da bateria é boa. Comprei este telefone para minha equipe, que pode lidar com apenas esses tipos básicos de variedades. Ela está muito feliz e adora a cor., Nice, HGH, o backup da bateria é ótimo. Não gostei do design do botão central. Quatro botões separados se encaixariam muito bem em vez de um quadrado. A ironia é que é para os clientes indianos, mas não conseguiu encontrar o idioma de Gujarati neste telefone. O produto geral é bom para o uso normal. Bluetooth, rádio, câmera, cartão de memória, SIM duplo, jogos são recursos adicionais para diversão., Bom produto, é incrível ... e vale o custo. O único ponto fraco é que a resposta do telefone é um pouco tarde. . Depois de pressionar os botões ... Caso contrário, é o melhor nesse intervalo .., bom, fácil de usar e mais flexível de transportar, boa duração da bateria e qualidade da câmera também, a qualidade do som que não é ruim, é boa em todo o valor do dinheiro.</v>
      </c>
    </row>
    <row r="537">
      <c r="A537" s="9" t="s">
        <v>2136</v>
      </c>
      <c r="B537" s="29" t="str">
        <f>VLOOKUP(dados!A537, reviews!A:G, 5, FALSE)</f>
        <v>Budget friendly watch,Good product at this price range,Ok,Satisfied,Watch ⌚️ Review,Nice,Display touch was good but screen bazales is too much,Nice watch under 2000</v>
      </c>
      <c r="C537" s="29" t="str">
        <f>VLOOKUP(dados!A537, reviews!A:G, 6, FALSE)</f>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v>
      </c>
      <c r="D537" s="29" t="str">
        <f>IFERROR(__xludf.DUMMYFUNCTION("GOOGLETRANSLATE(B537, ""en"", ""pt-br"")"),"Relógio amigável ao orçamento, bom produto a essa faixa de preço, OK, satisfeito, relatar ⌚️ Revisão, bom, o Display Touch foi bom, mas a tela Bazales é demais, bom relógio com menos de 2000")</f>
        <v>Relógio amigável ao orçamento, bom produto a essa faixa de preço, OK, satisfeito, relatar ⌚️ Revisão, bom, o Display Touch foi bom, mas a tela Bazales é demais, bom relógio com menos de 2000</v>
      </c>
      <c r="E537" s="29" t="str">
        <f>IFERROR(__xludf.DUMMYFUNCTION("GOOGLETRANSLATE(C537, ""en"", ""pt-br"")"),"Gostei do relógio, a bateria deste relógio é tão boa que, antes de usar, carreguei este relógio e já faz duas semanas e este relógio ainda tem 25% de bateria. E o lado nagativo é que eu pedi relógio Black Strap e recebi um relógio de cinta cinza e isso é "&amp;"um erro de vendedores, tentei devolver isso e liguei para a Amazon Help Line e depois ouvi meu problema e veja on -line que eu entendi errado e depois eles Digamos que eles me conectarão a outra pessoa que resolverá isso e então ninguém escolhe a chamada "&amp;"para o anel continua a tocar e depois de 5 minutos, pensei que ninguém iria escolher a ligação e eu desconectei e começo a usá -lo. Assista tem alguns futuros básicos e eu gosto., Um dos melhores produtos nessa faixa de preço. Estou usando isso há um ano "&amp;"e não tenho queixas. A qualidade construída é boa. A contagem de etapas não é muito precisa e podemos dizer que o software não tem precisão de várias maneiras quando comparado a outras grandes marcas (Apple/Fossil). Mas eu já vi o pior. O toque é muito su"&amp;"ave e os alertas de notificação funcionam conforme o esperado. Isso é resistente à água e natação. Não tenho certeza se possui classificação IP67/8, mas acredito que isso também é à prova de poeira, já que eu a uso há quase um ano. não ser feito. Deve ser"&amp;" automaticamente., Bom produto, os molduras são grandes, mas não há problema para essa faixa de preço e estou satisfeito com o produto., O relógio é bonito e até marcar, apenas um golpe neste relógio, você não pode atender a chamada e Reverter você só pod"&amp;"e reverter por mensagens, nice, https: //m.media-amazon.com/images/i/71zee6pwaal._sy88.jpg,")</f>
        <v>Gostei do relógio, a bateria deste relógio é tão boa que, antes de usar, carreguei este relógio e já faz duas semanas e este relógio ainda tem 25% de bateria. E o lado nagativo é que eu pedi relógio Black Strap e recebi um relógio de cinta cinza e isso é um erro de vendedores, tentei devolver isso e liguei para a Amazon Help Line e depois ouvi meu problema e veja on -line que eu entendi errado e depois eles Digamos que eles me conectarão a outra pessoa que resolverá isso e então ninguém escolhe a chamada para o anel continua a tocar e depois de 5 minutos, pensei que ninguém iria escolher a ligação e eu desconectei e começo a usá -lo. Assista tem alguns futuros básicos e eu gosto., Um dos melhores produtos nessa faixa de preço. Estou usando isso há um ano e não tenho queixas. A qualidade construída é boa. A contagem de etapas não é muito precisa e podemos dizer que o software não tem precisão de várias maneiras quando comparado a outras grandes marcas (Apple/Fossil). Mas eu já vi o pior. O toque é muito suave e os alertas de notificação funcionam conforme o esperado. Isso é resistente à água e natação. Não tenho certeza se possui classificação IP67/8, mas acredito que isso também é à prova de poeira, já que eu a uso há quase um ano. não ser feito. Deve ser automaticamente., Bom produto, os molduras são grandes, mas não há problema para essa faixa de preço e estou satisfeito com o produto., O relógio é bonito e até marcar, apenas um golpe neste relógio, você não pode atender a chamada e Reverter você só pode reverter por mensagens, nice, https: //m.media-amazon.com/images/i/71zee6pwaal._sy88.jpg,</v>
      </c>
    </row>
    <row r="538">
      <c r="A538" s="9" t="s">
        <v>2140</v>
      </c>
      <c r="B538" s="29" t="str">
        <f>VLOOKUP(dados!A538, reviews!A:G, 5, FALSE)</f>
        <v>Worth Every Square Inch.,VFM, Plastic build. Must buy,3 years of extensive usage , delivered the perfomance to its price,Still working after 2 years,Low in price but sound was high,Super head phone under 1300 rs,Wow nice this headphone Just like fall in love🥰 ye kuchh jyada hi ho gya😜,Good quality</v>
      </c>
      <c r="C538" s="29" t="str">
        <f>VLOOKUP(dados!A538, reviews!A:G, 6, FALSE)</f>
        <v>-------------------------------------------------UPDATE:20/01/2018-------------------------------------------------It's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jhakas😜Sound quality is very good and bass is also  good but I was expecting more like theatre bass but not like that, hhh laalach karna buri chijh h🤩🤩, hum sudhrenge nhi kabhi😂😂I think u r bored sum of this headphone  mast hai😂😂 enjoying,Good quality, easily connected my lg 4k smart tv</v>
      </c>
      <c r="D538" s="29" t="str">
        <f>IFERROR(__xludf.DUMMYFUNCTION("GOOGLETRANSLATE(B538, ""en"", ""pt-br"")"),"Vale a cada polegada quadrada., VFM, construção de plástico. Deve comprar, 3 anos de uso extensivo, entregou o perfoma ao seu preço, ainda trabalhando após 2 anos, baixo preço, mas o som era alto, super telefone com menos de 1300 Rs, uau, bom que o fone d"&amp;"e ouvido, como Fall in Love🥰 Ye Kuchh Jyada oi ho gya😜, boa qualidade")</f>
        <v>Vale a cada polegada quadrada., VFM, construção de plástico. Deve comprar, 3 anos de uso extensivo, entregou o perfoma ao seu preço, ainda trabalhando após 2 anos, baixo preço, mas o som era alto, super telefone com menos de 1300 Rs, uau, bom que o fone de ouvido, como Fall in Love🥰 Ye Kuchh Jyada oi ho gya😜, boa qualidade</v>
      </c>
      <c r="E538" s="29" t="str">
        <f>IFERROR(__xludf.DUMMYFUNCTION("GOOGLETRANSLATE(C538, ""en"", ""pt-br"")"),"-------------------------------------------------ATUALIZAR : 20/01/2018 -------------------------------------------- ----- Já se passaram 5 meses desde que recebi o Boat Rockerz 400. Alguns dos desgostos que mencionei anteriormente na minha resenha não sã"&amp;"o mais desgostos. Eu disse que o som está mais ou menos de um lado mais plano, mas estou acostumado e ""estou adorando"" .. :) O segundo ponto é que eu disse se você é um audiófilo, então você pode não gostar, mas Eu estava errado. Você pode perguntar por"&amp;" que ... aqui está o porquê: Depois de uma longa lacuna, visitei meu pai que é um audiófilo. Ele tem numerosos fones de ouvido de última geração, mas, infelizmente, chamou a atenção do meu fone de ouvido e só queria experimentá-lo. Eu disse que sim (eu me"&amp;" arrependo :() ele combinou com o dispositivo e tocou uma música. Garo Fui forçado a comprar outro. Alguns dias atrás, recebi outro: (uma coisa que notei em dois da minha compra é o cabo de áudio não é bom. Ambos os meus cabos de áudio tiveram o mesmo pro"&amp;"blema .------- -------------------------------------------------------- -------------------- Então a moral da história é: Esconda-a do seu pai ou irmão audiófilo. Eles irão arrebatá-lo sem cerimônia. Não posso dar errado com esta compra. Vale a pena cada "&amp;"polegada quadrada. -------------------------- Eu recebi este produto há 3 dias e eu o recebi por Rs. REVISÃO imparcial tendo em mente o preço do produto: três dias podem não ser um tempo suficiente para revisar este produto, mas desculpe não posso ajudar "&amp;"a emoção ...---------------- ---------------------------------------- LIGHES: 1&gt; boa qualidade construída ------ - 4/5it é resistente, pelo preço que a qualidade de construção é ótima. Não é frágil. As almofadas da orelha são boas o suficiente .----------"&amp;"---------------------------------- ----------- 2&gt; Qualidade do som ------ 3.5/5 Se você for um audiófilo, isso não é para você. O baixo é decente não para exagerar (como notado em outras críticas). O baixo é profundo o suficiente para o preço .-----------"&amp;"------------------------------ ----------------- 3&gt; Conectividade: O emparelhamento é fácil se conecta como uma brisa .----- 4/5 -------------- -------------------------------------------- 4&gt; Modo duplo e sem fio: o barco Rockerz 400 vem com um cabo auxil"&amp;"iar. Se você ficar sem carga, você sempre pode conectar o cabo auxiliar e usá -lo como um fone de ouvido com fio. (Eu não consegui encontrar uma diferença substancial na qualidade da música entre Wired e Wireless :)) Adorei esse recurso. ------ 5/5 ------"&amp;"--------------------------------- -------------------- Backup da bateria: Estou impressionado com o backup da bateria desta besta. Eu o uso há 3 dias por 2-3 horas por dia ainda está correndo. Então, acho que o backup de 8 horas por cobrança não é um truq"&amp;"ue de marketing, presumo que seja verdade. Até agora tudo bem. irá atualizá-lo após o uso de um mês .------------------------------------------- ------------------ Não gosta: 1&gt; A qualidade do som está mais do lado mais plano. Quando você o compara com fo"&amp;"nes de ouvido com fio orçamentário como a Sennheiser CX 180 Street II, o baixo não é muito profundo. Você não vai conseguir esse ambiente. O site de Boat diz: ""Não seja alto, seja alto e claro"", não ... desculpe, eu tenho que decepcioná -lo com isso. Qu"&amp;"ando está alto, não está claro. Muitas distorções estão lá quando você está alto .------------------------------------------ -------------------- 2&gt; Conforto: Acredite, não é nada confortável para uso prolongado. Sua orelha implorará que você o tire após "&amp;"30-45 minutos. Super-humano ...------------------------------------------- ------------- 3&gt; RANGE: Os barcos dizem 10 metros de alcance ... Na minha experiência, se você for além de 5-6 metros, a voz quebrará. Você nunca receberá 10 Mtrs Range, confie em "&amp;"mim. E estou experimentando intervalos ocasionais no streaming de nada intrusivo até agora, mas não sei se será um problema na linha. Vai deixar vocês saber sobre isso mais tarde se for um problema .------------------------------------------ -------------"&amp;"------------- 4&gt; Flimsy Aux Cable: Não posso reclamar muito sobre o cabo auxiliar, tendo o preço em mente. Lembre -se de que paguei apenas 1299 por isso. Mas, com certos dispositivos, o AUX não estava funcionando corretamente. O MI Note 3 teve problemas, "&amp;"o MI 4 também teve problemas com o AUX. Não tenho certeza se é o problema do meu dispositivo. Mas funcionou perfeitamente no meu laptop .------------------------------------------- ---------------------- 5&gt; Centros de serviço finos de wafer: O barco ofere"&amp;"ce uma garantia de 1 ano, mas de que é o bem se você não conseguir encontrar centros de serviço perto de você. Este é um hit ou senhorita caras ...--------------------------------------- ----------------------- 6&gt; Cancelamento de voz: não achei isso efica"&amp;"z. Talvez seja só eu, não tenho certeza .----------------------------------------- ---------------------- 7&gt; O microfone é praticamente inútil. Você não pode fazer ligações com este fone de ouvido .----------------------------------------- ---------------"&amp;"---------- , Eu comparo com eles porque o barco Rockerz vem com um cabo auxiliar e, se você está procurando uma alternativa, independentemente de fio ou sem fio, pode ser de alguma utilidade para você) 1&gt; Sennheiser CX 180 Street II: Eu não acho que O bar"&amp;"co pode superar a qualidade dessa pessoa. O som é incomparável- a base é profunda, boa fidelidade, um ambiente agradável e, por um preço de 799, esse é o fone de ouvido com orçamento imbatível. Eu possuo 2 dessa beleza. Valor total pelo dinheiro. Se você "&amp;"é um audiófilo e está com um orçamento apertado, não posso uma alternativa melhor que isso.2&gt; SOLTMAGIC E10C IN-EAR CABÉS Fones de ouvido na orelha -------------------------------------------------- ------------------------ Não compre: 1&gt; Se você é um aud"&amp;"iófilo (obviamente os audiófilos irão apenas para fones de ouvido com fio: D) 2&gt; Se Você pretende usá-lo por longas horas .-------------------------------------------- ------------------------------- Compre: 1&gt; Se você estiver procurando um fone de ouvido"&amp;" sem fio com orçamento com qualidade e desempenho decentes. 2&gt; Se você precisar de um pacote com fio e sem fio em um ..------------------------------------- --------------------------- estão dentro do orçamento e você deseja desfrutar de um fone de ouvido"&amp;" Bluetooth sem complicações com bom desempenho e fechar os olhos e comprar esta besta, confie em mim, você não se arrependerá de não ficar decepcionado. Nesta faixa de preço, não consegui encontrar outro fone de ouvido com esse desempenho. Não temos muita"&amp;"s opções .... não é? : P: PTHE O preço real é Rs. 2999 e a Amazon afirmam que estão dando 57% de desconto. Por favor, não se apaixona por isso. Eu não recomendaria pagar mais de 1700 rúpias para este fone de ouvido .---------------------------------------"&amp;"--- --------------------------------------- Nota: Eu não sou um especialista neste campo. Esta é apenas uma revisão de um leigo. Obrigado por ler a revisão e espero que isso ajude você com sua decisão de compra., Meu barco com fio de ouvidos estava dando "&amp;"após o uso duro e eu queria um novo par de fones de ouvido e eu queria para estar sobre os tipos de cabeça como este. Eu também queria um com opções Aux e Bluetooth, pois eu o usaria para a TV, laptop e meu telefone. Eu me atrapalhei com esse estrato do m"&amp;"ercado de fones de ouvido anteriormente e, depois de comprar bem para nada da Motorola, acabei com isso. bom negócio, é difícil deixar de lado meus fones de ouvido, comprei isso em 2019 por um preço de 1k à venda, o Bluetooth estava funcionando bem, mas s"&amp;"aiu depois de um ano, eu sei que isso aconteceria, e é quando o lendário auxiliar Cable entra, eu o uso com o cabo AUX há quase 2 anos novamente, mas mais tarde a banda de fone de ouvido superior quebrou, usei um fevista para enfiar e usei, eu o estiquei "&amp;"ainda mais, mas quebrou novamente, Mas não há diferença na qualidade sonora do que quer que seja até agora, tem sido um soldado 3 anos desde o uso deste produto, ainda tentando esticá -lo ainda mais, se não funcionar, posso dizer bem a este besta de um pr"&amp;"oduto , e é triste notar que os produtos atuais de barcos oferecidos não oferecem essa qualidade robusta, eles se tornaram a empresa que se concentra na quantidade em relação à qualidade hoje em dia, evoluções de lado, tenho que respeitar este produto pel"&amp;"o que ele me deu até agora ., Eu realmente revisei após 2 anos e ainda está funcionando, mas uma vez que a tira da cabeça estava quebrada, eu a corrigi usando o vídeo do YouTube em geral, é uma compra muito boa para mim., Não pense nas especificações que "&amp;"você pode comprar cegamente porque vale a pena, eu Recentemente comprou os fones de ouvido Bluetooth Rockerz 400. Eles têm uma ótima qualidade de som e as almofadas de orelha acolchoadas macias são muito confortáveis. A duração da bateria também é impress"&amp;"ionante, com até 8 horas de reprodução. No geral, estou muito feliz com minha compra e os recomendaria a quem procura um bom par de fones de ouvido Bluetooth., Menores de 1300 Rs É o melhor telefone ... Peso do produto não pesado., fone de fone de ouvido "&amp;"bom, NHI, Bole para a qualidade de Jhakas😜Sound é muito bom e o baixo também é bom, mas eu esperava mais como o baixo do teatro, mas não assim, hhh laalach karna buri chijh h🤩🤩, hum sudhrenge nhi Kabhi😂😂i acho que você está entediado na soma deste ma"&amp;"stro de fone de ouvido, desfrutando, de boa qualidade, conectado facilmente minha TV inteligente LG 4K")</f>
        <v>-------------------------------------------------ATUALIZAR : 20/01/2018 -------------------------------------------- ----- Já se passaram 5 meses desde que recebi o Boat Rockerz 400. Alguns dos desgostos que mencionei anteriormente na minha resenha não são mais desgostos. Eu disse que o som está mais ou menos de um lado mais plano, mas estou acostumado e "estou adorando" .. :) O segundo ponto é que eu disse se você é um audiófilo, então você pode não gostar, mas Eu estava errado. Você pode perguntar por que ... aqui está o porquê: Depois de uma longa lacuna, visitei meu pai que é um audiófilo. Ele tem numerosos fones de ouvido de última geração, mas, infelizmente, chamou a atenção do meu fone de ouvido e só queria experimentá-lo. Eu disse que sim (eu me arrependo :() ele combinou com o dispositivo e tocou uma música. Garo Fui forçado a comprar outro. Alguns dias atrás, recebi outro: (uma coisa que notei em dois da minha compra é o cabo de áudio não é bom. Ambos os meus cabos de áudio tiveram o mesmo problema .------- -------------------------------------------------------- -------------------- Então a moral da história é: Esconda-a do seu pai ou irmão audiófilo. Eles irão arrebatá-lo sem cerimônia. Não posso dar errado com esta compra. Vale a pena cada polegada quadrada. -------------------------- Eu recebi este produto há 3 dias e eu o recebi por Rs. REVISÃO imparcial tendo em mente o preço do produto: três dias podem não ser um tempo suficiente para revisar este produto, mas desculpe não posso ajudar a emoção ...---------------- ---------------------------------------- LIGHES: 1&gt; boa qualidade construída ------ - 4/5it é resistente, pelo preço que a qualidade de construção é ótima. Não é frágil. As almofadas da orelha são boas o suficiente .-------------------------------------------- ----------- 2&gt; Qualidade do som ------ 3.5/5 Se você for um audiófilo, isso não é para você. O baixo é decente não para exagerar (como notado em outras críticas). O baixo é profundo o suficiente para o preço .----------------------------------------- ----------------- 3&gt; Conectividade: O emparelhamento é fácil se conecta como uma brisa .----- 4/5 -------------- -------------------------------------------- 4&gt; Modo duplo e sem fio: o barco Rockerz 400 vem com um cabo auxiliar. Se você ficar sem carga, você sempre pode conectar o cabo auxiliar e usá -lo como um fone de ouvido com fio. (Eu não consegui encontrar uma diferença substancial na qualidade da música entre Wired e Wireless :)) Adorei esse recurso. ------ 5/5 --------------------------------------- -------------------- Backup da bateria: Estou impressionado com o backup da bateria desta besta. Eu o uso há 3 dias por 2-3 horas por dia ainda está correndo. Então, acho que o backup de 8 horas por cobrança não é um truque de marketing, presumo que seja verdade. Até agora tudo bem. irá atualizá-lo após o uso de um mês .------------------------------------------- ------------------ Não gosta: 1&gt; A qualidade do som está mais do lado mais plano. Quando você o compara com fones de ouvido com fio orçamentário como a Sennheiser CX 180 Street II, o baixo não é muito profundo. Você não vai conseguir esse ambiente. O site de Boat diz: "Não seja alto, seja alto e claro", não ... desculpe, eu tenho que decepcioná -lo com isso. Quando está alto, não está claro. Muitas distorções estão lá quando você está alto .------------------------------------------ -------------------- 2&gt; Conforto: Acredite, não é nada confortável para uso prolongado. Sua orelha implorará que você o tire após 30-45 minutos. Super-humano ...------------------------------------------- ------------- 3&gt; RANGE: Os barcos dizem 10 metros de alcance ... Na minha experiência, se você for além de 5-6 metros, a voz quebrará. Você nunca receberá 10 Mtrs Range, confie em mim. E estou experimentando intervalos ocasionais no streaming de nada intrusivo até agora, mas não sei se será um problema na linha. Vai deixar vocês saber sobre isso mais tarde se for um problema .------------------------------------------ -------------------------- 4&gt; Flimsy Aux Cable: Não posso reclamar muito sobre o cabo auxiliar, tendo o preço em mente. Lembre -se de que paguei apenas 1299 por isso. Mas, com certos dispositivos, o AUX não estava funcionando corretamente. O MI Note 3 teve problemas, o MI 4 também teve problemas com o AUX. Não tenho certeza se é o problema do meu dispositivo. Mas funcionou perfeitamente no meu laptop .------------------------------------------- ---------------------- 5&gt; Centros de serviço finos de wafer: O barco oferece uma garantia de 1 ano, mas de que é o bem se você não conseguir encontrar centros de serviço perto de você. Este é um hit ou senhorita caras ...--------------------------------------- ----------------------- 6&gt; Cancelamento de voz: não achei isso eficaz. Talvez seja só eu, não tenho certeza .----------------------------------------- ---------------------- 7&gt; O microfone é praticamente inútil. Você não pode fazer ligações com este fone de ouvido .----------------------------------------- ------------------------- , Eu comparo com eles porque o barco Rockerz vem com um cabo auxiliar e, se você está procurando uma alternativa, independentemente de fio ou sem fio, pode ser de alguma utilidade para você) 1&gt; Sennheiser CX 180 Street II: Eu não acho que O barco pode superar a qualidade dessa pessoa. O som é incomparável- a base é profunda, boa fidelidade, um ambiente agradável e, por um preço de 799, esse é o fone de ouvido com orçamento imbatível. Eu possuo 2 dessa beleza. Valor total pelo dinheiro. Se você é um audiófilo e está com um orçamento apertado, não posso uma alternativa melhor que isso.2&gt; SOLTMAGIC E10C IN-EAR CABÉS Fones de ouvido na orelha -------------------------------------------------- ------------------------ Não compre: 1&gt; Se você é um audiófilo (obviamente os audiófilos irão apenas para fones de ouvido com fio: D) 2&gt; Se Você pretende usá-lo por longas horas .-------------------------------------------- ------------------------------- Compre: 1&gt; Se você estiver procurando um fone de ouvido sem fio com orçamento com qualidade e desempenho decentes. 2&gt; Se você precisar de um pacote com fio e sem fio em um ..------------------------------------- --------------------------- estão dentro do orçamento e você deseja desfrutar de um fone de ouvido Bluetooth sem complicações com bom desempenho e fechar os olhos e comprar esta besta, confie em mim, você não se arrependerá de não ficar decepcionado. Nesta faixa de preço, não consegui encontrar outro fone de ouvido com esse desempenho. Não temos muitas opções .... não é? : P: PTHE O preço real é Rs. 2999 e a Amazon afirmam que estão dando 57% de desconto. Por favor, não se apaixona por isso. Eu não recomendaria pagar mais de 1700 rúpias para este fone de ouvido .------------------------------------------ --------------------------------------- Nota: Eu não sou um especialista neste campo. Esta é apenas uma revisão de um leigo. Obrigado por ler a revisão e espero que isso ajude você com sua decisão de compra., Meu barco com fio de ouvidos estava dando após o uso duro e eu queria um novo par de fones de ouvido e eu queria para estar sobre os tipos de cabeça como este. Eu também queria um com opções Aux e Bluetooth, pois eu o usaria para a TV, laptop e meu telefone. Eu me atrapalhei com esse estrato do mercado de fones de ouvido anteriormente e, depois de comprar bem para nada da Motorola, acabei com isso. bom negócio, é difícil deixar de lado meus fones de ouvido, comprei isso em 2019 por um preço de 1k à venda, o Bluetooth estava funcionando bem, mas saiu depois de um ano, eu sei que isso aconteceria, e é quando o lendário auxiliar Cable entra, eu o uso com o cabo AUX há quase 2 anos novamente, mas mais tarde a banda de fone de ouvido superior quebrou, usei um fevista para enfiar e usei, eu o estiquei ainda mais, mas quebrou novamente, Mas não há diferença na qualidade sonora do que quer que seja até agora, tem sido um soldado 3 anos desde o uso deste produto, ainda tentando esticá -lo ainda mais, se não funcionar, posso dizer bem a este besta de um produto , e é triste notar que os produtos atuais de barcos oferecidos não oferecem essa qualidade robusta, eles se tornaram a empresa que se concentra na quantidade em relação à qualidade hoje em dia, evoluções de lado, tenho que respeitar este produto pelo que ele me deu até agora ., Eu realmente revisei após 2 anos e ainda está funcionando, mas uma vez que a tira da cabeça estava quebrada, eu a corrigi usando o vídeo do YouTube em geral, é uma compra muito boa para mim., Não pense nas especificações que você pode comprar cegamente porque vale a pena, eu Recentemente comprou os fones de ouvido Bluetooth Rockerz 400. Eles têm uma ótima qualidade de som e as almofadas de orelha acolchoadas macias são muito confortáveis. A duração da bateria também é impressionante, com até 8 horas de reprodução. No geral, estou muito feliz com minha compra e os recomendaria a quem procura um bom par de fones de ouvido Bluetooth., Menores de 1300 Rs É o melhor telefone ... Peso do produto não pesado., fone de fone de ouvido bom, NHI, Bole para a qualidade de Jhakas😜Sound é muito bom e o baixo também é bom, mas eu esperava mais como o baixo do teatro, mas não assim, hhh laalach karna buri chijh h🤩🤩, hum sudhrenge nhi Kabhi😂😂i acho que você está entediado na soma deste mastro de fone de ouvido, desfrutando, de boa qualidade, conectado facilmente minha TV inteligente LG 4K</v>
      </c>
    </row>
    <row r="539">
      <c r="A539" s="9" t="s">
        <v>2146</v>
      </c>
      <c r="B539" s="29" t="str">
        <f>VLOOKUP(dados!A539, reviews!A:G, 5, FALSE)</f>
        <v>Fake Product,Costly but excellent quality,Storage good but don't know how to Activate warantee??,Good for use,5 stas nahi diya kyuki capacity 477gb hi rahta hai,Speed not as advertise,Good one,It's ok</v>
      </c>
      <c r="C539" s="29" t="str">
        <f>VLOOKUP(dados!A539, reviews!A:G, 6, FALSE)</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c r="D539" s="29" t="str">
        <f>IFERROR(__xludf.DUMMYFUNCTION("GOOGLETRANSLATE(B539, ""en"", ""pt-br"")"),"Produto falso, caro, mas excelente qualidade, armazenamento bom, mas não sei como ativar a Warantee?")</f>
        <v>Produto falso, caro, mas excelente qualidade, armazenamento bom, mas não sei como ativar a Warantee?</v>
      </c>
      <c r="E539" s="29" t="str">
        <f>IFERROR(__xludf.DUMMYFUNCTION("GOOGLETRANSLATE(C539, ""en"", ""pt-br"")"),"O cartão SD de 128 GB está mostrando 134gbdon não comprar este produto, foi um pouco caro, mas o Prouduct é de ótima qualidade. Poderia ter sido feito um pouco mais barato. , O produto está ok.")</f>
        <v>O cartão SD de 128 GB está mostrando 134gbdon não comprar este produto, foi um pouco caro, mas o Prouduct é de ótima qualidade. Poderia ter sido feito um pouco mais barato. , O produto está ok.</v>
      </c>
    </row>
    <row r="540">
      <c r="A540" s="9" t="s">
        <v>2150</v>
      </c>
      <c r="B540" s="29" t="str">
        <f>VLOOKUP(dados!A540, reviews!A:G, 5, FALSE)</f>
        <v>It’s worth,Good,Iphone 18w adapter.,The product is good to use,Nice,Excellent,Very useful and excellent product at an very affordable price. tag,Affordable price, Great deal!</v>
      </c>
      <c r="C540" s="29" t="str">
        <f>VLOOKUP(dados!A540, reviews!A:G, 6, FALSE)</f>
        <v>Looks good and didn’t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v>
      </c>
      <c r="D540" s="29" t="str">
        <f>IFERROR(__xludf.DUMMYFUNCTION("GOOGLETRANSLATE(B540, ""en"", ""pt-br"")"),"Vale a pena, bom, adaptador do iPhone 18W., É bom usar o produto, um produto agradável, excelente, muito útil e excelente a um preço muito acessível. Tag, preço acessível, ótimo negócio!")</f>
        <v>Vale a pena, bom, adaptador do iPhone 18W., É bom usar o produto, um produto agradável, excelente, muito útil e excelente a um preço muito acessível. Tag, preço acessível, ótimo negócio!</v>
      </c>
      <c r="E540" s="29" t="str">
        <f>IFERROR(__xludf.DUMMYFUNCTION("GOOGLETRANSLATE(C540, ""en"", ""pt-br"")"),"Parece bom e não prejudicou a bateria do iPhone e, como vale o preço, valor ao dinheiro, melhor produto e carregamento rápido. Obrigado!, O dinheiro é acessível e o carregador é bom, legal, comprou o adaptador e o cabo.! foi muito cético sobre isso primei"&amp;"ro, mas ordenado com base nas críticas.! No entanto, ficou muito feliz com os dois produtos.! Embalagem original de adaptador e cabo também.! Obrigado, o produto atende aos requisitos previstos., Recursos para dinheiro, o pacote parece original.")</f>
        <v>Parece bom e não prejudicou a bateria do iPhone e, como vale o preço, valor ao dinheiro, melhor produto e carregamento rápido. Obrigado!, O dinheiro é acessível e o carregador é bom, legal, comprou o adaptador e o cabo.! foi muito cético sobre isso primeiro, mas ordenado com base nas críticas.! No entanto, ficou muito feliz com os dois produtos.! Embalagem original de adaptador e cabo também.! Obrigado, o produto atende aos requisitos previstos., Recursos para dinheiro, o pacote parece original.</v>
      </c>
    </row>
    <row r="541">
      <c r="A541" s="9" t="s">
        <v>2154</v>
      </c>
      <c r="B541" s="29" t="str">
        <f>VLOOKUP(dados!A541, reviews!A:G, 5, FALSE)</f>
        <v>Merges with the device, Ultra Thin, Smooth Sliding,Good for Privacy Concerns,Good product,RESEARCH PROPERLY BEFORE BUYING! NOT SUITABLE FOR MACBOOKS!</v>
      </c>
      <c r="C541" s="29" t="str">
        <f>VLOOKUP(dados!A541, reviews!A:G, 6, FALSE)</f>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 the product has merged with it. The little plastic container in the package will act as storage for the rest of the webcam covers.It is ultra-thin as described by the company with acquiring about a millimeter thickness. This thickness can cope with the windows laptops as they are having the rubber buffers on the top side of the screen frame because those buffers act as a spacer between the screen and the lower-up body/keyboard of the laptop to avoid any harm to the screen. This spacer is advantageous to the webcam cover as closing the lid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 laptop, and never try this product for your Mac laptops. As the Mac laptops have a stunning plain glass screen that is covering the whole screen frame part and has no spacers, that is there's no space left after closing the laptop lid and hence upon installation of this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 cover, and make its edges (the edges close to the slider) smooth (rounding off or fillet), so that upon sliding the slider with a fat finger, it can easily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screen.𝗕𝘂𝗶𝗹𝗱 𝗤𝘂𝗮𝗹𝗶𝘁𝘆 𝟰.𝟱/𝟱You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choice.𝗔𝗱𝗵𝗲𝘀𝗶𝗼𝗻 𝟯/𝟱I am sorry to say that the Adhesion of this product is quite weak. It literally falls off after a week of applying it. I had to throw 2 of it as it became useless. I only had the last piece remaining.𝗦𝗼𝗹𝘂𝘁𝗶𝗼𝗻 𝗳𝗼𝗿 𝗔𝗱𝗵𝗲𝘀𝗶𝗼𝗻 : Eventually I was able to find a solution for this problem.• Remove the Stock Adhesion by gently applying Isopropyl alcohol.• Then apply a strong Adhesive glue (I used Fevi Kwick). Apply it only on the back edges of the webcam  cover. Since it's extremely thin, I used thin needle to apply Super Glue gently on it or else the Superglue  will spill out and make a mess.•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v>
      </c>
      <c r="D541" s="29" t="str">
        <f>IFERROR(__xludf.DUMMYFUNCTION("GOOGLETRANSLATE(B541, ""en"", ""pt-br"")"),"Mespere -se com o dispositivo, deslizante ultra fino e suave, bom para preocupações com privacidade, bom produto, pesquisa corretamente antes de comprar! Não é adequado para MacBooks!")</f>
        <v>Mespere -se com o dispositivo, deslizante ultra fino e suave, bom para preocupações com privacidade, bom produto, pesquisa corretamente antes de comprar! Não é adequado para MacBooks!</v>
      </c>
      <c r="E541" s="29" t="str">
        <f>IFERROR(__xludf.DUMMYFUNCTION("GOOGLETRANSLATE(C541, ""en"", ""pt-br"")"),"ProductLiramark Webcam Cover Slidevents DataDord Data - 09/04/2022 Data de entrega - 11/04/2022 Data de revisão - 05/05/2022STATUSRECEVEL Quadro - quadro traseiro estático da tampa da webcam&gt; quadro de tela - O produto da tela do laptop é resistente e inv"&amp;"isível (para o tema de cor mútua para dispositivo e produto) e bem fabricado. Se o dispositivo tiver o mesmo tema preto fosco, esta capa da webcam poderá ser facilmente mesclada e se tornará parte do corpo do dispositivo. Como você pode ver, meu laptop te"&amp;"m uma estrutura de tela preta fosca e surpreendentemente o produto se fundiu com ele. O pequeno recipiente de plástico no pacote atuará como armazenamento para o restante das capas da webcam.et é ultrafino, conforme descrito pela empresa com a aquisição d"&amp;"e uma espessura de um milímetro. Essa espessura pode lidar com os laptops do Windows, pois eles estão tendo os tampões de borracha no lado superior do quadro da tela, porque esses buffers atuam como um espaçador entre a tela e o corpo/teclado inferior do "&amp;"laptop para evitar qualquer dano ao tela. Esse espaçador é vantajoso para a capa da webcam, pois o fechamento da tampa não prejudicará a tela, a estrutura da tela e o corpo inferior do laptop. Mas, ainda assim, não pressione o local onde a tampa da webcam"&amp;" é instalada, pois a espessura da tampa da webcam é um pouco mais nos micrômetros do que os tampões de borracha do próprio laptop. A função deslizante é muito suave, mas não se esqueça de empurrar apenas a parte do controle deslizante e não toda a parte e"&amp;"stática, pois tornará a aderência fraca ao longo do tempo de uso. O dispositivo pode ser usado com qualquer telefone e monitor, pois não têm problemas com Abrindo e fechando as tampas. Agora, para os usuários do ""laptop Mac"", não é um produto para o seu"&amp;" laptop e nunca experimente este produto para seus laptops Mac. Como os laptops Mac têm uma tela de vidro simples impressionante que está cobrindo o peça de tela inteira e não tem espaçadores, ou seja, não há espaço depois de fechar a tampa do laptop e, p"&amp;"ortanto, após a instalação deste produto danificará (rachadura/quebra) a tela de vidro simples. Instalação é fácil, remova a fita azul e cola cuidadosamente A tampa como adesivo, usando a escala para suporte, ou você pode enfiá-la um pouco inclinada. Depo"&amp;"is de grudar, esfregue a palma da mão para a geração de calor e pegue a estrutura da tela das duas palmas das mãos e aplique a pressão ultra-light e mantenha a posição Até 2 a 5 minutos. E lá você vai para sua vida invisível satisfeita. para detritos ou p"&amp;"oeira. Além disso, é um bom produto. Para mim, funcionou incrível. Sinal verde daqui. Obrigado :) sugestão o fabricante - observe a estrutura estática da capa da webcam e faça suas bordas (as bordas próximas ao controle deslizante) liso (arredondando ou f"&amp;"ilete), de modo que, ao deslizar o slider com um Dedo gordo, ele pode deslizar facilmente sobre as bordas da estrutura estática, portanto, não coloca uma força desnecessária em uma estrutura estática. Para o vendedor - bem embalando o consumidor - verifiq"&amp;"ue os espaçadores/buffers de borracha fornecidos no laptop (como laptops Windows ), se for, você pode usar a capa da webcam, se não (como laptops Mac), não é o produto para você. Mesmo para os laptops do Windows, depois de instalar uma capa da webcam, ten"&amp;"te não pressionar o local da capa da webcam por muito tempo. Deslize-o 2-5 vezes uma vez por semana para evitar tocar. Para produtos específicos adquiridos / entregues., geralmente não confio na minha webcam, então pensei em experimentar este produto. Foi"&amp;" entregue dentro de 3 dias depois de fazer o pedido. Eu o recebi em 12 de junho. As primeiras impressões foram muito boas. Eu sempre tive o medo de que isso quebrasse minha tela quando fechei minha tampa de laptop depois de ler as críticas, mas já faz 3,5"&amp;" meses e não há nem uma única rachadura na minha tela.𝗕𝘂𝗶𝗹𝗱 𝗤𝘂𝗮𝗹𝗶𝘁𝘆 𝟰.𝟱/𝟱 Você receberá 3 webcams em o pacote. É extremamente magro. Portanto, não causará problemas quando você fecha o laptop (os jogos da HP Pavilion usados ​​aqui), mas pod"&amp;"e causar problemas no caso de laptops com telas finas como o MacBook Air, Asus Tuf, asus rog enquanto fecha a tampa devido ao pressão na tela. No final, é sua escolha. 𝟯 𝟯/𝟱 𝟱 𝟱 𝟱 𝟱 𝟱 𝟱ee, lamento dizer que a adesão deste produto é bastante fraca"&amp;". Ele literalmente cai depois de uma semana de aplicá -lo. Eu tive que jogar 2 quando se tornou inútil. Eu só tinha a última peça restante. 𝗳𝗼𝗿 𝗔𝗱𝗵𝗲𝘀𝗶𝗼𝗻 𝗔𝗱𝗵𝗲𝘀𝗶𝗼𝗻: Eventualmente, pude encontrar uma solução para esse problema. Aplique -o "&amp;"apenas nas bordas traseiras da capa da webcam. Como é extremamente fino, usei uma agulha fina para aplicar super cola suavemente, ou então a supercola derramará e fará uma bagunça. • Imediatamente você deve colocá -lo na webcam do nosso laptop. E então vo"&amp;"cê está pronto para ir. Já se passaram três meses depois de usar a técnica de super cola. Esqueça sobre cair, ele nem se moveu um pouco. Sem efeito na qualidade da minha webcam. A capa não interferirá quando você estiver usando sua webcam em reuniões. E c"&amp;"obre totalmente quando você quiser privacidade. No geral, é um bom produto, exceto pelo fato de ter baixa adesão., Bom produto, eu gostaria de saber disso antes de pedir. Felizmente, um amigo me informou no mesmo dia em que a apliquei. Apple pede que as p"&amp;"essoas não fechem seu MacBook, MacBook Air ou MacBook Pro, enquanto essas capas de câmera são aplicadas porque pode levar a rachaduras na tela ao fechar seu MacBook! !! Também pode afetar o sensor de luz do ambiente, mas esse é o problema menor em compara"&amp;"ção com uma tela potencialmente rachada e altos custos de reparo. sempre entre a tela e o corpo do laptop. Este item tem 0,027 polegadas de espessura, ou seja, 0,6 mm, seis vezes a espessura recomendada !!! se você o usar no seu MacBook, remova -o complet"&amp;"amente antes de fechar o laptop. Você pode usá -lo sem se preocupar no iMac, pois é uma área de trabalho e não fica fechado. Você também pode usá -lo com qualquer laptop normal onde a câmera não esteja incorporada dentro da tela de vidro. Se você possui u"&amp;"m laptop onde a câmera está incorporada na estrutura de plástico ao redor da tela, deve ficar bem. Para usuários decepcionados do MacBook como eu, há duas opções. Uma é que você confia na Apple, que está dizendo que a câmera está conectada à luz verde da "&amp;"câmera. De acordo com eles, um não pode funcionar sem o outro, portanto, mesmo que alguém invade sua câmera, você saberá que está ligado porque a luz verde estará brilhando. Se você não tem certeza sobre a confiabilidade deles e ainda deseja cobrir sua câ"&amp;"mera, Use um pedaço de fita fina. A Apple faz conselhos contra qualquer coisa que possa deixar resíduos adesivos na tela, mas, francamente, se você apenas limpá -lo com algum limpador de tela após remover, não vejo como pode haver um problema. Por que ain"&amp;"da estou dando a este produto 3 estrelas ? Ele alcançou em boas condições, é fácil de instalar e usar e ainda será útil para pessoas com outros laptops ou telas de desktop com câmera embutida. Não é um produto ruim. Eles só precisam parar de anunciá -lo p"&amp;"ara o MacBooks!")</f>
        <v>ProductLiramark Webcam Cover Slidevents DataDord Data - 09/04/2022 Data de entrega - 11/04/2022 Data de revisão - 05/05/2022STATUSRECEVEL Quadro - quadro traseiro estático da tampa da webcam&gt; quadro de tela - O produto da tela do laptop é resistente e invisível (para o tema de cor mútua para dispositivo e produto) e bem fabricado. Se o dispositivo tiver o mesmo tema preto fosco, esta capa da webcam poderá ser facilmente mesclada e se tornará parte do corpo do dispositivo. Como você pode ver, meu laptop tem uma estrutura de tela preta fosca e surpreendentemente o produto se fundiu com ele. O pequeno recipiente de plástico no pacote atuará como armazenamento para o restante das capas da webcam.et é ultrafino, conforme descrito pela empresa com a aquisição de uma espessura de um milímetro. Essa espessura pode lidar com os laptops do Windows, pois eles estão tendo os tampões de borracha no lado superior do quadro da tela, porque esses buffers atuam como um espaçador entre a tela e o corpo/teclado inferior do laptop para evitar qualquer dano ao tela. Esse espaçador é vantajoso para a capa da webcam, pois o fechamento da tampa não prejudicará a tela, a estrutura da tela e o corpo inferior do laptop. Mas, ainda assim, não pressione o local onde a tampa da webcam é instalada, pois a espessura da tampa da webcam é um pouco mais nos micrômetros do que os tampões de borracha do próprio laptop. A função deslizante é muito suave, mas não se esqueça de empurrar apenas a parte do controle deslizante e não toda a parte estática, pois tornará a aderência fraca ao longo do tempo de uso. O dispositivo pode ser usado com qualquer telefone e monitor, pois não têm problemas com Abrindo e fechando as tampas. Agora, para os usuários do "laptop Mac", não é um produto para o seu laptop e nunca experimente este produto para seus laptops Mac. Como os laptops Mac têm uma tela de vidro simples impressionante que está cobrindo o peça de tela inteira e não tem espaçadores, ou seja, não há espaço depois de fechar a tampa do laptop e, portanto, após a instalação deste produto danificará (rachadura/quebra) a tela de vidro simples. Instalação é fácil, remova a fita azul e cola cuidadosamente A tampa como adesivo, usando a escala para suporte, ou você pode enfiá-la um pouco inclinada. Depois de grudar, esfregue a palma da mão para a geração de calor e pegue a estrutura da tela das duas palmas das mãos e aplique a pressão ultra-light e mantenha a posição Até 2 a 5 minutos. E lá você vai para sua vida invisível satisfeita. para detritos ou poeira. Além disso, é um bom produto. Para mim, funcionou incrível. Sinal verde daqui. Obrigado :) sugestão o fabricante - observe a estrutura estática da capa da webcam e faça suas bordas (as bordas próximas ao controle deslizante) liso (arredondando ou filete), de modo que, ao deslizar o slider com um Dedo gordo, ele pode deslizar facilmente sobre as bordas da estrutura estática, portanto, não coloca uma força desnecessária em uma estrutura estática. Para o vendedor - bem embalando o consumidor - verifique os espaçadores/buffers de borracha fornecidos no laptop (como laptops Windows ), se for, você pode usar a capa da webcam, se não (como laptops Mac), não é o produto para você. Mesmo para os laptops do Windows, depois de instalar uma capa da webcam, tente não pressionar o local da capa da webcam por muito tempo. Deslize-o 2-5 vezes uma vez por semana para evitar tocar. Para produtos específicos adquiridos / entregues., geralmente não confio na minha webcam, então pensei em experimentar este produto. Foi entregue dentro de 3 dias depois de fazer o pedido. Eu o recebi em 12 de junho. As primeiras impressões foram muito boas. Eu sempre tive o medo de que isso quebrasse minha tela quando fechei minha tampa de laptop depois de ler as críticas, mas já faz 3,5 meses e não há nem uma única rachadura na minha tela.𝗕𝘂𝗶𝗹𝗱 𝗤𝘂𝗮𝗹𝗶𝘁𝘆 𝟰.𝟱/𝟱 Você receberá 3 webcams em o pacote. É extremamente magro. Portanto, não causará problemas quando você fecha o laptop (os jogos da HP Pavilion usados ​​aqui), mas pode causar problemas no caso de laptops com telas finas como o MacBook Air, Asus Tuf, asus rog enquanto fecha a tampa devido ao pressão na tela. No final, é sua escolha. 𝟯 𝟯/𝟱 𝟱 𝟱 𝟱 𝟱 𝟱 𝟱ee, lamento dizer que a adesão deste produto é bastante fraca. Ele literalmente cai depois de uma semana de aplicá -lo. Eu tive que jogar 2 quando se tornou inútil. Eu só tinha a última peça restante. 𝗳𝗼𝗿 𝗔𝗱𝗵𝗲𝘀𝗶𝗼𝗻 𝗔𝗱𝗵𝗲𝘀𝗶𝗼𝗻: Eventualmente, pude encontrar uma solução para esse problema. Aplique -o apenas nas bordas traseiras da capa da webcam. Como é extremamente fino, usei uma agulha fina para aplicar super cola suavemente, ou então a supercola derramará e fará uma bagunça. • Imediatamente você deve colocá -lo na webcam do nosso laptop. E então você está pronto para ir. Já se passaram três meses depois de usar a técnica de super cola. Esqueça sobre cair, ele nem se moveu um pouco. Sem efeito na qualidade da minha webcam. A capa não interferirá quando você estiver usando sua webcam em reuniões. E cobre totalmente quando você quiser privacidade. No geral, é um bom produto, exceto pelo fato de ter baixa adesão., Bom produto, eu gostaria de saber disso antes de pedir. Felizmente, um amigo me informou no mesmo dia em que a apliquei. Apple pede que as pessoas não fechem seu MacBook, MacBook Air ou MacBook Pro, enquanto essas capas de câmera são aplicadas porque pode levar a rachaduras na tela ao fechar seu MacBook! !! Também pode afetar o sensor de luz do ambiente, mas esse é o problema menor em comparação com uma tela potencialmente rachada e altos custos de reparo. sempre entre a tela e o corpo do laptop. Este item tem 0,027 polegadas de espessura, ou seja, 0,6 mm, seis vezes a espessura recomendada !!! se você o usar no seu MacBook, remova -o completamente antes de fechar o laptop. Você pode usá -lo sem se preocupar no iMac, pois é uma área de trabalho e não fica fechado. Você também pode usá -lo com qualquer laptop normal onde a câmera não esteja incorporada dentro da tela de vidro. Se você possui um laptop onde a câmera está incorporada na estrutura de plástico ao redor da tela, deve ficar bem. Para usuários decepcionados do MacBook como eu, há duas opções. Uma é que você confia na Apple, que está dizendo que a câmera está conectada à luz verde da câmera. De acordo com eles, um não pode funcionar sem o outro, portanto, mesmo que alguém invade sua câmera, você saberá que está ligado porque a luz verde estará brilhando. Se você não tem certeza sobre a confiabilidade deles e ainda deseja cobrir sua câmera, Use um pedaço de fita fina. A Apple faz conselhos contra qualquer coisa que possa deixar resíduos adesivos na tela, mas, francamente, se você apenas limpá -lo com algum limpador de tela após remover, não vejo como pode haver um problema. Por que ainda estou dando a este produto 3 estrelas ? Ele alcançou em boas condições, é fácil de instalar e usar e ainda será útil para pessoas com outros laptops ou telas de desktop com câmera embutida. Não é um produto ruim. Eles só precisam parar de anunciá -lo para o MacBooks!</v>
      </c>
    </row>
    <row r="542">
      <c r="A542" s="9" t="s">
        <v>243</v>
      </c>
      <c r="B542" s="29" t="str">
        <f>VLOOKUP(dados!A542, reviews!A:G, 5, FALSE)</f>
        <v>Good product but costly,It’s really long n sturdy no homo 🔥,Takes longer to charge than the regular cable,Quality is really good,iPhone X pink charging cable long one ☝️,A good purchase,It charges fine for me,Absolutely fantastic USB👍👍👍</v>
      </c>
      <c r="C542" s="29" t="str">
        <f>VLOOKUP(dados!A542, reviews!A:G, 6, FALSE)</f>
        <v>It cost should be under Rs. 500,Buy it,Color is as per the photo but takes longer to charge. Also doesn’t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phone’s color. Although the metal ends of the cable was rose gold, but the whole cable was pink, which I didn’t like. I went for the 2m long cable so that i can use it conveniently even if it is charging. Though it’s kinda bulky, yet serves it’s purpose. Charging speed is fast and efficient just like the original cable had. Also quite durable and sturdy. My Apple’s original lighting cable had some problem while charging so I purchased this one after watching many YouTube videos and reviews. It was indeed a good purchase.,It’s long and good,It’s a superb product in terms of sturdiness, looks, and charging speed.</v>
      </c>
      <c r="D542" s="29" t="str">
        <f>IFERROR(__xludf.DUMMYFUNCTION("GOOGLETRANSLATE(B542, ""en"", ""pt-br"")"),"Bom produto, mas caro, é muito longo e resistente no homo 🔥, leva mais tempo para cobrar do que o cabo comum, a qualidade é realmente boa, o cabo de carregamento rosa do iPhone X Long One ☝️, uma boa compra, ele cobra bem para mim, absolutamente fantásti"&amp;"co USB 👍👍👍")</f>
        <v>Bom produto, mas caro, é muito longo e resistente no homo 🔥, leva mais tempo para cobrar do que o cabo comum, a qualidade é realmente boa, o cabo de carregamento rosa do iPhone X Long One ☝️, uma boa compra, ele cobra bem para mim, absolutamente fantástico USB 👍👍👍</v>
      </c>
      <c r="E542" s="29" t="str">
        <f>IFERROR(__xludf.DUMMYFUNCTION("GOOGLETRANSLATE(C542, ""en"", ""pt-br"")"),"O custo deve estar em Rs. 500, compre, a cor é de acordo com a foto, mas leva mais tempo para carregar. Também não carrega em todos os soquetes. Os pontos de trabalho para funcionar melhor quando conectados diretamente no laptop., O comprimento do cabo é "&amp;"longo, para que você possa usá -lo feliz por uma longa distância e a qualidade é realmente boa, 1 metro de carregamento rosa Fio para iPhone X longo e forte para uso., Eu uso este cabo de iluminação há quase um mês e o cabo acabou exatamente como foi most"&amp;"rado. Peguei o ouro rosa que corresponde à cor do meu telefone. Embora as extremidades de metal do cabo fossem ouro rosa, mas todo o cabo estava rosa, o que eu não gostava. Fui para o cabo de 2m de comprimento para poder usá -lo convenientemente, mesmo qu"&amp;"e esteja carregando. Embora seja meio volumoso, mas serve ao seu propósito. A velocidade de carregamento é rápida e eficiente, assim como o cabo original. Também bastante durável e resistente. O cabo de iluminação original da minha Apple teve algum proble"&amp;"ma ao carregar, então comprei este depois de assistir a muitos vídeos e críticas do YouTube. Foi realmente uma boa compra., É longo e bom, é um produto excelente em termos de robustez, aparência e velocidade de carregamento.")</f>
        <v>O custo deve estar em Rs. 500, compre, a cor é de acordo com a foto, mas leva mais tempo para carregar. Também não carrega em todos os soquetes. Os pontos de trabalho para funcionar melhor quando conectados diretamente no laptop., O comprimento do cabo é longo, para que você possa usá -lo feliz por uma longa distância e a qualidade é realmente boa, 1 metro de carregamento rosa Fio para iPhone X longo e forte para uso., Eu uso este cabo de iluminação há quase um mês e o cabo acabou exatamente como foi mostrado. Peguei o ouro rosa que corresponde à cor do meu telefone. Embora as extremidades de metal do cabo fossem ouro rosa, mas todo o cabo estava rosa, o que eu não gostava. Fui para o cabo de 2m de comprimento para poder usá -lo convenientemente, mesmo que esteja carregando. Embora seja meio volumoso, mas serve ao seu propósito. A velocidade de carregamento é rápida e eficiente, assim como o cabo original. Também bastante durável e resistente. O cabo de iluminação original da minha Apple teve algum problema ao carregar, então comprei este depois de assistir a muitos vídeos e críticas do YouTube. Foi realmente uma boa compra., É longo e bom, é um produto excelente em termos de robustez, aparência e velocidade de carregamento.</v>
      </c>
    </row>
    <row r="543">
      <c r="A543" s="9" t="s">
        <v>2162</v>
      </c>
      <c r="B543" s="29" t="str">
        <f>VLOOKUP(dados!A543, reviews!A:G, 5, FALSE)</f>
        <v>Good to use as a secondary mobile,It's average.,Not user friendly operation of nokia 8210.,Need invoice,Good feature phone with 4G connectivity,Model for worth,Good,Good feature phone, but it is highly overprized</v>
      </c>
      <c r="C543" s="29" t="str">
        <f>VLOOKUP(dados!A543, reviews!A:G, 6, FALSE)</f>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v>
      </c>
      <c r="D543" s="29" t="str">
        <f>IFERROR(__xludf.DUMMYFUNCTION("GOOGLETRANSLATE(B543, ""en"", ""pt-br"")"),"É bom usar como um celular secundário, é médio., Não é uma operação amigável do Nokia 8210., precisa de fatura, bom telefone com conectividade 4G, modelo para valor, bom e bom telefone, mas é altamente apreciado")</f>
        <v>É bom usar como um celular secundário, é médio., Não é uma operação amigável do Nokia 8210., precisa de fatura, bom telefone com conectividade 4G, modelo para valor, bom e bom telefone, mas é altamente apreciado</v>
      </c>
      <c r="E543" s="29" t="str">
        <f>IFERROR(__xludf.DUMMYFUNCTION("GOOGLETRANSLATE(C543, ""en"", ""pt-br"")"),"A recepção de rede não é tão boa assim. Pessoas que chamam a mensagem da área de cobertura, mesmo que o telefone mostre duas barras de rede. O mesmo sim e a rede funcionou bem no meu smartphone. Dispositivo. O único benfit que eu vi sobre isso é suporta V"&amp;"oLTE e pode sincronizar os contatos do telefone Android que evitam taks manuais de criar cada contato manualmente., O produto é média. Não é péssimo como os muitos telefones contemporâneos de outras marcas. Dito isto, também não é ótimo com um pouco de ab"&amp;"orrecimento. Não espere muito, pois é um telefone de recurso, mas alguns negativos são: 1) Há uma distorção de voz notada ocasionalmente ao receber chamadas. Tem que encerrar a chamada e refazê -la, então a voz é clara. Inicialmente, pensou -se que era um"&amp;"a questão de um produto específico. Assim, devolveu o telefone e obteve um novo. No entanto, o novo também tem isso. Tentei alguns métodos para corrigir isso, incluindo desligar o volte. Até agora, esse problema ainda não surgiu, felizmente.2) Não há bloc"&amp;"o de bloco, o quão difícil é dar um bloco de notas neste telefone. Se ele pode fazer mensagens de texto e salvar contatos, quão difícil é dar um bloco de notas para gravar coisas? Carregue corretamente a página do YouTube, muito menos reproduza qualquer v"&amp;"ídeo. Sim, não é um telefone para assistir constante no YouTube. Mas como é um site muito importante, não apenas para entretenimento, mas também para informações e notícias, teria sido ótimo se o YouTube estivesse ativado (ele suporta 4G, então por que nã"&amp;"o o YouTube?) 4) A câmera é muito ruim. T Espere uma câmera padrão para smartphone, mas essa câmera VGA é muito ruim. A Nokia poderia ter aumentado o preço de cerca de 500 dólares e dar uma câmera média de 1 megapixel nela. Isso é o que é necessário. Supu"&amp;"nha que eles estavam muito atenciosos em dar um dicionário offline. Mas, após a abertura, acabou sendo uma versão de demonstração com ""Pay INR 50"" &amp; ""Play 3 Free Trail"" ficou decepcionado quando, ao clicar na opção de trilha gratuita, necessário Inter"&amp;"net &amp; foi direcionado para o site da Opera. Qual é o ponto para isso? Além disso, o telefone não é ruim com alguns recursos positivos, como rádio sem fio, gravação de rádio, tela grande (em comparação com outros telefones de recursos), gravador de voz, to"&amp;"cha, Torch, Opção de gravação de chamadas, aplicativo de conversor, design retro elegante e um bom teclado facilmente tipável. A duração da bateria é&gt; 7 dias se o uso não for muito pesado. A FM funciona sem fones de ouvido com fio. Ligue para a qualidade "&amp;"se bom. Nano-sim duplo. Nenhuma opção de configuração de perfil, como foi o caso de telefones nokia lançados anteriormente. Jogos pré -instalados, mas todos (exceto cobras) são a versão de teste. Navegador da Internet, Facebook, Music &amp; Video Player estão"&amp;" lá, mas não há opção de instalar qualquer outro aplicativo, pois não há App Store., Gud para um modelo no Nokia e vale a pena por dinheiro, melhor não funciona mais de 4 dias, mesmo não usando telefone, Funciona como qualquer outro telefone do tempo de 2"&amp;"006-2010, mas a qualidade da construção é consideravelmente baixa. Boa duração da bateria e boa qualidade de chamada estão lá, nada de especial além disso.")</f>
        <v>A recepção de rede não é tão boa assim. Pessoas que chamam a mensagem da área de cobertura, mesmo que o telefone mostre duas barras de rede. O mesmo sim e a rede funcionou bem no meu smartphone. Dispositivo. O único benfit que eu vi sobre isso é suporta VoLTE e pode sincronizar os contatos do telefone Android que evitam taks manuais de criar cada contato manualmente., O produto é média. Não é péssimo como os muitos telefones contemporâneos de outras marcas. Dito isto, também não é ótimo com um pouco de aborrecimento. Não espere muito, pois é um telefone de recurso, mas alguns negativos são: 1) Há uma distorção de voz notada ocasionalmente ao receber chamadas. Tem que encerrar a chamada e refazê -la, então a voz é clara. Inicialmente, pensou -se que era uma questão de um produto específico. Assim, devolveu o telefone e obteve um novo. No entanto, o novo também tem isso. Tentei alguns métodos para corrigir isso, incluindo desligar o volte. Até agora, esse problema ainda não surgiu, felizmente.2) Não há bloco de bloco, o quão difícil é dar um bloco de notas neste telefone. Se ele pode fazer mensagens de texto e salvar contatos, quão difícil é dar um bloco de notas para gravar coisas? Carregue corretamente a página do YouTube, muito menos reproduza qualquer vídeo. Sim, não é um telefone para assistir constante no YouTube. Mas como é um site muito importante, não apenas para entretenimento, mas também para informações e notícias, teria sido ótimo se o YouTube estivesse ativado (ele suporta 4G, então por que não o YouTube?) 4) A câmera é muito ruim. T Espere uma câmera padrão para smartphone, mas essa câmera VGA é muito ruim. A Nokia poderia ter aumentado o preço de cerca de 500 dólares e dar uma câmera média de 1 megapixel nela. Isso é o que é necessário. Supunha que eles estavam muito atenciosos em dar um dicionário offline. Mas, após a abertura, acabou sendo uma versão de demonstração com "Pay INR 50" &amp; "Play 3 Free Trail" ficou decepcionado quando, ao clicar na opção de trilha gratuita, necessário Internet &amp; foi direcionado para o site da Opera. Qual é o ponto para isso? Além disso, o telefone não é ruim com alguns recursos positivos, como rádio sem fio, gravação de rádio, tela grande (em comparação com outros telefones de recursos), gravador de voz, tocha, Torch, Opção de gravação de chamadas, aplicativo de conversor, design retro elegante e um bom teclado facilmente tipável. A duração da bateria é&gt; 7 dias se o uso não for muito pesado. A FM funciona sem fones de ouvido com fio. Ligue para a qualidade se bom. Nano-sim duplo. Nenhuma opção de configuração de perfil, como foi o caso de telefones nokia lançados anteriormente. Jogos pré -instalados, mas todos (exceto cobras) são a versão de teste. Navegador da Internet, Facebook, Music &amp; Video Player estão lá, mas não há opção de instalar qualquer outro aplicativo, pois não há App Store., Gud para um modelo no Nokia e vale a pena por dinheiro, melhor não funciona mais de 4 dias, mesmo não usando telefone, Funciona como qualquer outro telefone do tempo de 2006-2010, mas a qualidade da construção é consideravelmente baixa. Boa duração da bateria e boa qualidade de chamada estão lá, nada de especial além disso.</v>
      </c>
    </row>
    <row r="544">
      <c r="A544" s="9" t="s">
        <v>2166</v>
      </c>
      <c r="B544" s="29" t="str">
        <f>VLOOKUP(dados!A544, reviews!A:G, 5, FALSE)</f>
        <v>Perfect fit n finish. But slightly over priced. Overall good and useful.,Screen cover,Amazing product.. I'm very glad after got it..Now I can use my watch confidently..Thank you Amazon..,protect our screen.,Perfect fitting for m nosice smartwatch ❤,Good for protection,Ok,Good</v>
      </c>
      <c r="C544" s="29" t="str">
        <f>VLOOKUP(dados!A544, reviews!A:G, 6, FALSE)</f>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 worth it  paise vasul😍,https://m.media-amazon.com/images/I/81skvqgoYaL._SY88.jpg,Ok,Good for your watch</v>
      </c>
      <c r="D544" s="29" t="str">
        <f>IFERROR(__xludf.DUMMYFUNCTION("GOOGLETRANSLATE(B544, ""en"", ""pt-br"")"),"Acabamento perfeito. Mas um pouco mais com preços. No geral, bom e útil., Capa de tela, produto incrível .. Estou muito feliz depois de entender ... agora posso usar meu relógio com confiança ... obrigado a Amazon .., proteja nossa tela., Montagem perfeit"&amp;"a para m nariz smartwatch ❤ , Bom para proteção, ok, bom")</f>
        <v>Acabamento perfeito. Mas um pouco mais com preços. No geral, bom e útil., Capa de tela, produto incrível .. Estou muito feliz depois de entender ... agora posso usar meu relógio com confiança ... obrigado a Amazon .., proteja nossa tela., Montagem perfeita para m nariz smartwatch ❤ , Bom para proteção, ok, bom</v>
      </c>
      <c r="E544" s="29" t="str">
        <f>IFERROR(__xludf.DUMMYFUNCTION("GOOGLETRANSLATE(C544, ""en"", ""pt-br"")"),"Acabamento perfeito. Mas um pouco mais com preços. No geral, bom e útil., Bom produto, encaixe adequado, https: //m.media-amazon.com/images/i/51u+yrugoel._sy88.jpg,is produto é muito útil porque é uma tela completa e um relógio inteligente corporal e prot"&amp;"eja qualquer dano.Srecreen totalmente protegido com este produto., também custa, mas é perfeito e seguro para o smartwatch ❤ vale a pena Vasul😍, https: //m.media-amazon.com/images/i/81skvqgoyal._sy88.jpg , Ok, bom para o seu relógio")</f>
        <v>Acabamento perfeito. Mas um pouco mais com preços. No geral, bom e útil., Bom produto, encaixe adequado, https: //m.media-amazon.com/images/i/51u+yrugoel._sy88.jpg,is produto é muito útil porque é uma tela completa e um relógio inteligente corporal e proteja qualquer dano.Srecreen totalmente protegido com este produto., também custa, mas é perfeito e seguro para o smartwatch ❤ vale a pena Vasul😍, https: //m.media-amazon.com/images/i/81skvqgoyal._sy88.jpg , Ok, bom para o seu relógio</v>
      </c>
    </row>
    <row r="545">
      <c r="A545" s="9" t="s">
        <v>2170</v>
      </c>
      <c r="B545" s="29" t="str">
        <f>VLOOKUP(dados!A545, reviews!A:G, 5, FALSE)</f>
        <v>Received defective phone and running from one customer care to another to replace the phone,Honest opinion.,Worth the money but not as good as promised,Good budget model phone,value for money.,Galaxy m53,Good buy for 22k,A little overpriced but gets the work done</v>
      </c>
      <c r="C545" s="29" t="str">
        <f>VLOOKUP(dados!A545, reviews!A:G, 6, FALSE)</f>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v>
      </c>
      <c r="D545" s="29" t="str">
        <f>IFERROR(__xludf.DUMMYFUNCTION("GOOGLETRANSLATE(B545, ""en"", ""pt-br"")"),"Recebeu telefone defeituoso e correndo de um atendimento ao cliente para outro para substituir o telefone, opinião honesta., Vale o dinheiro, mas não tão bom quanto prometido, bom modelo de orçamento, valor para dinheiro., Galaxy M53, boa compra para 22k,"&amp;" um pouco muito caro, mas faz o trabalho")</f>
        <v>Recebeu telefone defeituoso e correndo de um atendimento ao cliente para outro para substituir o telefone, opinião honesta., Vale o dinheiro, mas não tão bom quanto prometido, bom modelo de orçamento, valor para dinheiro., Galaxy M53, boa compra para 22k, um pouco muito caro, mas faz o trabalho</v>
      </c>
      <c r="E545" s="29" t="str">
        <f>IFERROR(__xludf.DUMMYFUNCTION("GOOGLETRANSLATE(C545, ""en"", ""pt-br"")"),"Abaixo está a experiência até agora. Recebeu um produto defeituoso. A bateria estava sendo drenada em poucas horas, o WiFi continuou sendo desconectado e quase todos os aplicativos estavam dando problemas, incluindo o Google Maps. (A localização não estav"&amp;"a sendo capturada) 2. Tentei devolvê -lo no 8º dia de compra depois de encontrar problemas com todos os aplicativos que abro. (Tentei na 7ª noite também, mas o telefone congelou e não conseguiu desligar e reiniciar o aplicativo móvel - a Amazon estava nes"&amp;"te telefone. Usei outro telefone para verificar como forçar a reinicialização na manhã seguinte e ligou para o celular) 3. A Amazon disse que a janela de retorno está fechada na 7ª noite e agora preciso ligar diretamente para o atendimento ao cliente da S"&amp;"amsung. Chamados de atendimento ao cliente da Samsung e eles tentaram verificar o telefone remotamente - não conseguiu identificar o problema. Informado, terei que visitar o Samsung Service Center para descobrir a edição6. Primeira visita ao Center, eles "&amp;"fizeram uma atualização de software (telefone de 3 semanas de idade agora - não tenho certeza de qual atualização estaria pendente) e devolveram o telefone dizendo que veremos se o problema persiste por mais uma semana. Eles também sacaram todos os aplica"&amp;"tivos no telefone. Os problemas enfrentaram na mesma noite, moraram com ele por mais um dia e voltaram na manhã seguinte.8. Segunda visita, eles identificaram que a placa -mãe e a bateria tiveram defeito de fabricação e terão que ser substituídos. Solicit"&amp;"ei uma substituição de telefone e eles me disseram que sua política não lhes permite substituir o dispositivo e só posso substituir a placa mãe e a bateria, que estava com defeito11. Eles me disseram que terei que entrar em contato com o número do caso do"&amp;" cliente da Samsung novamente, se eu quiser uma substituição de produto, pois eles não têm autoridade para isso. Chamado de número de atendimento ao cliente novamente, e eles me informam que tenho que entrar em contato com a Amazon para substituir o produ"&amp;"to, pois a Amazon foi o vendedor. para chegar lá.Update: 11. Todo o atendimento ao cliente disse que não pode substituir o telefone. Então se rendeu para derrotar e devolveu o telefone ao Centro de Atendimento ao Cliente da Samsung para a substituição da "&amp;"placa de bateria e da mãe. Eles devolveram o telefone no dia seguinte, dizendo que as peças são substituídas. Mais uma vez, retirou -se dos aplicativos que eu havia baixado e conectei novamente.12. Eu verifiquei o telefone do próprio centro antes de recup"&amp;"erá -lo e imaginei que o problema ainda persistisse (a bateria estava drenando a cada minuto). Eu mostrei isso a eles. Eles me disseram que é uma bateria nova e levará algum tempo para se estabilizar. Eles também me pediram para comprar um carregador supe"&amp;"r rápido, enquanto eu comprava deles para não arriscar. Eles me pediram para verificar 2 dias e confirmar. Usado por 2 dias. Mesma situação. Sem melhorias. Voltou para eles novamente. Eles verificaram e disseram que o encaminharão para a equipe técnica pa"&amp;"ra verificar agora.14. A equipe técnica verificou o dispositivo e disse que havia um problema de software para poucos produtos nesta versão e depois precisará de 4 dias para corrigi -lo, pois eles ainda estão trabalhando na atualização do software para co"&amp;"rrigir isso. Não tenho idéia de como esse produto passou no teste de qualidade se todas essas instruções que eles estão fazendo forem verdadeiras. A essa altura, o atendimento ao cliente da Samsung usou o telefone por mais dias do que eu desde que a compr"&amp;"a do dispositivo e eles identificaram problemas de hardware e problemas de software no produto, mas ainda se recusam a devolver o dinheiro e retomar o produto, apesar de solicitações repetidas. 15. Eles mantiveram o telefone por 5 dias e voltaram dizendo "&amp;"que tudo está consertado. O telefone começou a funcionar normalmente finalmente, mas eu estava doente e cansado da experiência.17. Liguei para o atendimento ao cliente corporativo da Samsung narrando toda a série de eventos e pedindo reembolso. Eles se re"&amp;"cusaram com toda a sua força e disseram que ""o telefone está funcionando agora"". Durante o processo, também descobri que o centro de atendimento ao cliente que mantinha o telefone por 5 dias para reparar o DINT até criar uma reclamação registrada ou um "&amp;"código de trabalho enquanto mantinha o telefone por 5 dias. Eu registrei oficialmente uma queixa. Mas ainda não há sorte de devolver o telefone.Update em 30 de novembro.18. Eu estava viajando e fora do país. Em 21 de novembro, enquanto usava o telefone e "&amp;"com 70% da tela esquerda disparou e olhou para mostrando linhas de grade como uma TV dos anos 80. Tentei alternar o celular e reiniciar várias vezes. Sem sorte. Linhas de grade ainda. Minhas reservas de voo, reservas de hotéis e tudo o que se pode pensar "&amp;"estavam no celular e meu telefone de 3 meses não está respondendo a nada possível. Felizmente, o amigo tinha um celular sobressalente e eu usei esse telefone até concluir a viagem.19. Chegou à cidade ontem e meu primeiro ato é visitar o Samsung Customer C"&amp;"are Center. (30 de novembro.) Estou escrevendo esta atualização no centro de atendimento ao cliente. Eles mencionaram ""Problema de patch. Atualização de software DINT acontece"". Neste ponto, eu sei que eles estão apenas falando lixo para envolver o clie"&amp;"nte e apenas adiar a situação. Nenhuma tela do telefone de 3 meses vai parar de responder devido à falta de atualização de software. Eles estão abrindo o telefone novamente para operá -lo, depois de recusar novamente meu pedido de reembolso de dinheiro., "&amp;"É um smartphone realmente bom em seu alcance repleto de recursos. E a marca como a Samsung nunca deixa de divertir o que eles entregam a um determinado preço. Eu ainda dou 3,7 estrelas como bateria 🔋 pode ser melhor. Também perde um ponto por não incluir"&amp;" um carregador., O telefone parece bom. A velocidade de carregamento é ultra lenta, mesmo com o Fast Charger 25W Original. Além disso, a qualidade da câmera não é de 32 MP, o total de 108 MP. A UI da Samsung não é muito amigável e fácil. Outras marcas têm"&amp;" uma interface do usuário melhor e mais suave, o telefone é muito elegante, comprou sombra marrom, que parece muito premium em mãos para o que realmente é ... Bom modelo de orçamento, você não pode negar a marca, Sumsung é uma marca .over, um bom produto "&amp;"para uso longo., bom worck, o carregador deveria ter sido parte dele. Mas o produto parece bom, o preço é um pouco caro. Alguns dos contras são: um pouco de sensor de impressão digital rígido, após 2 meses de uso, freqüentemente encontro um atraso ao desb"&amp;"loquear o telefone, a duração da bateria não está à altura, luta para ir o Dia inteiro, mesmo com uso regular, nenhum conector de 3,5 mm e um buggy bt.pros: uma câmera muito boa, excelente tela, excelente qualidade de som. disponível.")</f>
        <v>Abaixo está a experiência até agora. Recebeu um produto defeituoso. A bateria estava sendo drenada em poucas horas, o WiFi continuou sendo desconectado e quase todos os aplicativos estavam dando problemas, incluindo o Google Maps. (A localização não estava sendo capturada) 2. Tentei devolvê -lo no 8º dia de compra depois de encontrar problemas com todos os aplicativos que abro. (Tentei na 7ª noite também, mas o telefone congelou e não conseguiu desligar e reiniciar o aplicativo móvel - a Amazon estava neste telefone. Usei outro telefone para verificar como forçar a reinicialização na manhã seguinte e ligou para o celular) 3. A Amazon disse que a janela de retorno está fechada na 7ª noite e agora preciso ligar diretamente para o atendimento ao cliente da Samsung. Chamados de atendimento ao cliente da Samsung e eles tentaram verificar o telefone remotamente - não conseguiu identificar o problema. Informado, terei que visitar o Samsung Service Center para descobrir a edição6. Primeira visita ao Center, eles fizeram uma atualização de software (telefone de 3 semanas de idade agora - não tenho certeza de qual atualização estaria pendente) e devolveram o telefone dizendo que veremos se o problema persiste por mais uma semana. Eles também sacaram todos os aplicativos no telefone. Os problemas enfrentaram na mesma noite, moraram com ele por mais um dia e voltaram na manhã seguinte.8. Segunda visita, eles identificaram que a placa -mãe e a bateria tiveram defeito de fabricação e terão que ser substituídos. Solicitei uma substituição de telefone e eles me disseram que sua política não lhes permite substituir o dispositivo e só posso substituir a placa mãe e a bateria, que estava com defeito11. Eles me disseram que terei que entrar em contato com o número do caso do cliente da Samsung novamente, se eu quiser uma substituição de produto, pois eles não têm autoridade para isso. Chamado de número de atendimento ao cliente novamente, e eles me informam que tenho que entrar em contato com a Amazon para substituir o produto, pois a Amazon foi o vendedor. para chegar lá.Update: 11. Todo o atendimento ao cliente disse que não pode substituir o telefone. Então se rendeu para derrotar e devolveu o telefone ao Centro de Atendimento ao Cliente da Samsung para a substituição da placa de bateria e da mãe. Eles devolveram o telefone no dia seguinte, dizendo que as peças são substituídas. Mais uma vez, retirou -se dos aplicativos que eu havia baixado e conectei novamente.12. Eu verifiquei o telefone do próprio centro antes de recuperá -lo e imaginei que o problema ainda persistisse (a bateria estava drenando a cada minuto). Eu mostrei isso a eles. Eles me disseram que é uma bateria nova e levará algum tempo para se estabilizar. Eles também me pediram para comprar um carregador super rápido, enquanto eu comprava deles para não arriscar. Eles me pediram para verificar 2 dias e confirmar. Usado por 2 dias. Mesma situação. Sem melhorias. Voltou para eles novamente. Eles verificaram e disseram que o encaminharão para a equipe técnica para verificar agora.14. A equipe técnica verificou o dispositivo e disse que havia um problema de software para poucos produtos nesta versão e depois precisará de 4 dias para corrigi -lo, pois eles ainda estão trabalhando na atualização do software para corrigir isso. Não tenho idéia de como esse produto passou no teste de qualidade se todas essas instruções que eles estão fazendo forem verdadeiras. A essa altura, o atendimento ao cliente da Samsung usou o telefone por mais dias do que eu desde que a compra do dispositivo e eles identificaram problemas de hardware e problemas de software no produto, mas ainda se recusam a devolver o dinheiro e retomar o produto, apesar de solicitações repetidas. 15. Eles mantiveram o telefone por 5 dias e voltaram dizendo que tudo está consertado. O telefone começou a funcionar normalmente finalmente, mas eu estava doente e cansado da experiência.17. Liguei para o atendimento ao cliente corporativo da Samsung narrando toda a série de eventos e pedindo reembolso. Eles se recusaram com toda a sua força e disseram que "o telefone está funcionando agora". Durante o processo, também descobri que o centro de atendimento ao cliente que mantinha o telefone por 5 dias para reparar o DINT até criar uma reclamação registrada ou um código de trabalho enquanto mantinha o telefone por 5 dias. Eu registrei oficialmente uma queixa. Mas ainda não há sorte de devolver o telefone.Update em 30 de novembro.18. Eu estava viajando e fora do país. Em 21 de novembro, enquanto usava o telefone e com 70% da tela esquerda disparou e olhou para mostrando linhas de grade como uma TV dos anos 80. Tentei alternar o celular e reiniciar várias vezes. Sem sorte. Linhas de grade ainda. Minhas reservas de voo, reservas de hotéis e tudo o que se pode pensar estavam no celular e meu telefone de 3 meses não está respondendo a nada possível. Felizmente, o amigo tinha um celular sobressalente e eu usei esse telefone até concluir a viagem.19. Chegou à cidade ontem e meu primeiro ato é visitar o Samsung Customer Care Center. (30 de novembro.) Estou escrevendo esta atualização no centro de atendimento ao cliente. Eles mencionaram "Problema de patch. Atualização de software DINT acontece". Neste ponto, eu sei que eles estão apenas falando lixo para envolver o cliente e apenas adiar a situação. Nenhuma tela do telefone de 3 meses vai parar de responder devido à falta de atualização de software. Eles estão abrindo o telefone novamente para operá -lo, depois de recusar novamente meu pedido de reembolso de dinheiro., É um smartphone realmente bom em seu alcance repleto de recursos. E a marca como a Samsung nunca deixa de divertir o que eles entregam a um determinado preço. Eu ainda dou 3,7 estrelas como bateria 🔋 pode ser melhor. Também perde um ponto por não incluir um carregador., O telefone parece bom. A velocidade de carregamento é ultra lenta, mesmo com o Fast Charger 25W Original. Além disso, a qualidade da câmera não é de 32 MP, o total de 108 MP. A UI da Samsung não é muito amigável e fácil. Outras marcas têm uma interface do usuário melhor e mais suave, o telefone é muito elegante, comprou sombra marrom, que parece muito premium em mãos para o que realmente é ... Bom modelo de orçamento, você não pode negar a marca, Sumsung é uma marca .over, um bom produto para uso longo., bom worck, o carregador deveria ter sido parte dele. Mas o produto parece bom, o preço é um pouco caro. Alguns dos contras são: um pouco de sensor de impressão digital rígido, após 2 meses de uso, freqüentemente encontro um atraso ao desbloquear o telefone, a duração da bateria não está à altura, luta para ir o Dia inteiro, mesmo com uso regular, nenhum conector de 3,5 mm e um buggy bt.pros: uma câmera muito boa, excelente tela, excelente qualidade de som. disponível.</v>
      </c>
    </row>
    <row r="546">
      <c r="A546" s="9" t="s">
        <v>2174</v>
      </c>
      <c r="B546" s="29" t="str">
        <f>VLOOKUP(dados!A546, reviews!A:G, 5, FALSE)</f>
        <v>Real Monster 👽,Overall good,Good performance oriented phone,An all Rounder in the &lt; 30k segment,All good, battery life could be better.,A good Phone with few disadvantages.,Value for Money product,❤️</v>
      </c>
      <c r="C546" s="29" t="str">
        <f>VLOOKUP(dados!A546, reviews!A:G, 6, FALSE)</f>
        <v>Posting This After 8 Days of Continous Usage:I came from Oneplus 5t that too because last to last week I had an accident and my 5t has dead on the spot.After watching a lot of reviews on Youtube and Amazon, I thought I should give it a chance.First Impression:-• As you all know OP 5t has small display so it's hard for first 3-4 days to use/Typing because of big display.• A little heavy but that could be because of upgraded species and battery from my last 5t.• Solid built but it if it's metal build then it will be more beautiful.• Space fusion color is looking killer.• Flash charger works awsome but charger design can be improved• Display is crisp and clear but but in dark apps (i.e, chrome, brave, linkdin etc) you'll notice a color change (from Black to Greyish color) that gives a cheap feel and I don't know if it's a software or hardware issue.Actual Review:-• While gaming (Call of duty:mobile) has some lags and bugs and there is no option to block notification/calls even after mute notification ONN everything is coming on screen and it's very frustrating and annoying.• Battlefield mobile ground, Asphalt 9, Clash of Clans, Battle Royale are working flowless.• Some apps like Flipkart and Airtel gives some error (screen zoom automatically while opening) might be because of android 12 or something else.•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 Gesture are not working fine, this can be fixed with future updates.•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 Funtouch OS is very uncomfortable for me for the first 4-5 days but now I'm getting it a little.• Less feature in gaming mode in comparison to Iqoo 7📷Camera:-• Average as of now takes good picture in night/evening time and selfie camera is awsome.• OIS works good as per the budget and gives value for money.• Day time picture are good but something it changes the saturation/color by itself automatically.• No heat observed while gaming/doing heavy task (minimal heat that every phone has now a days and it is 40°c outside so this is not a big deal for me.• Screen recorder and mic works awsome• Crisp clear display except the issue I told above• 6-7 SOT in one charge (0-100)• 42-44 minutes charging time (0-100)• No bugs lags observed till date• 120Hz refresh rate made it monster• Some preinstalled bloatware can be uninstall but some has to be force stop only or you can use Adb commande to remove permanently.• A few apps are unnecessary like browser and a screen (virus scan) comes just after install an app from play store that very annoying and somehow I stopped that.•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v>
      </c>
      <c r="D546" s="29" t="str">
        <f>IFERROR(__xludf.DUMMYFUNCTION("GOOGLETRANSLATE(B546, ""en"", ""pt-br"")"),"MONSTER REAL 👽, em geral, bom, bom telefone, um telefone, um todo redondo no segmento &lt;30k, toda a vida útil da bateria pode ser melhor., Um bom telefone com poucas desvantagens., Produto de valor para dinheiro, ❤️")</f>
        <v>MONSTER REAL 👽, em geral, bom, bom telefone, um telefone, um todo redondo no segmento &lt;30k, toda a vida útil da bateria pode ser melhor., Um bom telefone com poucas desvantagens., Produto de valor para dinheiro, ❤️</v>
      </c>
      <c r="E546" s="29" t="str">
        <f>IFERROR(__xludf.DUMMYFUNCTION("GOOGLETRANSLATE(C546, ""en"", ""pt-br"")"),"Publicando isso após 8 dias de uso contínuo: eu vim do OnePlus 5t isso também porque, por último, na semana passada, tive um acidente e meu 5T está morto no local. Depois de assistir a muitas críticas no YouTube e na Amazon, pensei que deveria dar é uma c"&amp;"hance. Primeira impressão:-• Como todos sabem, Op 5T tem uma tela pequena, por isso é difícil para os primeiros 3-4 dias para usar/digitar devido à grande exibição. • Um pouco pesado, mas isso pode ser por causa de espécies e bateria atualizadas e bateria"&amp;" Do meu último 5T. Aplicativos (ou seja, Chrome, Brave, Linkdin etc), você notará uma mudança de cor (da cor preta para a cor cinza) que dá uma sensação barata e não sei se é um problema de software ou hardware. Os jogos (Call of Duty: Mobile) têm alguns "&amp;"atrasos e bugs e não há opção de bloquear a notificação/chamadas, mesmo após a notificação silenciosa, tudo está chegando na tela e é muito frustrante e irritante. • Battlefield Mobile Ground, asfalto 9, Clash of Clãs, Battle Royale estão funcionando sem "&amp;"fluxo. • Alguns aplicativos como Flipkart e Airtel dão algum erro (o zoom da tela automaticamente durante a abertura) pode ser por causa do Android 12 ou outra coisa. Quando eu não quero isso. Não quero defini -los todos os dias antes de usar meu telefone"&amp;" (ou seja, estou usando o segurança para remover a permissão do aplicativo quando não estiver em uso e este telefone remove a configuração de acessibilidade, mesmo após a otimização da massa e a listagem. som, mas é redefinido para o padrão automaticament"&amp;"e. • O gesto não está funcionando bem, isso pode ser corrigido com atualizações futuras. , forma, tamanho e o padrão um parece muito barato deve ser porque o OnePlus Oxigênio OS está aos meus olhos, mas não sou superado do oxigênio OS, o oxigênio OS é LUB"&amp;" • FuNOCHOUCH OS é muito desconfortável para mim nos primeiros 4-5 dias Mas agora estou recebendo um pouco. O orçamento e agrega relação ao dinheiro. ° C Out fora, então isso não é grande coisa para mim. • Recorder de tela e Mic Works Awome • Exibição cla"&amp;"ra, exceto o problema que eu disse acima • 6-7 SOT em uma carga (0-100) • 42-44 minutos de carregamento tempo de cobrança (0-100) • Nenhum bugs lags observado até a data • Taxa de atualização de 120Hz o tornou monstro • Alguns bloatware pré-instalados pod"&amp;"em ser desinstalados, mas alguns precisam ser apenas forçar a parada ou você pode usar o comando adb para remover permanentemente. • Alguns aplicativos são desnecessários Como o navegador e uma tela (varredura de vírus) vem logo após a instalação de um ap"&amp;"licativo da Play Store que muito irritante e, de alguma forma, parei isso. • O volume do alto-falante é suficiente (enoug alto em uma sala) Conclusão: -Em 31K vale a pena por dinheiro com Snapdragon 888 Processador e Chip Inteligente. Somente coisa que eu"&amp;" não gosto é Funtoch OS, porque não oferece uma experiência de telefone premium. pode ser consertado com atualizações futuras. De gastos com oxigênio OS 8-10k não é uma ótima idéia, eu acho., A qualidade da câmera é boa, a estabilidade de vídeo é incrível"&amp;", o processamento e outras funções são boas. A interface do usuário não é tão boa e a duração da bateria não está de acordo com a marca, profissionais:- Experiência super rápida do aplicativo devido ao Snapdragon 888- carregamento super rápido- boa exibiç"&amp;"ão, mas não comparável ao super amolado de samsung/ outro telefone- bom tamanho grande- não aquecimento em uso geral. Somente visto ao usar a câmera /vídeo, mas esfria rapidamente. AMOLED OU VIVIDO COMO SAMSUNG A ou S SERIA- A bateria do telefone drena rá"&amp;"pida- a corrente da câmera frontal AVG pode ser sentida ao tocar na câmera traseira enquanto carregava., Fiquei cético em relação ao telefone, como o SD 888 tem sua própria parte dos problemas de aquecimento E tudo, mas por 28k, este é um dos melhores tel"&amp;"efones do segmento. Eu tinha o Pixel 6A e nada do telefone 1 como outras opções. Embora sua câmera e software possam ser melhores em alguns aspectos, o desempenho, a câmera e os recursos de jogos que este telefone oferece são incríveis. Além Eu troco o te"&amp;"lefone para 60Hz. Começa a agir à medida que diminui para 30,40 fps ou algo assim. E a duração da bateria é média. É uma acusação à noite, com certeza. Mas a bateria decente, juntamente com um carregador rápida, é mais do que suficiente. Uso o Nova Launch"&amp;"er com isso e isso resolve o estilo da tela inicial. Recomendado a todos., Boa exibição, bom som, embora o som não seja muito alto, mas tenha um baixo doce, experiência suave, câmera boa, mas o vídeo frontal pode receber 60 fps, bom háptico, tudo é bom at"&amp;"é a marca, mas a duração da bateria poderia ser melhor. No geral, satisfeito com o produto., Eles estão bem, eu posso classificar 2,5/5, o celular vale o seu dinheiro.")</f>
        <v>Publicando isso após 8 dias de uso contínuo: eu vim do OnePlus 5t isso também porque, por último, na semana passada, tive um acidente e meu 5T está morto no local. Depois de assistir a muitas críticas no YouTube e na Amazon, pensei que deveria dar é uma chance. Primeira impressão:-• Como todos sabem, Op 5T tem uma tela pequena, por isso é difícil para os primeiros 3-4 dias para usar/digitar devido à grande exibição. • Um pouco pesado, mas isso pode ser por causa de espécies e bateria atualizadas e bateria Do meu último 5T. Aplicativos (ou seja, Chrome, Brave, Linkdin etc), você notará uma mudança de cor (da cor preta para a cor cinza) que dá uma sensação barata e não sei se é um problema de software ou hardware. Os jogos (Call of Duty: Mobile) têm alguns atrasos e bugs e não há opção de bloquear a notificação/chamadas, mesmo após a notificação silenciosa, tudo está chegando na tela e é muito frustrante e irritante. • Battlefield Mobile Ground, asfalto 9, Clash of Clãs, Battle Royale estão funcionando sem fluxo. • Alguns aplicativos como Flipkart e Airtel dão algum erro (o zoom da tela automaticamente durante a abertura) pode ser por causa do Android 12 ou outra coisa. Quando eu não quero isso. Não quero defini -los todos os dias antes de usar meu telefone (ou seja, estou usando o segurança para remover a permissão do aplicativo quando não estiver em uso e este telefone remove a configuração de acessibilidade, mesmo após a otimização da massa e a listagem. som, mas é redefinido para o padrão automaticamente. • O gesto não está funcionando bem, isso pode ser corrigido com atualizações futuras. , forma, tamanho e o padrão um parece muito barato deve ser porque o OnePlus Oxigênio OS está aos meus olhos, mas não sou superado do oxigênio OS, o oxigênio OS é LUB • FuNOCHOUCH OS é muito desconfortável para mim nos primeiros 4-5 dias Mas agora estou recebendo um pouco. O orçamento e agrega relação ao dinheiro. ° C Out fora, então isso não é grande coisa para mim. • Recorder de tela e Mic Works Awome • Exibição clara, exceto o problema que eu disse acima • 6-7 SOT em uma carga (0-100) • 42-44 minutos de carregamento tempo de cobrança (0-100) • Nenhum bugs lags observado até a data • Taxa de atualização de 120Hz o tornou monstro • Alguns bloatware pré-instalados podem ser desinstalados, mas alguns precisam ser apenas forçar a parada ou você pode usar o comando adb para remover permanentemente. • Alguns aplicativos são desnecessários Como o navegador e uma tela (varredura de vírus) vem logo após a instalação de um aplicativo da Play Store que muito irritante e, de alguma forma, parei isso. • O volume do alto-falante é suficiente (enoug alto em uma sala) Conclusão: -Em 31K vale a pena por dinheiro com Snapdragon 888 Processador e Chip Inteligente. Somente coisa que eu não gosto é Funtoch OS, porque não oferece uma experiência de telefone premium. pode ser consertado com atualizações futuras. De gastos com oxigênio OS 8-10k não é uma ótima idéia, eu acho., A qualidade da câmera é boa, a estabilidade de vídeo é incrível, o processamento e outras funções são boas. A interface do usuário não é tão boa e a duração da bateria não está de acordo com a marca, profissionais:- Experiência super rápida do aplicativo devido ao Snapdragon 888- carregamento super rápido- boa exibição, mas não comparável ao super amolado de samsung/ outro telefone- bom tamanho grande- não aquecimento em uso geral. Somente visto ao usar a câmera /vídeo, mas esfria rapidamente. AMOLED OU VIVIDO COMO SAMSUNG A ou S SERIA- A bateria do telefone drena rápida- a corrente da câmera frontal AVG pode ser sentida ao tocar na câmera traseira enquanto carregava., Fiquei cético em relação ao telefone, como o SD 888 tem sua própria parte dos problemas de aquecimento E tudo, mas por 28k, este é um dos melhores telefones do segmento. Eu tinha o Pixel 6A e nada do telefone 1 como outras opções. Embora sua câmera e software possam ser melhores em alguns aspectos, o desempenho, a câmera e os recursos de jogos que este telefone oferece são incríveis. Além Eu troco o telefone para 60Hz. Começa a agir à medida que diminui para 30,40 fps ou algo assim. E a duração da bateria é média. É uma acusação à noite, com certeza. Mas a bateria decente, juntamente com um carregador rápida, é mais do que suficiente. Uso o Nova Launcher com isso e isso resolve o estilo da tela inicial. Recomendado a todos., Boa exibição, bom som, embora o som não seja muito alto, mas tenha um baixo doce, experiência suave, câmera boa, mas o vídeo frontal pode receber 60 fps, bom háptico, tudo é bom até a marca, mas a duração da bateria poderia ser melhor. No geral, satisfeito com o produto., Eles estão bem, eu posso classificar 2,5/5, o celular vale o seu dinheiro.</v>
      </c>
    </row>
    <row r="547">
      <c r="A547" s="9" t="s">
        <v>2178</v>
      </c>
      <c r="B547" s="29" t="str">
        <f>VLOOKUP(dados!A547, reviews!A:G, 5, FALSE)</f>
        <v>Very Good prodat,Battery life is 0 day,Good,Where is switch on button?,Saman kharab hai,Do not purchase totally waste of time and money.,Bhot Gandhi h ye watch,Good 👍 nice</v>
      </c>
      <c r="C547" s="29" t="str">
        <f>VLOOKUP(dados!A547, reviews!A:G, 6, FALSE)</f>
        <v>Good Prodat,Battery life is so bad.,Nice product,Dislike product also not return its only replacement,,Iska tauch kaam nahi kar raha hai aur kewal mobile adoptot se charge karne par on dikh raha phir turat band ho ja raha hai.ise wapas karna hai.,पहिल्या दिवसापासूनच ती वॉच ऑन होत नाही. चार्ज केले तरी पण ऑन होत नाही. पुर्णपणे third class वॉच पाठविली Amazon ने. दिवसेंदिवस Amazon ची सर्व्हिस आणि प्रॉडक्ट bad होत चाललेले दिसत आहे.,Bhot Jada ghatia h h,All the products are very good working there is no any issue till now.</v>
      </c>
      <c r="D547" s="29" t="str">
        <f>IFERROR(__xludf.DUMMYFUNCTION("GOOGLETRANSLATE(B547, ""en"", ""pt-br"")"),"Muito bom Prodat, a duração da bateria é de 0 dias, bom, onde está o botão LIGADO?, Saman Kharab Hai, não compre totalmente desperdício de tempo e dinheiro., Bhot Gandhi seu assista, bom 👍 legal")</f>
        <v>Muito bom Prodat, a duração da bateria é de 0 dias, bom, onde está o botão LIGADO?, Saman Kharab Hai, não compre totalmente desperdício de tempo e dinheiro., Bhot Gandhi seu assista, bom 👍 legal</v>
      </c>
      <c r="E547" s="29" t="str">
        <f>IFERROR(__xludf.DUMMYFUNCTION("GOOGLETRANSLATE(C547, ""en"", ""pt-br"")"),"Bom Prodat, a duração da bateria é tão ruim., Produto agradável, o produto não gosta também não retorna sua única substituição ,, iska tauch kaam nahi kar raha hai aur kewal mobile adoto se cobra karne par no dikh raha phir turat band ho ja raha hai.ise.i"&amp;"se. WAPAS KARNA HAI., पहिल्या दिवसापासूनच ती वॉच ऑन होत नाही. चार्ज केले तरी पण ऑन होत नाही. पुर्णपणे Terceira classe वॉच पाठविली Amazon ने. दिवसेंदिवस Amazon ची सर्व्हिस आणि प्रॉडक्ट Bad होत चाललेले दिसत आहे., Bhot jada ghatia h h, todos os produtos são "&amp;"muito bons, não há nenhum problema até agora.")</f>
        <v>Bom Prodat, a duração da bateria é tão ruim., Produto agradável, o produto não gosta também não retorna sua única substituição ,, iska tauch kaam nahi kar raha hai aur kewal mobile adoto se cobra karne par no dikh raha phir turat band ho ja raha hai.ise.ise. WAPAS KARNA HAI., पहिल्या दिवसापासूनच ती वॉच ऑन होत नाही. चार्ज केले तरी पण ऑन होत नाही. पुर्णपणे Terceira classe वॉच पाठविली Amazon ने. दिवसेंदिवस Amazon ची सर्व्हिस आणि प्रॉडक्ट Bad होत चाललेले दिसत आहे., Bhot jada ghatia h h, todos os produtos são muito bons, não há nenhum problema até agora.</v>
      </c>
    </row>
    <row r="548">
      <c r="A548" s="9" t="s">
        <v>2182</v>
      </c>
      <c r="B548" s="29" t="str">
        <f>VLOOKUP(dados!A548, reviews!A:G, 5, FALSE)</f>
        <v>Value For Money,नॉर्मल यूज़ के लिए मोबाइल है मुझे तो यह पसंद नहीं आया पहले मैंने असूस जेनफोन मैक्स m2 मोबाईल चलाया,Good article as per price range,Good,Mobile is good at this prize,Good phone,They fooled me all over and drove me crazy...,Best in low price  segment</v>
      </c>
      <c r="C548" s="29" t="str">
        <f>VLOOKUP(dados!A548, reviews!A:G, 6, FALSE)</f>
        <v>Nice Phone. All over Performance is Good,बैटरी लगभग ठीक है कैमरा भी कुल मिलाकर ठीक है नॉर्मल न्यूज़ के लिए,Battery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v>
      </c>
      <c r="D548" s="29" t="str">
        <f>IFERROR(__xludf.DUMMYFUNCTION("GOOGLETRANSLATE(B548, ""en"", ""pt-br"")"),"Valor do dinheiro, नॉर्मल यूज़ लिए मोबाइल है मुझे तो यह नहीं आया पहले मैंने असूस जेनफोन मैक्स m2 मोबाईल चलाया, bom artigo conforme a faixa de preço, bom, o celular é bom neste prêmio, bom telefone, eles me enganaram por toda parte. me deixou louco ..., me"&amp;"lhor em segmento de preço baixo")</f>
        <v>Valor do dinheiro, नॉर्मल यूज़ लिए मोबाइल है मुझे तो यह नहीं आया पहले मैंने असूस जेनफोन मैक्स m2 मोबाईल चलाया, bom artigo conforme a faixa de preço, bom, o celular é bom neste prêmio, bom telefone, eles me enganaram por toda parte. me deixou louco ..., melhor em segmento de preço baixo</v>
      </c>
      <c r="E548" s="29" t="str">
        <f>IFERROR(__xludf.DUMMYFUNCTION("GOOGLETRANSLATE(C548, ""en"", ""pt-br"")"),"Belo telefone. Todo o desempenho é bom, बैटरी लगभग ठीक कैम कैमरा भी कुल मिलाकर ठीक है नॉर्मल न्यूज़ के लिए, a bateria está funcionando bem, a câmera está ok, a velocidade deste telefone também é boa conforme faixa de preço, condição goog Melhor, mas muito"&amp;"s aplicativos internos adicionados, qualidade do vídeo e som de qualidade muito baixa, a qualidade da imagem da câmera é boa e que recebi a caixa móvel não limpa., O preço é muito alto, seu preço vai para Flipkart 3/32.6499/- e 4/64.7499 ontem. Eu quero c"&amp;"omprar isso, mas não posso fazer esse motivo ,, melhor 👍👍👍👍👍")</f>
        <v>Belo telefone. Todo o desempenho é bom, बैटरी लगभग ठीक कैम कैमरा भी कुल मिलाकर ठीक है नॉर्मल न्यूज़ के लिए, a bateria está funcionando bem, a câmera está ok, a velocidade deste telefone também é boa conforme faixa de preço, condição goog Melhor, mas muitos aplicativos internos adicionados, qualidade do vídeo e som de qualidade muito baixa, a qualidade da imagem da câmera é boa e que recebi a caixa móvel não limpa., O preço é muito alto, seu preço vai para Flipkart 3/32.6499/- e 4/64.7499 ontem. Eu quero comprar isso, mas não posso fazer esse motivo ,, melhor 👍👍👍👍👍</v>
      </c>
    </row>
    <row r="549">
      <c r="A549" s="9" t="s">
        <v>2186</v>
      </c>
      <c r="B549" s="29" t="str">
        <f>VLOOKUP(dados!A549, reviews!A:G, 5, FALSE)</f>
        <v>Must Buy,Truly value for money at this price point get this type of quality charger cable.,Perfect fit for my Noise Colourfit NAV,Must try product,Product good,Good product,Value for money,Good product</v>
      </c>
      <c r="C549" s="29" t="str">
        <f>VLOOKUP(dados!A549, reviews!A:G, 6, FALSE)</f>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v>
      </c>
      <c r="D549" s="29" t="str">
        <f>IFERROR(__xludf.DUMMYFUNCTION("GOOGLETRANSLATE(B549, ""en"", ""pt-br"")"),"Deve comprar, verdadeiramente, valor pelo dinheiro a esse preço, obtenha esse tipo de cabo de carregador de qualidade., Ajuste perfeito para o meu ruído de roueffit NAV, deve experimentar o produto, produto bom, bom produto, valor para dinheiro, bom produ"&amp;"to")</f>
        <v>Deve comprar, verdadeiramente, valor pelo dinheiro a esse preço, obtenha esse tipo de cabo de carregador de qualidade., Ajuste perfeito para o meu ruído de roueffit NAV, deve experimentar o produto, produto bom, bom produto, valor para dinheiro, bom produto</v>
      </c>
      <c r="E549" s="29" t="str">
        <f>IFERROR(__xludf.DUMMYFUNCTION("GOOGLETRANSLATE(C549, ""en"", ""pt-br"")"),"O cabo foi entregue com segurança e funciona bem com o meu relógio. Relógio perfeito para o meu relógio de ruído., Acabamento de qualidade e capacidade de carregamento são ajustes universais eficientes e a um baixo custo. Se encaixa perfeitamente no meu r"&amp;"elógio inteligente e na banda., O cabo é perfeito para o meu ruído de Navit Nav., É um bom produto que vale a pena comprar graças à Amazon, bom, vale pelo dinheiro, eu gosto. Isso é uma relação custo / benefício, vale o dinheiro")</f>
        <v>O cabo foi entregue com segurança e funciona bem com o meu relógio. Relógio perfeito para o meu relógio de ruído., Acabamento de qualidade e capacidade de carregamento são ajustes universais eficientes e a um baixo custo. Se encaixa perfeitamente no meu relógio inteligente e na banda., O cabo é perfeito para o meu ruído de Navit Nav., É um bom produto que vale a pena comprar graças à Amazon, bom, vale pelo dinheiro, eu gosto. Isso é uma relação custo / benefício, vale o dinheiro</v>
      </c>
    </row>
    <row r="550">
      <c r="A550" s="9" t="s">
        <v>2190</v>
      </c>
      <c r="B550" s="29" t="str">
        <f>VLOOKUP(dados!A550, reviews!A:G, 5, FALSE)</f>
        <v>Big Bubble dont go away,Perfect tempered glass in given price,Nice,Overall good but difficult to install,Good quality and great price,Best Tempered Glass👌🏻,Good quality,Best tempered glass used till date</v>
      </c>
      <c r="C550" s="29" t="str">
        <f>VLOOKUP(dados!A550, reviews!A:G, 6, FALSE)</f>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can’t see whether the ear opening aligns with the phone’s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v>
      </c>
      <c r="D550" s="29" t="str">
        <f>IFERROR(__xludf.DUMMYFUNCTION("GOOGLETRANSLATE(B550, ""en"", ""pt-br"")"),"Grande bolha não desaparece, vidro temperado perfeito em determinado preço, bom, geral, bom, mas difícil de instalar, boa qualidade e ótimo preço, melhor vidro temperado, boa qualidade, melhor vidro temperado usado até a data")</f>
        <v>Grande bolha não desaparece, vidro temperado perfeito em determinado preço, bom, geral, bom, mas difícil de instalar, boa qualidade e ótimo preço, melhor vidro temperado, boa qualidade, melhor vidro temperado usado até a data</v>
      </c>
      <c r="E550" s="29" t="str">
        <f>IFERROR(__xludf.DUMMYFUNCTION("GOOGLETRANSLATE(C550, ""en"", ""pt-br"")"),"Usavam adesivos orientadores, mas nesses lugares as bolhas formadas. A loja os consertou, muito bem nessa faixa de preço. Vá em frente. Alinhe o vidro, no entanto. O filme que protege o vidro temperado é o opaco preto. Você não pode ver se a abertura da o"&amp;"relha se alinha com a peça de ouvido do telefone. Você só pode adivinhar. Pode ser tornado transparente para melhor precisão., Https: //m.media-amazon.com/images/i/71lmzq86rwl._sy88.jpg,Best Memered Glass para iPhone 14. Preços razoavelmente, diferentemen"&amp;"te de outros vendedores, excelente qualidade, sensação de qualidade, sensação de qualidade, sensação de qualidade, sensação de qualidade, sensação de qualidade, sensação de qualidade, sensação de qualidade, sensação de qualidade, sensação de qualidade, se"&amp;"nsação de qualidade, sensação de qualidade, sensação de qualidade, sensação de qualidade, sensação de qualidade, sensação de qualidade, sensação de qualidade, é um vidro temperado para o iPhone 14. Preços razoáveis, diferentemente de outros vendedores, qu"&amp;"alidade de excelente qualidade, sensação de que vidro real. Produto muito bom. Continue com o bom trabalho Popio., Muito fácil de colocá -lo. Você pode optar por óculos temperos baratos, mas o toque parece diferente e suave com os óculos de popio, estou u"&amp;"sando isso há 3 semanas. É muito receptivo. Estou muito feliz em usá -lo. O único desafio foi aplicá -lo, pois não é muito fácil, mesmo com a ajuda de orientar as tiras. Eles tendem a escorregar. Mas depois de aplicar, não havia bolha de ar e a tela funci"&amp;"ona sem problemas.")</f>
        <v>Usavam adesivos orientadores, mas nesses lugares as bolhas formadas. A loja os consertou, muito bem nessa faixa de preço. Vá em frente. Alinhe o vidro, no entanto. O filme que protege o vidro temperado é o opaco preto. Você não pode ver se a abertura da orelha se alinha com a peça de ouvido do telefone. Você só pode adivinhar. Pode ser tornado transparente para melhor precisão., Https: //m.media-amazon.com/images/i/71lmzq86rwl._sy88.jpg,Best Memered Glass para iPhone 14. Preços razoavelmente, diferentemente de outros vendedores, excelente qualidade, sensação de qualidade, sensação de qualidade, sensação de qualidade, sensação de qualidade, sensação de qualidade, sensação de qualidade, sensação de qualidade, sensação de qualidade, sensação de qualidade, sensação de qualidade, sensação de qualidade, sensação de qualidade, sensação de qualidade, sensação de qualidade, sensação de qualidade, sensação de qualidade, é um vidro temperado para o iPhone 14. Preços razoáveis, diferentemente de outros vendedores, qualidade de excelente qualidade, sensação de que vidro real. Produto muito bom. Continue com o bom trabalho Popio., Muito fácil de colocá -lo. Você pode optar por óculos temperos baratos, mas o toque parece diferente e suave com os óculos de popio, estou usando isso há 3 semanas. É muito receptivo. Estou muito feliz em usá -lo. O único desafio foi aplicá -lo, pois não é muito fácil, mesmo com a ajuda de orientar as tiras. Eles tendem a escorregar. Mas depois de aplicar, não havia bolha de ar e a tela funciona sem problemas.</v>
      </c>
    </row>
    <row r="551">
      <c r="A551" s="9" t="s">
        <v>2194</v>
      </c>
      <c r="B551" s="29" t="str">
        <f>VLOOKUP(dados!A551, reviews!A:G, 5, FALSE)</f>
        <v>It's worth for money and satisfied.,Nice product,Not great but will do,Very good product I like this product.,Product is ok ok as it is too difficult to connect with phone or it not be able to with ios,Must buy,Good, watch was as expected,Good smart watch</v>
      </c>
      <c r="C551" s="29" t="str">
        <f>VLOOKUP(dados!A551, reviews!A:G, 6, FALSE)</f>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v>
      </c>
      <c r="D551" s="29" t="str">
        <f>IFERROR(__xludf.DUMMYFUNCTION("GOOGLETRANSLATE(B551, ""en"", ""pt-br"")"),"Vale a pena por dinheiro e satisfeito., Bom produto, não é ótimo, mas fará, muito bom produto que eu gosto deste produto., O produto está ok, pois é muito difícil de conectar ao telefone ou não pode ser capaz com iOS, deve comprar , Bom, o relógio era o e"&amp;"sperado, bom relógio inteligente")</f>
        <v>Vale a pena por dinheiro e satisfeito., Bom produto, não é ótimo, mas fará, muito bom produto que eu gosto deste produto., O produto está ok, pois é muito difícil de conectar ao telefone ou não pode ser capaz com iOS, deve comprar , Bom, o relógio era o esperado, bom relógio inteligente</v>
      </c>
      <c r="E551" s="29" t="str">
        <f>IFERROR(__xludf.DUMMYFUNCTION("GOOGLETRANSLATE(C551, ""en"", ""pt-br"")"),"É um bom produto e valor pelo dinheiro. É comparável fácil de operar operar para crianças .., eu gosto de todos os recursos e no B.P principal. Verifique e o produto é uma relação custo / benefício e usado para fins esportivos andando, o Tuch Panal é muit"&amp;"o tuff não é fácil, muito bom produto Eu gosto deste relógio, eu o uso de dia inteiro e comprei para usar no meu tempo de trabalho., OK OK , Realmente gostei deste produto neste prêmio. Deve comprar, ok, fácil de usar, boa tela de toque e valor para dinhe"&amp;"iro e boa duração da bateria.")</f>
        <v>É um bom produto e valor pelo dinheiro. É comparável fácil de operar operar para crianças .., eu gosto de todos os recursos e no B.P principal. Verifique e o produto é uma relação custo / benefício e usado para fins esportivos andando, o Tuch Panal é muito tuff não é fácil, muito bom produto Eu gosto deste relógio, eu o uso de dia inteiro e comprei para usar no meu tempo de trabalho., OK OK , Realmente gostei deste produto neste prêmio. Deve comprar, ok, fácil de usar, boa tela de toque e valor para dinheiro e boa duração da bateria.</v>
      </c>
    </row>
    <row r="552">
      <c r="A552" s="9" t="s">
        <v>2198</v>
      </c>
      <c r="B552" s="29" t="str">
        <f>VLOOKUP(dados!A552, reviews!A:G, 5, FALSE)</f>
        <v>Its is good but battery life is very poor,Heart rate sanser and battery backup,Nice product,Good product within small price range,poor.,Cool product,Gets disconnected , time n data doesn't updates automatically,It's good deal at 849/- works fine for first few days</v>
      </c>
      <c r="C552" s="29" t="str">
        <f>VLOOKUP(dados!A552, reviews!A:G, 6, FALSE)</f>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v>
      </c>
      <c r="D552" s="29" t="str">
        <f>IFERROR(__xludf.DUMMYFUNCTION("GOOGLETRANSLATE(B552, ""en"", ""pt-br"")"),"É bom, mas a duração da bateria é muito ruim, a freqüência cardíaca sanser e o backup de bateria, bom produto, bom produto dentro de pequena faixa de preço, pobre., Produto legal, é desconectado, o tempo n dados não atualiza automaticamente, é um bom negó"&amp;"cio em 849 /- funciona bem para os primeiros dias")</f>
        <v>É bom, mas a duração da bateria é muito ruim, a freqüência cardíaca sanser e o backup de bateria, bom produto, bom produto dentro de pequena faixa de preço, pobre., Produto legal, é desconectado, o tempo n dados não atualiza automaticamente, é um bom negócio em 849 /- funciona bem para os primeiros dias</v>
      </c>
      <c r="E552" s="29" t="str">
        <f>IFERROR(__xludf.DUMMYFUNCTION("GOOGLETRANSLATE(C552, ""en"", ""pt-br"")"),"É uma relação custo / benefício, bom produto, bom, gostei, a cobrança dura pouco tempo. Carregando com tiras impossíveis. muito pobre trabalhando. Não vale o dinheiro pago., É minúsculo, especialmente, pode ter uma ótima aparência no pulso minúsculo, o vi"&amp;"sual também é bom, mas o recurso interno é um pouco para baixo. É desconectado o tempo todo. Difícil de conectar. Não é atualizado automaticamente com o tempo n dia. Hoje é 12 de dezembro de segunda -feira e ainda está mostrando 10 de dezembro de sábado. "&amp;"Tinha que atualizar o tempo toda vez, funciona bem nos primeiros cinco dias, mesmo é mais barato, deve valer a pena o dinheiro. E agora dois meses funcionam bem")</f>
        <v>É uma relação custo / benefício, bom produto, bom, gostei, a cobrança dura pouco tempo. Carregando com tiras impossíveis. muito pobre trabalhando. Não vale o dinheiro pago., É minúsculo, especialmente, pode ter uma ótima aparência no pulso minúsculo, o visual também é bom, mas o recurso interno é um pouco para baixo. É desconectado o tempo todo. Difícil de conectar. Não é atualizado automaticamente com o tempo n dia. Hoje é 12 de dezembro de segunda -feira e ainda está mostrando 10 de dezembro de sábado. Tinha que atualizar o tempo toda vez, funciona bem nos primeiros cinco dias, mesmo é mais barato, deve valer a pena o dinheiro. E agora dois meses funcionam bem</v>
      </c>
    </row>
    <row r="553">
      <c r="A553" s="9" t="s">
        <v>2202</v>
      </c>
      <c r="B553" s="29" t="str">
        <f>VLOOKUP(dados!A553, reviews!A:G, 5, FALSE)</f>
        <v>Worth the price,It is good,Not Bad,BATTERY LIFE,It melts the smart watch charger,Very good light weight,Achha laga,Can’t be repaired</v>
      </c>
      <c r="C553" s="29" t="str">
        <f>VLOOKUP(dados!A553, reviews!A:G, 6, FALSE)</f>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v>
      </c>
      <c r="D553" s="29" t="str">
        <f>IFERROR(__xludf.DUMMYFUNCTION("GOOGLETRANSLATE(B553, ""en"", ""pt-br"")"),"Vale o preço, é bom, não ruim, a duração da bateria, derrete o carregador de relógio inteligente, muito bom peso, achha laga, não pode ser reparado")</f>
        <v>Vale o preço, é bom, não ruim, a duração da bateria, derrete o carregador de relógio inteligente, muito bom peso, achha laga, não pode ser reparado</v>
      </c>
      <c r="E553" s="29" t="str">
        <f>IFERROR(__xludf.DUMMYFUNCTION("GOOGLETRANSLATE(C553, ""en"", ""pt-br"")"),"Bom para o preço, bom, ok para o preço ..., bateria que não está funcionando, confortável e pequena para usar o Supply Supply que derrete o cabo do carregador do relógio inteligente, Pasand, elegante etc sim, mas o meu parou de funcionar depois de 7 meses"&amp;". Possui um invólucro externo moldado, ou seja, sem parafusos para abrir/reparar se parar de funcionar. Substitua -o na garantia mais jogá -lo fora ... compre por seu próprio risco.")</f>
        <v>Bom para o preço, bom, ok para o preço ..., bateria que não está funcionando, confortável e pequena para usar o Supply Supply que derrete o cabo do carregador do relógio inteligente, Pasand, elegante etc sim, mas o meu parou de funcionar depois de 7 meses. Possui um invólucro externo moldado, ou seja, sem parafusos para abrir/reparar se parar de funcionar. Substitua -o na garantia mais jogá -lo fora ... compre por seu próprio risco.</v>
      </c>
    </row>
    <row r="554">
      <c r="A554" s="9" t="s">
        <v>2206</v>
      </c>
      <c r="B554" s="29" t="str">
        <f>VLOOKUP(dados!A554, reviews!A:G, 5, FALSE)</f>
        <v>Recommended !,Good product,Please wire quality improve karo,Value for money product.,Amazing Performance &amp; Great Quality,A lot of noise when mic is plugged in.,Great product,Good</v>
      </c>
      <c r="C554" s="29" t="str">
        <f>VLOOKUP(dados!A554, reviews!A:G, 6, FALSE)</f>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v>
      </c>
      <c r="D554" s="29" t="str">
        <f>IFERROR(__xludf.DUMMYFUNCTION("GOOGLETRANSLATE(B554, ""en"", ""pt-br"")"),"Recomendado!, Bom produto, por favor, conecte a qualidade, melhore o karo, produto valor para dinheiro., Desempenho incrível e ótima qualidade, muito barulho quando o microfone está conectado., Ótimo produto, bom")</f>
        <v>Recomendado!, Bom produto, por favor, conecte a qualidade, melhore o karo, produto valor para dinheiro., Desempenho incrível e ótima qualidade, muito barulho quando o microfone está conectado., Ótimo produto, bom</v>
      </c>
      <c r="E554" s="29" t="str">
        <f>IFERROR(__xludf.DUMMYFUNCTION("GOOGLETRANSLATE(C554, ""en"", ""pt-br"")"),"Comprei este divisor para 120 rúpias. Não encontrei nenhum problema com este produto. Estou usando o meu evido com fio de ear 2 e o laptop MSI GF63 para testá -lo. Meus feedbacks: meu microfone está funcionando corretamente. Nenhum problema com o som esqu"&amp;"erdo e direito. A qualidade da compra também não é ruim, o Splitter usou um cabo plano que parece durável. Recompensado 👍, bom produto em geral. Eu precisava desse tipo de adaptador para conectar meu fone de ouvido móvel ao meu PC para ouvir e gravar, pa"&amp;"ra que esteja funcionando bem no meu PC, mas o único problema é se o conector do fone de ouvido for inserido totalmente no soquete da linha do PC (lateral frontal), o som é muito baixo, então precisa ser inserido apenas 3/4 e, dessa maneira ., Quando deci"&amp;"di comprar isso, encontrei isso com boas críticas e a Amazon recomendou. Depois de usá -lo por muitos meses, não há perturbação na qualidade, microfone e som. Como eu uso laptop e desktop com o mesmo fone de ouvido, preciso conectar e remover frequentemen"&amp;"te o fone de ouvido do cabo, o cabo está conectado à área de trabalho, Para conectar o fone de ouvido diretamente no laptop, tendo feito isso tantas vezes, não há problema quando se trata de qualidade. Eu recomendei isso aos meus colegas e eles também gos"&amp;"taram do desempenho. Você pode comprar isso sem hesitar., O fone de ouvido Funciona bem, mas quando coloco o Mic Jack no PC, ele cria muito barulho que sou capaz de ouvir facilmente. Às vezes causa um pouco de irritação. Caso contrário, o produto é muito "&amp;"bom, ótimo produto e realmente durável., Bom produto")</f>
        <v>Comprei este divisor para 120 rúpias. Não encontrei nenhum problema com este produto. Estou usando o meu evido com fio de ear 2 e o laptop MSI GF63 para testá -lo. Meus feedbacks: meu microfone está funcionando corretamente. Nenhum problema com o som esquerdo e direito. A qualidade da compra também não é ruim, o Splitter usou um cabo plano que parece durável. Recompensado 👍, bom produto em geral. Eu precisava desse tipo de adaptador para conectar meu fone de ouvido móvel ao meu PC para ouvir e gravar, para que esteja funcionando bem no meu PC, mas o único problema é se o conector do fone de ouvido for inserido totalmente no soquete da linha do PC (lateral frontal), o som é muito baixo, então precisa ser inserido apenas 3/4 e, dessa maneira ., Quando decidi comprar isso, encontrei isso com boas críticas e a Amazon recomendou. Depois de usá -lo por muitos meses, não há perturbação na qualidade, microfone e som. Como eu uso laptop e desktop com o mesmo fone de ouvido, preciso conectar e remover frequentemente o fone de ouvido do cabo, o cabo está conectado à área de trabalho, Para conectar o fone de ouvido diretamente no laptop, tendo feito isso tantas vezes, não há problema quando se trata de qualidade. Eu recomendei isso aos meus colegas e eles também gostaram do desempenho. Você pode comprar isso sem hesitar., O fone de ouvido Funciona bem, mas quando coloco o Mic Jack no PC, ele cria muito barulho que sou capaz de ouvir facilmente. Às vezes causa um pouco de irritação. Caso contrário, o produto é muito bom, ótimo produto e realmente durável., Bom produto</v>
      </c>
    </row>
    <row r="555">
      <c r="A555" s="9" t="s">
        <v>2211</v>
      </c>
      <c r="B555" s="29" t="str">
        <f>VLOOKUP(dados!A555, reviews!A:G, 5, FALSE)</f>
        <v>Wonderful smart watch,Value for money. Good for first time users,Awesome,Best in market,Good,Worst customer support noise,Calls and userinterface is nice,Noise</v>
      </c>
      <c r="C555" s="29" t="str">
        <f>VLOOKUP(dados!A555, reviews!A:G, 6, FALSE)</f>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v>
      </c>
      <c r="D555" s="29" t="str">
        <f>IFERROR(__xludf.DUMMYFUNCTION("GOOGLETRANSLATE(B555, ""en"", ""pt-br"")"),"Relógio inteligente maravilhoso, valor ao dinheiro. Bom para usuários iniciantes, incrível, melhor no mercado, bom e pior suporte de suporte ao cliente, chamadas e interface do usuário é bom, ruído")</f>
        <v>Relógio inteligente maravilhoso, valor ao dinheiro. Bom para usuários iniciantes, incrível, melhor no mercado, bom e pior suporte de suporte ao cliente, chamadas e interface do usuário é bom, ruído</v>
      </c>
      <c r="E555" s="29" t="str">
        <f>IFERROR(__xludf.DUMMYFUNCTION("GOOGLETRANSLATE(C555, ""en"", ""pt-br"")"),"Este relógio inteligente é muito bom. Sua bateria de backup também é muito agradável. A conectividade Bluetooth também é excelente. Mas, quando eu tento ver o preço das ações, leva mais alguns segundos pressionando a tecla lateral. Ele deve ser visto alte"&amp;"rando a página sem pressionar a tecla lateral para abrir o novo menu., É um dispositivo bem projetado. Bom para rastrear etapas diárias e exercícios pesados. O ruído de suporte eu levantei a reclamação 3 vezes, mas ninguém me contatou e realmente pior se "&amp;"ligarmos para o atendimento ao cliente que leva meia hora para se conectar, eles dirão que nossos executivos ligarão para você e obter os produtos que ninguém está ligando depois de 2 Os dias que reclamam foram resolvidos e fechados, eu não usei. A pista "&amp;"de dormir ainda, mas a tela de toque e a experiência do aplicativo é muito agradável e. A qualidade da exibição também é boa, bom produto")</f>
        <v>Este relógio inteligente é muito bom. Sua bateria de backup também é muito agradável. A conectividade Bluetooth também é excelente. Mas, quando eu tento ver o preço das ações, leva mais alguns segundos pressionando a tecla lateral. Ele deve ser visto alterando a página sem pressionar a tecla lateral para abrir o novo menu., É um dispositivo bem projetado. Bom para rastrear etapas diárias e exercícios pesados. O ruído de suporte eu levantei a reclamação 3 vezes, mas ninguém me contatou e realmente pior se ligarmos para o atendimento ao cliente que leva meia hora para se conectar, eles dirão que nossos executivos ligarão para você e obter os produtos que ninguém está ligando depois de 2 Os dias que reclamam foram resolvidos e fechados, eu não usei. A pista de dormir ainda, mas a tela de toque e a experiência do aplicativo é muito agradável e. A qualidade da exibição também é boa, bom produto</v>
      </c>
    </row>
    <row r="556">
      <c r="A556" s="9" t="s">
        <v>2215</v>
      </c>
      <c r="B556" s="29" t="str">
        <f>VLOOKUP(dados!A556, reviews!A:G, 5, FALSE)</f>
        <v>Excellent Phone in the budget segment,Best value for money... But afraid of future MIUI updates.,Don't purchase it as camera phone 😤,Dependable &amp; it's been a year.,Budget mobile,Good for basic use,Phone is nice , but software is not</v>
      </c>
      <c r="C556" s="29" t="str">
        <f>VLOOKUP(dados!A556, reviews!A:G, 6, FALSE)</f>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v>
      </c>
      <c r="D556" s="29" t="str">
        <f>IFERROR(__xludf.DUMMYFUNCTION("GOOGLETRANSLATE(B556, ""en"", ""pt-br"")"),"Excelente telefone no segmento de orçamento, melhor valor para dinheiro ... mas com medo das futuras atualizações do MIUI., Não o compre como telefone da câmera 😤, confiável e já faz um ano., Orçamento móvel, bom para uso básico, o telefone é Bom, mas o "&amp;"software não é")</f>
        <v>Excelente telefone no segmento de orçamento, melhor valor para dinheiro ... mas com medo das futuras atualizações do MIUI., Não o compre como telefone da câmera 😤, confiável e já faz um ano., Orçamento móvel, bom para uso básico, o telefone é Bom, mas o software não é</v>
      </c>
      <c r="E556" s="29" t="str">
        <f>IFERROR(__xludf.DUMMYFUNCTION("GOOGLETRANSLATE(C556, ""en"", ""pt-br"")"),"Eu estava procurando um telefone abaixo de 10k. Não sou uma pessoa que acredita queimar dinheiro para telefones. Meu requisito era um telefone que tenha uma boa recepção de rede, boa recepção de Wi -Fi, um software equilibrado, boa duração da bateria, boa"&amp;" tela que não lidera os olhos, um bom hardware, o fone de ouvido de 3,5 mm e um carregador. Não preciso da rede 5G porque o 5G drena muito a bateria e o 5G gasta muitos dados. Não assisto filme ou YT na rede móvel e me pergunto quantos assistem a vídeos F"&amp;"HD, 2K e 4K sobre a rede móvel. Para baixar documentos, as redes sociais, os aplicativos bancários 4G são mais do que suficientes. No meu orçamento, descobri que todos os telefones têm 4 GB de RAM. Realme Narzo 50 foi 9999/- durante o GIF e tinha todos es"&amp;"ses recursos junto com um bom processador e outro foi o Redmi Note 11. Mas descobri que, se eu puder estender meu orçamento um pouco mais com todos os cupons e ofertas bancários, posso obter um Redmi Nota 11 com 6 GB de RAM em 11749/-. A RAM de 6 GB é sem"&amp;"pre preferida em 4 GB de RAM, porque ninguém sabe se, com atualizações futuras, o sistema operacional exigiria mais RAM ou não, também os softwares podem exigir mais RAM com o passar do tempo. Portanto, essa era a única opção que eu conhecia, então dispon"&amp;"ível. A Nota 11 do AMOLED tem uma tela AMOLED, não estou incomodado com 60Hz, 90Hz, 120Hz. Eu mantenho a taxa de atualização em 60Hz e o visor funciona sem lag ou gagueira zero. Toda a minha tela de mesa tem uma taxa de atualização de 60Hz e estou feliz c"&amp;"om eles, então por que preciso de uma tela de 90 Hz? Eu acho que tudo isso é apenas um truque comercializado por empresas e revisores on -line. A tela possui excelente capacidade de reprodução de cores e as cores parecem ricas. Você pode ajustar a tempera"&amp;"tura da cor para aquecer ou esfriar, mas acho que o padrão é bom para mim. Além disso, você pode calibrar as cores de exibição nas configurações, mas acho que você não precisa disso. O tamanho da tela é de 6,43 polegadas, poderia ter sido melhor se fosse "&amp;"de 6,7 polegadas. Eu prefiro um grande telefone de exibição. O Redmi Note 12 tem essa grande tela. Um protetor de tela de plástico é pré -aplicado na tela e estou feliz com isso. O protetor da tela parece suave e as impressões digitais podem ser facilment"&amp;"e removidas limpando com um pano úmido. A tela possui uma câmera de furo que parece boa. Este telefone duelo. Um é mais poderoso no fundo e outro no topo. Mas acho que o segundo alto -falante é na verdade o fone de ouvido que amplifica enquanto assiste a "&amp;"filmes ou YT. O alto -falante inferior é mais alto que o alto -falante e o volume é bom. O que mais você espera de tão pequenos alto -falantes! O telefone tem excelente recepção de wifi e rede móvel. Muitos se queixaram da baixa conectividade WiFi, mas da"&amp;" minha experiência, posso dizer que meu telefone e o modem wifi permanecem em diferentes andares, ainda assim recebo um bom sinal e nunca desconectei. A Voice Over Mobile Network parece agradável e clara e a outra parte pode ouvi -lo bem e limpar. No enta"&amp;"nto, como o segundo alto -falante é uma extensão da peça de fone de ouvido, o som vazará se a outra pessoa estiver gritando por telefone. O telefone possui bateria de 5000mAh e vem com carregador de 33W, que é um bônus nesse preço. A bateria oferece backu"&amp;"p longo. Com uma boa rede móvel, você pode usá -lo por 3 dias sem carregar usando recursos básicos, como telefone, SMS, e -mail, FB, WA etc. Mas eu o carrego regularmente e a carga da bateria nunca cai abaixo de 70%. O telefone possui processador SD680 qu"&amp;"e é Mais o suficiente para tarefas básicas e um desempenho bom sem qualquer atraso. A experiência é a manteiga suave. No entanto, os aplicativos são limpos automaticamente da RAM, que eu gosto, porque não preciso limpar a RAM manualmente. No entanto, após"&amp;" o Android 12, atualize o aplicativo Ram Hold por mais tempo, mas acabou com a limpeza. O SD 680 não aquece e é muito eficiente em termos de energia. Por causa dessa bateria, drena muito pouco e 33W carrega telefone dentro de 30 minutos pelo meu uso. O ca"&amp;"bo é USB A a C e se sente bom. Este telefone possui IR Blaster; portanto, em seu escritório em casa, você pode controlar o CA ou outros gadgets suportados com este telefone quando o controle remoto não estiver disponível. A RAM é de 6 GB e pode ser expand"&amp;"ida adicional 1 GB como RAM virtual ocupando o armazenamento. Mas desativei essa opção de configurações porque aumenta a vida de SSD. Isso possui 2 slot para cartão SIM + SD. O que é ótimo. Ambos o SIM têm a agregação VoLTE e da transportadora. O telefone"&amp;" tem belas costas e a cor é atraente. Algumas pessoas podem reclamar de plástico, mas lembre -se de que o telefone traseiro plástico tem melhor recepção de rede do que os telefones traseiros de metal ou vidro. E não tenho nenhum problema com o plástico. E"&amp;"u não acho que o plástico de volta faz seu telefone ou você parece barato. Estou feliz com o plástico de volta. O telefone também fornece uma tampa de TPU e a capa, por mais amarelencial que seja o mês. Esta é a química inerente à TPU, e ninguém pode impe"&amp;"dir essa degradação química. Como sempre pode ser desacelerado por não expor -o à luz solar. O scanner de impressão digital é excelente, funciona perfeitamente. A tela de toque também é excelente. No entanto, eu não gosto de alguns dos aplicativos pré -in"&amp;"stalados. Alguns podem ser desinstalados que alguns não podem especialmente o Mi Pay e GetApps da Mi Store. Eu não gosto deles. No entanto, eu gosto do aplicativo de segurança pré -instalado. Não há anúncio na notificação e tudo pode ser facilmente desati"&amp;"vado. A câmera na parte de trás é boa e suficiente para mim, no entanto, a câmera frontal não é boa. Não mostra fotos como câmera de 8MP. Eu adicionei algumas fotos clicadas pela câmera traseira Redmi Note 11. O MIUI é fluido e tem muitos usuários como On"&amp;"eui. O MIUI agora está livre de bugs e tem uma versão extremamente polida que agradará o usuário. Então, eu dou a Redmi 11 uma pontuação de 9,5/10. Este é um excelente telefone que eu recebi em 11749/- durante o Great Indian Festival. Eu recomendo Anyboy "&amp;"com uso básico para comprar este telefone. Este telefone não é para jogadores ou pessoas que assistem a vídeos 2K, $ K ou filmam essas coisas. Isso não é ou aqueles que são loucos por 5G. Caso contrário, este telefone atenderá a todos os seus requisitos n"&amp;"este segmento de preços., Uso de 50 dias ... 1. Boa duração da bateria. BQEST para uso diário. 33w carregador também bom. Melhor exibição, mas deveria ter 120Hz em vez de 90,3. Fense-in-de-mão 4. O alto-falante estéreo é alto e nítido (65-35 dividido) .5."&amp;" Câmera acima da média ... mas bom em relação ao preço. Ui de buggy (menor) como esperado. Mas UI13 melhor do que MIUI Bloody 12.5.7. 4G Chipset SD 680, o que é bom ... 4G+ sempre disponível.8. Algum problema menor com a recepção Wi -Fi. Não sei que eles "&amp;"vão corrigi -lo através da OTA. PUBG, amantes de bacalhau., O primeiro visual desse design de Starbust é atraente ... nenhuma palavra para expressar seu design, na sensação de mão e é toda a dimensão física. O segundo que me impressiona, é o backup da bat"&amp;"eria ..... E mesmo você joga quase por um longo tempo .... Isso oferece backup suficiente e velocidade de cobrança também 33W, também é um bom negócio a esse preço. O terceiro fator impressionante é o alto -falante duplo ... Tenho outro telefone de 40k e "&amp;"a qualidade do som é quase a mesma que. A experiência de reprodução de mídia também é aprimorada pela tela AMOLED, tela muito charmosa muito cor ...... literalmente, a qualidade da exibição é imbatível. O entalhe da câmera e o alto -falante duplo aumentam"&amp;" a experiência de reprodução da mídia. Outro desempenho como os jogos também é bom nesse preço. O botão de impressão digital também é muito receptivo. Todas as outras coisas e recursos são bons para o preço. Somente uma coisa é muito decepcionante BCOZ O "&amp;"hype de sua câmera que a empresa mostra depende muito da marca e da fotografia profissional, mas a câmera é de menor grau ... até meu velho Redmi Y2 que eu trocei com isso, tinha uma câmera melhor do que isso ... então, por favor, peço a todos .... não co"&amp;"mpre isso para a câmera .... apenas não. As imagens são mostradas nas imagens da câmera no site é ilustração de acordo comigo ...... Eu não recomendo que você compre este telefone como telefone da câmera. Se você não é usuário de câmera, certamente irá em"&amp;" frente. PROS- Design, sensação em mãos, bateria e carregamento, tela AMOLED, Dual SpeitherCons- Camera😤😤, um telefone de motorista diário bastante suave. A experiência geral tem sido satisfatória, a boa durabilidade da câmera também parece ser boa, eu "&amp;"o soltei algumas vezes e o Gorilla Glass 5 parece estar se sustentando. 120Hz é ótimo. A velocidade de carregamento também é boa, porém, nada alucinante. A duração da bateria é decente. Dura bastante, mas como eu o mantenho no modo 120Hz o tempo todo, é u"&amp;"m pouco menos para mim. Mas não tenho nenhum problema com a duração da bateria por enquanto., Faz o que a descrição diz. Qualidade da câmera não está até a marca, em comparação com outros celulares do Redmi. Até o modelo A3 clica melhor fotos. Você precis"&amp;"a pressionar o botão de bloqueio toda vez para ler a impressão digital. SREAMING. Se você planeja entregá -lo a seus pais ou idosos em sua família, basta instalar o lançador de terceiros e esconder o aplicativo desnecessário ASLO, desative a notificação d"&amp;"e spam e os anúncios em tela de bloqueio geral para os idosos ou o usuário do smartphone pela primeira vez., o telefone é bom, mas Estou enfrentando bugs estranhos devido a problemas de software. Depois disso, instalei manualmente o software global mais r"&amp;"ecente e funcionando bem.")</f>
        <v>Eu estava procurando um telefone abaixo de 10k. Não sou uma pessoa que acredita queimar dinheiro para telefones. Meu requisito era um telefone que tenha uma boa recepção de rede, boa recepção de Wi -Fi, um software equilibrado, boa duração da bateria, boa tela que não lidera os olhos, um bom hardware, o fone de ouvido de 3,5 mm e um carregador. Não preciso da rede 5G porque o 5G drena muito a bateria e o 5G gasta muitos dados. Não assisto filme ou YT na rede móvel e me pergunto quantos assistem a vídeos FHD, 2K e 4K sobre a rede móvel. Para baixar documentos, as redes sociais, os aplicativos bancários 4G são mais do que suficientes. No meu orçamento, descobri que todos os telefones têm 4 GB de RAM. Realme Narzo 50 foi 9999/- durante o GIF e tinha todos esses recursos junto com um bom processador e outro foi o Redmi Note 11. Mas descobri que, se eu puder estender meu orçamento um pouco mais com todos os cupons e ofertas bancários, posso obter um Redmi Nota 11 com 6 GB de RAM em 11749/-. A RAM de 6 GB é sempre preferida em 4 GB de RAM, porque ninguém sabe se, com atualizações futuras, o sistema operacional exigiria mais RAM ou não, também os softwares podem exigir mais RAM com o passar do tempo. Portanto, essa era a única opção que eu conhecia, então disponível. A Nota 11 do AMOLED tem uma tela AMOLED, não estou incomodado com 60Hz, 90Hz, 120Hz. Eu mantenho a taxa de atualização em 60Hz e o visor funciona sem lag ou gagueira zero. Toda a minha tela de mesa tem uma taxa de atualização de 60Hz e estou feliz com eles, então por que preciso de uma tela de 90 Hz? Eu acho que tudo isso é apenas um truque comercializado por empresas e revisores on -line. A tela possui excelente capacidade de reprodução de cores e as cores parecem ricas. Você pode ajustar a temperatura da cor para aquecer ou esfriar, mas acho que o padrão é bom para mim. Além disso, você pode calibrar as cores de exibição nas configurações, mas acho que você não precisa disso. O tamanho da tela é de 6,43 polegadas, poderia ter sido melhor se fosse de 6,7 polegadas. Eu prefiro um grande telefone de exibição. O Redmi Note 12 tem essa grande tela. Um protetor de tela de plástico é pré -aplicado na tela e estou feliz com isso. O protetor da tela parece suave e as impressões digitais podem ser facilmente removidas limpando com um pano úmido. A tela possui uma câmera de furo que parece boa. Este telefone duelo. Um é mais poderoso no fundo e outro no topo. Mas acho que o segundo alto -falante é na verdade o fone de ouvido que amplifica enquanto assiste a filmes ou YT. O alto -falante inferior é mais alto que o alto -falante e o volume é bom. O que mais você espera de tão pequenos alto -falantes! O telefone tem excelente recepção de wifi e rede móvel. Muitos se queixaram da baixa conectividade WiFi, mas da minha experiência, posso dizer que meu telefone e o modem wifi permanecem em diferentes andares, ainda assim recebo um bom sinal e nunca desconectei. A Voice Over Mobile Network parece agradável e clara e a outra parte pode ouvi -lo bem e limpar. No entanto, como o segundo alto -falante é uma extensão da peça de fone de ouvido, o som vazará se a outra pessoa estiver gritando por telefone. O telefone possui bateria de 5000mAh e vem com carregador de 33W, que é um bônus nesse preço. A bateria oferece backup longo. Com uma boa rede móvel, você pode usá -lo por 3 dias sem carregar usando recursos básicos, como telefone, SMS, e -mail, FB, WA etc. Mas eu o carrego regularmente e a carga da bateria nunca cai abaixo de 70%. O telefone possui processador SD680 que é Mais o suficiente para tarefas básicas e um desempenho bom sem qualquer atraso. A experiência é a manteiga suave. No entanto, os aplicativos são limpos automaticamente da RAM, que eu gosto, porque não preciso limpar a RAM manualmente. No entanto, após o Android 12, atualize o aplicativo Ram Hold por mais tempo, mas acabou com a limpeza. O SD 680 não aquece e é muito eficiente em termos de energia. Por causa dessa bateria, drena muito pouco e 33W carrega telefone dentro de 30 minutos pelo meu uso. O cabo é USB A a C e se sente bom. Este telefone possui IR Blaster; portanto, em seu escritório em casa, você pode controlar o CA ou outros gadgets suportados com este telefone quando o controle remoto não estiver disponível. A RAM é de 6 GB e pode ser expandida adicional 1 GB como RAM virtual ocupando o armazenamento. Mas desativei essa opção de configurações porque aumenta a vida de SSD. Isso possui 2 slot para cartão SIM + SD. O que é ótimo. Ambos o SIM têm a agregação VoLTE e da transportadora. O telefone tem belas costas e a cor é atraente. Algumas pessoas podem reclamar de plástico, mas lembre -se de que o telefone traseiro plástico tem melhor recepção de rede do que os telefones traseiros de metal ou vidro. E não tenho nenhum problema com o plástico. Eu não acho que o plástico de volta faz seu telefone ou você parece barato. Estou feliz com o plástico de volta. O telefone também fornece uma tampa de TPU e a capa, por mais amarelencial que seja o mês. Esta é a química inerente à TPU, e ninguém pode impedir essa degradação química. Como sempre pode ser desacelerado por não expor -o à luz solar. O scanner de impressão digital é excelente, funciona perfeitamente. A tela de toque também é excelente. No entanto, eu não gosto de alguns dos aplicativos pré -instalados. Alguns podem ser desinstalados que alguns não podem especialmente o Mi Pay e GetApps da Mi Store. Eu não gosto deles. No entanto, eu gosto do aplicativo de segurança pré -instalado. Não há anúncio na notificação e tudo pode ser facilmente desativado. A câmera na parte de trás é boa e suficiente para mim, no entanto, a câmera frontal não é boa. Não mostra fotos como câmera de 8MP. Eu adicionei algumas fotos clicadas pela câmera traseira Redmi Note 11. O MIUI é fluido e tem muitos usuários como Oneui. O MIUI agora está livre de bugs e tem uma versão extremamente polida que agradará o usuário. Então, eu dou a Redmi 11 uma pontuação de 9,5/10. Este é um excelente telefone que eu recebi em 11749/- durante o Great Indian Festival. Eu recomendo Anyboy com uso básico para comprar este telefone. Este telefone não é para jogadores ou pessoas que assistem a vídeos 2K, $ K ou filmam essas coisas. Isso não é ou aqueles que são loucos por 5G. Caso contrário, este telefone atenderá a todos os seus requisitos neste segmento de preços., Uso de 50 dias ... 1. Boa duração da bateria. BQEST para uso diário. 33w carregador também bom. Melhor exibição, mas deveria ter 120Hz em vez de 90,3. Fense-in-de-mão 4. O alto-falante estéreo é alto e nítido (65-35 dividido) .5. Câmera acima da média ... mas bom em relação ao preço. Ui de buggy (menor) como esperado. Mas UI13 melhor do que MIUI Bloody 12.5.7. 4G Chipset SD 680, o que é bom ... 4G+ sempre disponível.8. Algum problema menor com a recepção Wi -Fi. Não sei que eles vão corrigi -lo através da OTA. PUBG, amantes de bacalhau., O primeiro visual desse design de Starbust é atraente ... nenhuma palavra para expressar seu design, na sensação de mão e é toda a dimensão física. O segundo que me impressiona, é o backup da bateria ..... E mesmo você joga quase por um longo tempo .... Isso oferece backup suficiente e velocidade de cobrança também 33W, também é um bom negócio a esse preço. O terceiro fator impressionante é o alto -falante duplo ... Tenho outro telefone de 40k e a qualidade do som é quase a mesma que. A experiência de reprodução de mídia também é aprimorada pela tela AMOLED, tela muito charmosa muito cor ...... literalmente, a qualidade da exibição é imbatível. O entalhe da câmera e o alto -falante duplo aumentam a experiência de reprodução da mídia. Outro desempenho como os jogos também é bom nesse preço. O botão de impressão digital também é muito receptivo. Todas as outras coisas e recursos são bons para o preço. Somente uma coisa é muito decepcionante BCOZ O hype de sua câmera que a empresa mostra depende muito da marca e da fotografia profissional, mas a câmera é de menor grau ... até meu velho Redmi Y2 que eu trocei com isso, tinha uma câmera melhor do que isso ... então, por favor, peço a todos .... não compre isso para a câmera .... apenas não. As imagens são mostradas nas imagens da câmera no site é ilustração de acordo comigo ...... Eu não recomendo que você compre este telefone como telefone da câmera. Se você não é usuário de câmera, certamente irá em frente. PROS- Design, sensação em mãos, bateria e carregamento, tela AMOLED, Dual SpeitherCons- Camera😤😤, um telefone de motorista diário bastante suave. A experiência geral tem sido satisfatória, a boa durabilidade da câmera também parece ser boa, eu o soltei algumas vezes e o Gorilla Glass 5 parece estar se sustentando. 120Hz é ótimo. A velocidade de carregamento também é boa, porém, nada alucinante. A duração da bateria é decente. Dura bastante, mas como eu o mantenho no modo 120Hz o tempo todo, é um pouco menos para mim. Mas não tenho nenhum problema com a duração da bateria por enquanto., Faz o que a descrição diz. Qualidade da câmera não está até a marca, em comparação com outros celulares do Redmi. Até o modelo A3 clica melhor fotos. Você precisa pressionar o botão de bloqueio toda vez para ler a impressão digital. SREAMING. Se você planeja entregá -lo a seus pais ou idosos em sua família, basta instalar o lançador de terceiros e esconder o aplicativo desnecessário ASLO, desative a notificação de spam e os anúncios em tela de bloqueio geral para os idosos ou o usuário do smartphone pela primeira vez., o telefone é bom, mas Estou enfrentando bugs estranhos devido a problemas de software. Depois disso, instalei manualmente o software global mais recente e funcionando bem.</v>
      </c>
    </row>
    <row r="557">
      <c r="A557" s="9" t="s">
        <v>2217</v>
      </c>
      <c r="B557" s="29" t="str">
        <f>VLOOKUP(dados!A557, reviews!A:G, 5, FALSE)</f>
        <v>Good Looking Sturdy cover,Perfect fit for 14 pro max,Excellent fit and value for money must buy if using non mag charger,Excellent,Over priced,Awesome,Worth the money,Quality product</v>
      </c>
      <c r="C557" s="29" t="str">
        <f>VLOOKUP(dados!A557, reviews!A:G, 6, FALSE)</f>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v>
      </c>
      <c r="D557" s="29" t="str">
        <f>IFERROR(__xludf.DUMMYFUNCTION("GOOGLETRANSLATE(B557, ""en"", ""pt-br"")"),"Capa de boa aparência, ajuste perfeito para 14 Pro Max, Excelente ajuste e valor pelo dinheiro devem comprar se estiver usando um carregador não mag, excelente, com preços impressionantes, vale o dinheiro, produto de qualidade")</f>
        <v>Capa de boa aparência, ajuste perfeito para 14 Pro Max, Excelente ajuste e valor pelo dinheiro devem comprar se estiver usando um carregador não mag, excelente, com preços impressionantes, vale o dinheiro, produto de qualidade</v>
      </c>
      <c r="E557" s="29" t="str">
        <f>IFERROR(__xludf.DUMMYFUNCTION("GOOGLETRANSLATE(C557, ""en"", ""pt-br"")"),"A capa parecia resistente e veio em um pacote selado. Havia filmes de proteção cobrindo a capa de ambos os lados, que precisavam ser removidos antes de colocar a cobertura no telefone. O ajuste era perfeito e para tirar a capa, talvez seja necessário usar"&amp;" alguma força. No geral, a qualidade é boa, será atualizada após alguns meses de uso sobre o desbotamento/arranhões de cores., A capa envolve o iPhone 14 Pro Max com muita força, dificultando a remoção depois de ser colocada. Mas, ao mesmo tempo, a capa p"&amp;"arece sólida e resistente, fornecendo proteção completa ao telefone., Excelente produto. Evite o produto do mercado local para esses telefones premium 100% de valor para dinheiro, excelente, transparente normal, mas o preço que eles estão perguntando é de"&amp;"mais. Como se eles estivessem tentando saquear ppl., Awesome, comprou isso como Spigen é uma marca decente. Este é o meu caso inicial, pois estou esperando que os melhores casos sejam projetados e lançados. No geral, um caso decente com proteção decente p"&amp;"ara o telefone e as câmeras., Este produto é de boa qualidade")</f>
        <v>A capa parecia resistente e veio em um pacote selado. Havia filmes de proteção cobrindo a capa de ambos os lados, que precisavam ser removidos antes de colocar a cobertura no telefone. O ajuste era perfeito e para tirar a capa, talvez seja necessário usar alguma força. No geral, a qualidade é boa, será atualizada após alguns meses de uso sobre o desbotamento/arranhões de cores., A capa envolve o iPhone 14 Pro Max com muita força, dificultando a remoção depois de ser colocada. Mas, ao mesmo tempo, a capa parece sólida e resistente, fornecendo proteção completa ao telefone., Excelente produto. Evite o produto do mercado local para esses telefones premium 100% de valor para dinheiro, excelente, transparente normal, mas o preço que eles estão perguntando é demais. Como se eles estivessem tentando saquear ppl., Awesome, comprou isso como Spigen é uma marca decente. Este é o meu caso inicial, pois estou esperando que os melhores casos sejam projetados e lançados. No geral, um caso decente com proteção decente para o telefone e as câmeras., Este produto é de boa qualidade</v>
      </c>
    </row>
    <row r="558">
      <c r="A558" s="9" t="s">
        <v>2221</v>
      </c>
      <c r="B558" s="29" t="str">
        <f>VLOOKUP(dados!A558, reviews!A:G, 5, FALSE)</f>
        <v>Good,NICE 👍 IN VALUE.PARACASED ON TWO OLY,Working fine,Good product,Good one,Good one,Very good product,Decent product, worth every penny</v>
      </c>
      <c r="C558" s="29" t="str">
        <f>VLOOKUP(dados!A558, reviews!A:G, 6, FALSE)</f>
        <v>Expect it will last long, price wise it's a good product. Till date it's working well.,One slot got out of order and one using now.value of money and second slot of the charger is average to use.🤪🤪🤪😂😂🇮🇳,Good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v>
      </c>
      <c r="D558" s="29" t="str">
        <f>IFERROR(__xludf.DUMMYFUNCTION("GOOGLETRANSLATE(B558, ""en"", ""pt-br"")"),"Bom, bom 👍 em valor.")</f>
        <v>Bom, bom 👍 em valor.</v>
      </c>
      <c r="E558" s="29" t="str">
        <f>IFERROR(__xludf.DUMMYFUNCTION("GOOGLETRANSLATE(C558, ""en"", ""pt-br"")"),"Espere que durará muito, em termos de preço, é um bom produto. Até a data, está funcionando bem., Um slot ficou fora de ordem e um usando agora. 2ampas é carregador de 10 watts., Carregamento rápido, sim, é muito bom, https: //m.media-amazon.com/images/i/"&amp;"61pgvx61i7l._sy88.jpg. Ótimo poder de carregamento até dois dispositivos conectados ao carregador. Carreguei meu pixel 6A e fone de ouvido sem fio juntos, ambos são carregados rapidamente. Mas problema com a qualidade de construção. Uma vez, por engano, f"&amp;"iquei no carregador e a extremidade do soquete quebrou das bordas e saí completamente. Eu tive que consertar isso com um FEVI rápido. Agora funcionando bem. No geral, um produto muito bom. Não pense, basta seguir em frente., É um bom produto para essa fai"&amp;"xa de preço. Funciona bem.")</f>
        <v>Espere que durará muito, em termos de preço, é um bom produto. Até a data, está funcionando bem., Um slot ficou fora de ordem e um usando agora. 2ampas é carregador de 10 watts., Carregamento rápido, sim, é muito bom, https: //m.media-amazon.com/images/i/61pgvx61i7l._sy88.jpg. Ótimo poder de carregamento até dois dispositivos conectados ao carregador. Carreguei meu pixel 6A e fone de ouvido sem fio juntos, ambos são carregados rapidamente. Mas problema com a qualidade de construção. Uma vez, por engano, fiquei no carregador e a extremidade do soquete quebrou das bordas e saí completamente. Eu tive que consertar isso com um FEVI rápido. Agora funcionando bem. No geral, um produto muito bom. Não pense, basta seguir em frente., É um bom produto para essa faixa de preço. Funciona bem.</v>
      </c>
    </row>
    <row r="559">
      <c r="A559" s="9" t="s">
        <v>2225</v>
      </c>
      <c r="B559" s="29" t="str">
        <f>VLOOKUP(dados!A559, reviews!A:G, 5, FALSE)</f>
        <v>It's OK,Useful product,All peices arrived,Good product 👍,very nice quality and durable,Seems to be made of recycled material, serves the purpose,Worth to buy!,Terrific purchase</v>
      </c>
      <c r="C559" s="29" t="str">
        <f>VLOOKUP(dados!A559, reviews!A:G, 6, FALSE)</f>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v>
      </c>
      <c r="D559" s="29" t="str">
        <f>IFERROR(__xludf.DUMMYFUNCTION("GOOGLETRANSLATE(B559, ""en"", ""pt-br"")"),"Tudo bem, produto útil, todas as peças chegaram, bom produto 👍, qualidade muito boa e durável, parece ser feita de material reciclado, serve ao propósito, vale a pena comprar!, Compra fantástica")</f>
        <v>Tudo bem, produto útil, todas as peças chegaram, bom produto 👍, qualidade muito boa e durável, parece ser feita de material reciclado, serve ao propósito, vale a pena comprar!, Compra fantástica</v>
      </c>
      <c r="E559" s="29" t="str">
        <f>IFERROR(__xludf.DUMMYFUNCTION("GOOGLETRANSLATE(C559, ""en"", ""pt-br"")"),"Nem sempre fica no pescoço do cabo, mas ajuda a reduzir a flexão e o estresse. No entanto, eu recomendaria apenas obter alguns cabos de conexão L para evitar completamente esse problema., Bom produto útil, embalagens fracas, mas todas as peças vieram. Ele"&amp;"s não são os mais resistentes, mas têm uma relação custo / benefício, recompra, bom produto, este protetor a cabo é realmente salvo meu cabo. Muito fácil de usar, tenho tantos em um pacote. O MRP citou, pagou 99/- por 12 peças. O material parece estar rec"&amp;"iclado. Permanece para ser visto se isso vai durar. Serve o objetivo de fortalecer o ponto flexível para cabos. Eu os instalei em todos os meus cabos de carga USB., Produto simples e bom. ,, melhor solução para o fio quebrado")</f>
        <v>Nem sempre fica no pescoço do cabo, mas ajuda a reduzir a flexão e o estresse. No entanto, eu recomendaria apenas obter alguns cabos de conexão L para evitar completamente esse problema., Bom produto útil, embalagens fracas, mas todas as peças vieram. Eles não são os mais resistentes, mas têm uma relação custo / benefício, recompra, bom produto, este protetor a cabo é realmente salvo meu cabo. Muito fácil de usar, tenho tantos em um pacote. O MRP citou, pagou 99/- por 12 peças. O material parece estar reciclado. Permanece para ser visto se isso vai durar. Serve o objetivo de fortalecer o ponto flexível para cabos. Eu os instalei em todos os meus cabos de carga USB., Produto simples e bom. ,, melhor solução para o fio quebrado</v>
      </c>
    </row>
    <row r="560">
      <c r="A560" s="9" t="s">
        <v>2231</v>
      </c>
      <c r="B560" s="29" t="str">
        <f>VLOOKUP(dados!A560, reviews!A:G, 5, FALSE)</f>
        <v>Good,Ok,Nice product in this range,1.Camera is not good. Not matching up to 13mp,Overall good,Good mobile at reasonable price !!,No Fingerprint reader,Too good</v>
      </c>
      <c r="C560" s="29" t="str">
        <f>VLOOKUP(dados!A560, reviews!A:G, 6, FALSE)</f>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v>
      </c>
      <c r="D560" s="29" t="str">
        <f>IFERROR(__xludf.DUMMYFUNCTION("GOOGLETRANSLATE(B560, ""en"", ""pt-br"")"),"Bom, ok, bom produto nesse intervalo, o 1.Camera não é bom. Não correspondendo até 13MP, em geral, bom, bom celular a um preço razoável !!, sem leitor de impressão digital, muito bom")</f>
        <v>Bom, ok, bom produto nesse intervalo, o 1.Camera não é bom. Não correspondendo até 13MP, em geral, bom, bom celular a um preço razoável !!, sem leitor de impressão digital, muito bom</v>
      </c>
      <c r="E560" s="29" t="str">
        <f>IFERROR(__xludf.DUMMYFUNCTION("GOOGLETRANSLATE(C560, ""en"", ""pt-br"")"),"Bom telefone, ok, bom produto nesse intervalo., O desempenho é bom, não é um carregador do tipo C. Mas o Q/A mencionado como C-Type, a partir de agora, sua multa, será reduzida após o uso de 15 dias., Bom celular a um preço razoável !!, nenhum leitor de i"&amp;"mpressão digital neste modelo. Nunca esperava um telefone com 4 GB de RAM e 64 GB ROM viria sem leitor de impressão digital., Bom celular")</f>
        <v>Bom telefone, ok, bom produto nesse intervalo., O desempenho é bom, não é um carregador do tipo C. Mas o Q/A mencionado como C-Type, a partir de agora, sua multa, será reduzida após o uso de 15 dias., Bom celular a um preço razoável !!, nenhum leitor de impressão digital neste modelo. Nunca esperava um telefone com 4 GB de RAM e 64 GB ROM viria sem leitor de impressão digital., Bom celular</v>
      </c>
    </row>
    <row r="561">
      <c r="A561" s="9" t="s">
        <v>2235</v>
      </c>
      <c r="B561" s="29" t="str">
        <f>VLOOKUP(dados!A561, reviews!A:G, 5, FALSE)</f>
        <v>Premium looking watch,Excellent Product,The Tracking and touch would be better,Bluetooth connectivity,Very good,The watch is good,Felt Good,Not bad</v>
      </c>
      <c r="C561" s="29" t="str">
        <f>VLOOKUP(dados!A561, reviews!A:G, 6, FALSE)</f>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v>
      </c>
      <c r="D561" s="29" t="str">
        <f>IFERROR(__xludf.DUMMYFUNCTION("GOOGLETRANSLATE(B561, ""en"", ""pt-br"")"),"Relógio de aparência premium, excelente produto, rastreamento e toque seriam melhores, conectividade Bluetooth, muito boa, o relógio é bom, parecia bom, não é ruim")</f>
        <v>Relógio de aparência premium, excelente produto, rastreamento e toque seriam melhores, conectividade Bluetooth, muito boa, o relógio é bom, parecia bom, não é ruim</v>
      </c>
      <c r="E561" s="29" t="str">
        <f>IFERROR(__xludf.DUMMYFUNCTION("GOOGLETRANSLATE(C561, ""en"", ""pt-br"")"),"São apenas 4 dias desde que estamos usando o produto e, com base no uso até agora, a revisão está abaixo: Prós: 1) Parece, parece premium.2) durar uma semana ou mais com uso normal (fecharam todas as notificações que salvam a bateria) 4) Etapas da precisã"&amp;"o: dará 8 em 105) carregador magnético (fácil de carregar) contras: 1) não notará nada até agora., I I Encomendei 2 relógios para minha esposa e irmã. Consegui o preço de 1500. Eu sempre sou fã de Firebolt. E Ninja 3 é muito bom. A resposta do toque é boa"&amp;". Boa duração da bateria. A pista de sono é muito ocorrida. Tem todos os recursos necessários e esses são bastante precisos. É leve e parece bom. Acima de tudo, é um excelente produto a esse preço. A tela de toque não é tão boa que leva tempo pode ser que"&amp;" eu preciso usá -lo por um tempo para melhor experiência, gosto do sono, medição de batimentos cardíacos, SPO2 e rastreamento de exercícios. Eu não gosto O Bluetooth do relógio inteligente apenas. Eu uso este relógio para exercícios, a tela da bateria é a"&amp;" tela GoodTouch IS NELEALL, os equipamentos são muito bons, eu gosto do estilo de relógio e o carregamento é tão rápido, o Firebolt Ninja 3Felt Good for the Watch, simples e fácil, é bom, valor para dinheiro, desempenho geral é bom.")</f>
        <v>São apenas 4 dias desde que estamos usando o produto e, com base no uso até agora, a revisão está abaixo: Prós: 1) Parece, parece premium.2) durar uma semana ou mais com uso normal (fecharam todas as notificações que salvam a bateria) 4) Etapas da precisão: dará 8 em 105) carregador magnético (fácil de carregar) contras: 1) não notará nada até agora., I I Encomendei 2 relógios para minha esposa e irmã. Consegui o preço de 1500. Eu sempre sou fã de Firebolt. E Ninja 3 é muito bom. A resposta do toque é boa. Boa duração da bateria. A pista de sono é muito ocorrida. Tem todos os recursos necessários e esses são bastante precisos. É leve e parece bom. Acima de tudo, é um excelente produto a esse preço. A tela de toque não é tão boa que leva tempo pode ser que eu preciso usá -lo por um tempo para melhor experiência, gosto do sono, medição de batimentos cardíacos, SPO2 e rastreamento de exercícios. Eu não gosto O Bluetooth do relógio inteligente apenas. Eu uso este relógio para exercícios, a tela da bateria é a tela GoodTouch IS NELEALL, os equipamentos são muito bons, eu gosto do estilo de relógio e o carregamento é tão rápido, o Firebolt Ninja 3Felt Good for the Watch, simples e fácil, é bom, valor para dinheiro, desempenho geral é bom.</v>
      </c>
    </row>
    <row r="562">
      <c r="A562" s="9" t="s">
        <v>2239</v>
      </c>
      <c r="B562" s="29" t="str">
        <f>VLOOKUP(dados!A562, reviews!A:G, 5, FALSE)</f>
        <v>Very Bad mobile,Value for money,Part missing,Ok,Good buy,Value for money,Value of money,Phone works well</v>
      </c>
      <c r="C562" s="29" t="str">
        <f>VLOOKUP(dados!A562, reviews!A:G, 6, FALSE)</f>
        <v>Very Bad mobile,Best mobile.,Phone good but charger Nani aya,It's good,The phone serves all my purpose..very good one❤️,Value for money,https://m.media-amazon.com/images/I/71veEcoG5-L._SY88.jpg,Phone works well.</v>
      </c>
      <c r="D562" s="29" t="str">
        <f>IFERROR(__xludf.DUMMYFUNCTION("GOOGLETRANSLATE(B562, ""en"", ""pt-br"")"),"Móvel muito ruim, valor ao dinheiro, parte ausente, ok, boa compra, valor ao dinheiro, valor do dinheiro, o telefone funciona bem")</f>
        <v>Móvel muito ruim, valor ao dinheiro, parte ausente, ok, boa compra, valor ao dinheiro, valor do dinheiro, o telefone funciona bem</v>
      </c>
      <c r="E562" s="29" t="str">
        <f>IFERROR(__xludf.DUMMYFUNCTION("GOOGLETRANSLATE(C562, ""en"", ""pt-br"")"),"Móvel muito ruim, melhor móvel., Telefone bom, mas carregador Nani Aya, é bom, o telefone serve a todo o meu propósito ... muito bom One❤sent, valor pelo dinheiro, https: //m.media-amazon.com/images/i /71VEECOG5-L._SY88.JPG,Phone Funciona bem.")</f>
        <v>Móvel muito ruim, melhor móvel., Telefone bom, mas carregador Nani Aya, é bom, o telefone serve a todo o meu propósito ... muito bom One❤sent, valor pelo dinheiro, https: //m.media-amazon.com/images/i /71VEECOG5-L._SY88.JPG,Phone Funciona bem.</v>
      </c>
    </row>
    <row r="563">
      <c r="A563" s="9" t="s">
        <v>2243</v>
      </c>
      <c r="B563" s="29" t="str">
        <f>VLOOKUP(dados!A563, reviews!A:G, 5, FALSE)</f>
        <v>Great product if you don’t mind the edges,Recommended !!,Looks premium,Real value for money however I wish there would have been stronger adhesive,Its a genuine product,Precision!,Does the job perfectly,A perfect fit for iPhone 13 and has transparent edges too.</v>
      </c>
      <c r="C563" s="29" t="str">
        <f>VLOOKUP(dados!A563, reviews!A:G, 6, FALSE)</f>
        <v>It’s a no brainer to get this. Just that the edges don’t fix in properly. There is always air bubble kind of thing on the edge.,Easy to apply and no bubbles. For Rs 150 they send 2 units which is amazing too. Satisfied with the purchase !!,Overall good and easy to apply. Doesn’t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v>
      </c>
      <c r="D563" s="29" t="str">
        <f>IFERROR(__xludf.DUMMYFUNCTION("GOOGLETRANSLATE(B563, ""en"", ""pt-br"")"),"Ótimo produto, se você não se importa com as bordas, recomendado !!, parece premium e valor real pelo dinheiro, mas eu gostaria que houvesse adesivo mais forte, é um produto genuíno, precisão!, Faz o trabalho perfeitamente, um ajuste perfeito para iPhone "&amp;"13 e tem bordas transparentes também.")</f>
        <v>Ótimo produto, se você não se importa com as bordas, recomendado !!, parece premium e valor real pelo dinheiro, mas eu gostaria que houvesse adesivo mais forte, é um produto genuíno, precisão!, Faz o trabalho perfeitamente, um ajuste perfeito para iPhone 13 e tem bordas transparentes também.</v>
      </c>
      <c r="E563" s="29" t="str">
        <f>IFERROR(__xludf.DUMMYFUNCTION("GOOGLETRANSLATE(C563, ""en"", ""pt-br"")"),"Não é um acéfalo conseguir isso. Apenas que as bordas não corrigem corretamente. Sempre há um tipo de coisa de bolha de ar no limite., Fácil de aplicar e sem bolhas. Para Rs 150, eles enviam 2 unidades, o que também é incrível. Satisfeito com a compra !!,"&amp;" em geral, bom e fácil de aplicar. Não cobre 100 % da tela em que uma pequena lacuna existe nas bordas, o adesivo poderia ter sido mais forte. O Popio tem um ótimo guarda de tela a um preço muito melhor., Veja se você possui um iPhone, o Popio é o melhor "&amp;"lá fora. Eu consegui esse vidro temperado porque o meu último quebrou durante uma queda das escadas. e meu último foi de Popio também. Então, eu comi outro e os preços são um roubo (como seriamente, eu me pergunto como eles o administram por tão barato) c"&amp;"ompra sem dúvida é um produto genuíno. Os óculos temperados com preço exagerado e procuram nas lojas próximas para aplicá -lo. Este produto custa seu valor e menor que outros produtos no mercado. Procure este produto depois de rolar para o melhor na Amazo"&amp;"n e encomendou. Honestamente, nunca fiquei satisfeito com nenhum outro produto como tive com o produto Popio. Um grande obrigado à equipe! O bônus é DIY. Eu nunca tentei nada antes, mas depois de seguir o guia e os vídeos, pude fazer isso da primeira vez."&amp;" Eu realmente senti que o DIY é conveniente e não há necessidade de se preocupar em encontrar perto de lojas que poderiam nos ajudar a aplicá -lo/instalá -lo., Adquiriu para o meu iPhone 14Pro. Estou usando meu telefone com uma caixa de camuflagem Ringke "&amp;"e esse protetor de tela se encaixa dentro de Snug.instale esse vidro com o estojo ainda no telefone. Consulte o vídeo de instalação digitalizando o código QR no pacote; É muito fácil de instalar usando os adesivos do guia. A qualidade é boa e cobre comple"&amp;"tamente a tela, deixando espaço suficiente nas bordas para a capa.")</f>
        <v>Não é um acéfalo conseguir isso. Apenas que as bordas não corrigem corretamente. Sempre há um tipo de coisa de bolha de ar no limite., Fácil de aplicar e sem bolhas. Para Rs 150, eles enviam 2 unidades, o que também é incrível. Satisfeito com a compra !!, em geral, bom e fácil de aplicar. Não cobre 100 % da tela em que uma pequena lacuna existe nas bordas, o adesivo poderia ter sido mais forte. O Popio tem um ótimo guarda de tela a um preço muito melhor., Veja se você possui um iPhone, o Popio é o melhor lá fora. Eu consegui esse vidro temperado porque o meu último quebrou durante uma queda das escadas. e meu último foi de Popio também. Então, eu comi outro e os preços são um roubo (como seriamente, eu me pergunto como eles o administram por tão barato) compra sem dúvida é um produto genuíno. Os óculos temperados com preço exagerado e procuram nas lojas próximas para aplicá -lo. Este produto custa seu valor e menor que outros produtos no mercado. Procure este produto depois de rolar para o melhor na Amazon e encomendou. Honestamente, nunca fiquei satisfeito com nenhum outro produto como tive com o produto Popio. Um grande obrigado à equipe! O bônus é DIY. Eu nunca tentei nada antes, mas depois de seguir o guia e os vídeos, pude fazer isso da primeira vez. Eu realmente senti que o DIY é conveniente e não há necessidade de se preocupar em encontrar perto de lojas que poderiam nos ajudar a aplicá -lo/instalá -lo., Adquiriu para o meu iPhone 14Pro. Estou usando meu telefone com uma caixa de camuflagem Ringke e esse protetor de tela se encaixa dentro de Snug.instale esse vidro com o estojo ainda no telefone. Consulte o vídeo de instalação digitalizando o código QR no pacote; É muito fácil de instalar usando os adesivos do guia. A qualidade é boa e cobre completamente a tela, deixando espaço suficiente nas bordas para a capa.</v>
      </c>
    </row>
    <row r="564">
      <c r="A564" s="9" t="s">
        <v>316</v>
      </c>
      <c r="B564" s="29" t="str">
        <f>VLOOKUP(dados!A564, reviews!A:G, 5, FALSE)</f>
        <v>You can trust on this one,The best usb cable,Wel build just like original .,Nice!!,Working perfectly,Basic,Good,No issues</v>
      </c>
      <c r="C564" s="29" t="str">
        <f>VLOOKUP(dados!A564, reviews!A:G, 6, FALSE)</f>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v>
      </c>
      <c r="D564" s="29" t="str">
        <f>IFERROR(__xludf.DUMMYFUNCTION("GOOGLETRANSLATE(B564, ""en"", ""pt-br"")"),"Você pode confiar neste, o melhor cabo USB, WEL Construir como original., Bom !!, funcionando perfeitamente, básico, bom, sem problemas")</f>
        <v>Você pode confiar neste, o melhor cabo USB, WEL Construir como original., Bom !!, funcionando perfeitamente, básico, bom, sem problemas</v>
      </c>
      <c r="E564" s="29" t="str">
        <f>IFERROR(__xludf.DUMMYFUNCTION("GOOGLETRANSLATE(C564, ""en"", ""pt-br"")"),"Anteriormente comprou o cabo USB Tipo A e eu não durou muito, mas esse produto USB C parece fabricado com materiais de alta qualidade. Suporta engarrafamento rápido, fornecimento de dados etc. Basta seguir em frente, exlêmeo, muito satisfeito com esta com"&amp;"pra, assim como a qualidade orginal. Comprará novamente no futuro., Minha irmã está usando este cabo para carregar o telefone e o cabo é durável e bom o suficiente para o telefone da minha irmã. Adoro !!, eu comprei para usar o Android Auto no carro Tata "&amp;"Altroz, conectando -me ao meu Mobile One Plus 2T. Eu uso isso há mais de uma semana. Está funcionando perfeitamente ... Estou feliz com o produto até agora., Basic, grande dinheiro do produto, sem problemas")</f>
        <v>Anteriormente comprou o cabo USB Tipo A e eu não durou muito, mas esse produto USB C parece fabricado com materiais de alta qualidade. Suporta engarrafamento rápido, fornecimento de dados etc. Basta seguir em frente, exlêmeo, muito satisfeito com esta compra, assim como a qualidade orginal. Comprará novamente no futuro., Minha irmã está usando este cabo para carregar o telefone e o cabo é durável e bom o suficiente para o telefone da minha irmã. Adoro !!, eu comprei para usar o Android Auto no carro Tata Altroz, conectando -me ao meu Mobile One Plus 2T. Eu uso isso há mais de uma semana. Está funcionando perfeitamente ... Estou feliz com o produto até agora., Basic, grande dinheiro do produto, sem problemas</v>
      </c>
    </row>
    <row r="565">
      <c r="A565" s="9" t="s">
        <v>2248</v>
      </c>
      <c r="B565" s="29" t="str">
        <f>VLOOKUP(dados!A565, reviews!A:G, 5, FALSE)</f>
        <v>Okay product,Descent product,Very Sturdy,Great protectione and design,Good Product !!,Excellent Case with Beauty,Awesome cover,Good quality</v>
      </c>
      <c r="C565" s="29" t="str">
        <f>VLOOKUP(dados!A565, reviews!A:G, 6, FALSE)</f>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v>
      </c>
      <c r="D565" s="29" t="str">
        <f>IFERROR(__xludf.DUMMYFUNCTION("GOOGLETRANSLATE(B565, ""en"", ""pt-br"")"),"Ok, produto, produto descendente, muito resistente, excelente proteção e design, bom produto !!, excelente caso com beleza, capa incrível, boa qualidade")</f>
        <v>Ok, produto, produto descendente, muito resistente, excelente proteção e design, bom produto !!, excelente caso com beleza, capa incrível, boa qualidade</v>
      </c>
      <c r="E565" s="29" t="str">
        <f>IFERROR(__xludf.DUMMYFUNCTION("GOOGLETRANSLATE(C565, ""en"", ""pt-br"")"),"Existem pequenos arranhões nas costas para que o produto seja bom., Produto de descida. Exatamente da maneira que você queria. Simples de parecer e transparente. Encomendado para o iPhone de cor azul, o estojo é bom. Os recortes, o material, a câmera Bump"&amp;" todos são muito bons. A parte traseira é transparente e feita de Glasstic, para que não fique amarelo, mas arranha -se facilmente. No geral recomendado., Great proteção, os botões são confortáveis ​​para pressionar, especialmente considerando o preço. O "&amp;"único problema que tive foi o design, talvez uma coisa pessoal que não seja tão boa assim. O P.S fica ótimo no iPhone preto, mas não em nenhum outro😬, o ajuste da capa é adequado com a borda elevada para a câmera. É isso que eu queria ter. Overal satisfe"&amp;"ito com o produto, o encaixe é perfeito com as fronteiras elevadas em geral e a câmera. O policarbonato é difícil o suficiente para proteger. O design está se misturando perfeitamente com a cor do telefone. cobrir,")</f>
        <v>Existem pequenos arranhões nas costas para que o produto seja bom., Produto de descida. Exatamente da maneira que você queria. Simples de parecer e transparente. Encomendado para o iPhone de cor azul, o estojo é bom. Os recortes, o material, a câmera Bump todos são muito bons. A parte traseira é transparente e feita de Glasstic, para que não fique amarelo, mas arranha -se facilmente. No geral recomendado., Great proteção, os botões são confortáveis ​​para pressionar, especialmente considerando o preço. O único problema que tive foi o design, talvez uma coisa pessoal que não seja tão boa assim. O P.S fica ótimo no iPhone preto, mas não em nenhum outro😬, o ajuste da capa é adequado com a borda elevada para a câmera. É isso que eu queria ter. Overal satisfeito com o produto, o encaixe é perfeito com as fronteiras elevadas em geral e a câmera. O policarbonato é difícil o suficiente para proteger. O design está se misturando perfeitamente com a cor do telefone. cobrir,</v>
      </c>
    </row>
    <row r="566">
      <c r="A566" s="9" t="s">
        <v>332</v>
      </c>
      <c r="B566" s="29" t="str">
        <f>VLOOKUP(dados!A566, reviews!A:G, 5, FALSE)</f>
        <v>Very good product and met my need.  Thanks,Decent value,Nice quality… trustable…,Just well in this price.,supports 2.4 amps fast charging,Nice,Nice.,Value for money</v>
      </c>
      <c r="C566" s="29" t="str">
        <f>VLOOKUP(dados!A566, reviews!A:G, 6, FALSE)</f>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v>
      </c>
      <c r="D566" s="29" t="str">
        <f>IFERROR(__xludf.DUMMYFUNCTION("GOOGLETRANSLATE(B566, ""en"", ""pt-br"")"),"Muito bom produto e atendeu à minha necessidade. Obrigado, valor decente, boa qualidade ... confiável ..., bem nesse preço., Suporta 2,4 amperes de carregamento rápido, bom, bom., Valor do dinheiro")</f>
        <v>Muito bom produto e atendeu à minha necessidade. Obrigado, valor decente, boa qualidade ... confiável ..., bem nesse preço., Suporta 2,4 amperes de carregamento rápido, bom, bom., Valor do dinheiro</v>
      </c>
      <c r="E566" s="29" t="str">
        <f>IFERROR(__xludf.DUMMYFUNCTION("GOOGLETRANSLATE(C566, ""en"", ""pt-br"")"),"Gostei do produto. Preciso para o meu aparelho USB., Bom valor, até agora eu havia comprado cerca de 20 cabos Micro e C tipo para mim e minha família neste último ano. É tudo porque essa marca ganha minha confiança, fornecendo ótima qualidade com preço ra"&amp;"zoável, NA, testado com carregador e telefone de 2,4 amperes. fornece energia completa de 2,4 amperes ao telefone. O cabo parece espesso e possui uma textura agradável. Apesar disso, tenho certeza de que não é muito durável. Os conectores USB são extremam"&amp;"ente resistentes e não dobram ou flexionam. O fio quebrará antes do conector !! Aviso: o micro conector USB tem um gancho forte. Tenha cuidado ao conectar e desconectar, ou você pode danificar seu dispositivo. Cabo muito barato e utilizável por 120 Rs, Su"&amp;"per Power, Nice Produto., Neste preço, este é o melhor")</f>
        <v>Gostei do produto. Preciso para o meu aparelho USB., Bom valor, até agora eu havia comprado cerca de 20 cabos Micro e C tipo para mim e minha família neste último ano. É tudo porque essa marca ganha minha confiança, fornecendo ótima qualidade com preço razoável, NA, testado com carregador e telefone de 2,4 amperes. fornece energia completa de 2,4 amperes ao telefone. O cabo parece espesso e possui uma textura agradável. Apesar disso, tenho certeza de que não é muito durável. Os conectores USB são extremamente resistentes e não dobram ou flexionam. O fio quebrará antes do conector !! Aviso: o micro conector USB tem um gancho forte. Tenha cuidado ao conectar e desconectar, ou você pode danificar seu dispositivo. Cabo muito barato e utilizável por 120 Rs, Super Power, Nice Produto., Neste preço, este é o melhor</v>
      </c>
    </row>
    <row r="567">
      <c r="A567" s="9" t="s">
        <v>2253</v>
      </c>
      <c r="B567" s="29" t="str">
        <f>VLOOKUP(dados!A567, reviews!A:G, 5, FALSE)</f>
        <v>good till now,Good,An additional charger same as ORIGINAL .,Good adapter,Best,okay okay,Good,Good product</v>
      </c>
      <c r="C567" s="29" t="str">
        <f>VLOOKUP(dados!A567, reviews!A:G, 6, FALSE)</f>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v>
      </c>
      <c r="D567" s="29" t="str">
        <f>IFERROR(__xludf.DUMMYFUNCTION("GOOGLETRANSLATE(B567, ""en"", ""pt-br"")"),"bom até agora, bom, um carregador adicional igual ao original., bom adaptador, melhor, ok ok, bom, bom produto")</f>
        <v>bom até agora, bom, um carregador adicional igual ao original., bom adaptador, melhor, ok ok, bom, bom produto</v>
      </c>
      <c r="E567" s="29" t="str">
        <f>IFERROR(__xludf.DUMMYFUNCTION("GOOGLETRANSLATE(C567, ""en"", ""pt-br"")"),"Eu o uso para alimentar meu alto -falante Bluetooth e outra luz USB. Portanto, então ele pode ser bom, um bom carregador meu feedback é 1 mês após a doação é um bom produto., Trabalhando com qualquer tipo de USB do tipo c ou micro.Temperature sempre norma"&amp;"l com intervalos de 2,4 amp. Não é bom comprado por Rs.188, muito melhor,@99 ou 149 Isso é o bom negócio, um trocador normal vê as condições de garantia, bom, bom produto e valor para o dinheiro.")</f>
        <v>Eu o uso para alimentar meu alto -falante Bluetooth e outra luz USB. Portanto, então ele pode ser bom, um bom carregador meu feedback é 1 mês após a doação é um bom produto., Trabalhando com qualquer tipo de USB do tipo c ou micro.Temperature sempre normal com intervalos de 2,4 amp. Não é bom comprado por Rs.188, muito melhor,@99 ou 149 Isso é o bom negócio, um trocador normal vê as condições de garantia, bom, bom produto e valor para o dinheiro.</v>
      </c>
    </row>
    <row r="568">
      <c r="A568" s="9" t="s">
        <v>2257</v>
      </c>
      <c r="B568" s="29" t="str">
        <f>VLOOKUP(dados!A568, reviews!A:G, 5, FALSE)</f>
        <v>Best phone for below normal use,Good mobile for minimal usage , but technically highly worth,For simple use,Ok,Good quality product,Good unit,Good,Best Budget mobile</v>
      </c>
      <c r="C568" s="29" t="str">
        <f>VLOOKUP(dados!A568, reviews!A:G, 6, FALSE)</f>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v>
      </c>
      <c r="D568" s="29" t="str">
        <f>IFERROR(__xludf.DUMMYFUNCTION("GOOGLETRANSLATE(B568, ""en"", ""pt-br"")"),"Melhor telefone para uso abaixo do normal, bom celular para uso mínimo, mas tecnicamente altamente vale a pena, para uso simples, ok, produto de boa qualidade, boa unidade, bom e melhor orçamento móvel")</f>
        <v>Melhor telefone para uso abaixo do normal, bom celular para uso mínimo, mas tecnicamente altamente vale a pena, para uso simples, ok, produto de boa qualidade, boa unidade, bom e melhor orçamento móvel</v>
      </c>
      <c r="E568" s="29" t="str">
        <f>IFERROR(__xludf.DUMMYFUNCTION("GOOGLETRANSLATE(C568, ""en"", ""pt-br"")"),"Se você deseja um telefone inteligente apenas para o uso de ligar e usar as mídias sociais. Esta é uma opção muito boa para você. Comprei para minha mãe, que disse especificamente que ela só queria um telefone para ligar para fins de chamadas. Isso tem ap"&amp;"enas 2 GB de RAM, então não pense em jogos como BGMI ou asfalto e também não será muito suave em condições acima do normal. Não há sensor de impressão digital e a câmera é lixo. Mas a bateria é de 4000mAh e tem uma duração de bateria consideravelmente alt"&amp;"a. Não há carregamento rápido, apenas o carregador normal é fornecido. Então, na minha opinião, este é um telefone para um usuário abaixo da média que usa o telefone inteligente apenas para ligar ou rolar pelas mídias sociais., Isso vale para preço, tem o"&amp;"s mais recentes softwares técnicos e um bom desempenho para uso mínimo, é claro que ele tem Configuração menos, portanto, não devemos parecer melhor do que essa vida de battery mais do que o esperado, poderíamos comprar para esse intervalo de orçamento, s"&amp;"imples e bom, OK Câmera, OK, produto geral de boa qualidade, boa unidade, bom, bom celular para usuários básicos")</f>
        <v>Se você deseja um telefone inteligente apenas para o uso de ligar e usar as mídias sociais. Esta é uma opção muito boa para você. Comprei para minha mãe, que disse especificamente que ela só queria um telefone para ligar para fins de chamadas. Isso tem apenas 2 GB de RAM, então não pense em jogos como BGMI ou asfalto e também não será muito suave em condições acima do normal. Não há sensor de impressão digital e a câmera é lixo. Mas a bateria é de 4000mAh e tem uma duração de bateria consideravelmente alta. Não há carregamento rápido, apenas o carregador normal é fornecido. Então, na minha opinião, este é um telefone para um usuário abaixo da média que usa o telefone inteligente apenas para ligar ou rolar pelas mídias sociais., Isso vale para preço, tem os mais recentes softwares técnicos e um bom desempenho para uso mínimo, é claro que ele tem Configuração menos, portanto, não devemos parecer melhor do que essa vida de battery mais do que o esperado, poderíamos comprar para esse intervalo de orçamento, simples e bom, OK Câmera, OK, produto geral de boa qualidade, boa unidade, bom, bom celular para usuários básicos</v>
      </c>
    </row>
    <row r="569">
      <c r="A569" s="9" t="s">
        <v>2261</v>
      </c>
      <c r="B569" s="29" t="str">
        <f>VLOOKUP(dados!A569, reviews!A:G, 5, FALSE)</f>
        <v>Good Product,Must buy case for samsung watch 4,Generic but good,Not for watch 4, but for watch 4 classic,Good Product. Touch sensitivity to improve,Worth of buying,Perfectly fit for samsung brezzel,Awesome Watch Cover..Fitted Exactly size ...</v>
      </c>
      <c r="C569" s="29" t="str">
        <f>VLOOKUP(dados!A569, reviews!A:G, 6, FALSE)</f>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v>
      </c>
      <c r="D569" s="29" t="str">
        <f>IFERROR(__xludf.DUMMYFUNCTION("GOOGLETRANSLATE(B569, ""en"", ""pt-br"")"),"Bom produto, deve comprar estojo para o Samsung Watch 4, genérico, mas bom, não para assistir 4, mas para assistir 4 clássico, bom produto. Sensibilidade ao toque para melhorar, vale a pena comprar, perfeitamente adequado para a Samsung Brezzel, capa de r"&amp;"elógio incrível ... ajustado exatamente tamanho ...")</f>
        <v>Bom produto, deve comprar estojo para o Samsung Watch 4, genérico, mas bom, não para assistir 4, mas para assistir 4 clássico, bom produto. Sensibilidade ao toque para melhorar, vale a pena comprar, perfeitamente adequado para a Samsung Brezzel, capa de relógio incrível ... ajustado exatamente tamanho ...</v>
      </c>
      <c r="E569" s="29" t="str">
        <f>IFERROR(__xludf.DUMMYFUNCTION("GOOGLETRANSLATE(C569, ""en"", ""pt-br"")"),"Eu o comprei para o meu relógio Galaxy 4 44mm, ele se encaixa perfeitamente e a tela sensível ao toque funciona bem. Mas a embalagem deve melhorar., Estou escrevendo esta resenha depois de usar o produto para 1 mês. Bom caso para o Samsung Watch 4, sem pr"&amp;"oblemas de toque que eu enfrentei até agora. A melhor coisa sobre este caso é que ele vem com garantia para que você possa substituí -lo se houver um produto de defeito que você recebeu. Corpo mais espesso, o que significa que é feito para o relógio 4 clá"&amp;"ssico. Você precisa pressionar com força a proteção da tela para realmente tocar na tela. Não compra para o relógio 4. Outário, não deve ser bom para o Watch 4 Classic, embora eu não possa confirmar. O caso tem protetor de tela integrado e protege as late"&amp;"rais. Obviamente, ele não cobre as costas. O azul parecia estranho no meu relógio preto 4., em geral, de uma perspectiva de proteção, o produto é muito bom. Olhar é bom. Somente a sensibilidade à tela de toque precisa melhorar., Https: //m.media-amazon.co"&amp;"m/images/i/7160dglorul._sy88.jpg.perfect Produto para relógios Samsung,")</f>
        <v>Eu o comprei para o meu relógio Galaxy 4 44mm, ele se encaixa perfeitamente e a tela sensível ao toque funciona bem. Mas a embalagem deve melhorar., Estou escrevendo esta resenha depois de usar o produto para 1 mês. Bom caso para o Samsung Watch 4, sem problemas de toque que eu enfrentei até agora. A melhor coisa sobre este caso é que ele vem com garantia para que você possa substituí -lo se houver um produto de defeito que você recebeu. Corpo mais espesso, o que significa que é feito para o relógio 4 clássico. Você precisa pressionar com força a proteção da tela para realmente tocar na tela. Não compra para o relógio 4. Outário, não deve ser bom para o Watch 4 Classic, embora eu não possa confirmar. O caso tem protetor de tela integrado e protege as laterais. Obviamente, ele não cobre as costas. O azul parecia estranho no meu relógio preto 4., em geral, de uma perspectiva de proteção, o produto é muito bom. Olhar é bom. Somente a sensibilidade à tela de toque precisa melhorar., Https: //m.media-amazon.com/images/i/7160dglorul._sy88.jpg.perfect Produto para relógios Samsung,</v>
      </c>
    </row>
    <row r="570">
      <c r="A570" s="9" t="s">
        <v>2265</v>
      </c>
      <c r="B570" s="29" t="str">
        <f>VLOOKUP(dados!A570, reviews!A:G, 5, FALSE)</f>
        <v>WORTH BUY ! THE BEST,Good for the price.</v>
      </c>
      <c r="C570" s="29" t="str">
        <f>VLOOKUP(dados!A570, reviews!A:G, 6, FALSE)</f>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v>
      </c>
      <c r="D570" s="29" t="str">
        <f>IFERROR(__xludf.DUMMYFUNCTION("GOOGLETRANSLATE(B570, ""en"", ""pt-br"")"),"Vale a pena comprar! O melhor, bom para o preço.")</f>
        <v>Vale a pena comprar! O melhor, bom para o preço.</v>
      </c>
      <c r="E570" s="29" t="str">
        <f>IFERROR(__xludf.DUMMYFUNCTION("GOOGLETRANSLATE(C570, ""en"", ""pt-br"")"),"Faz 15 dias que eu uso o dispositivo extensivamente. Comprei -o na última venda da liberdade por Rs. 41.999 (incluindo 6k cupom de desconto instantâneo). Primeiro, deixe -me ser claro, comprei 'S20 Fe 5g' com o Snapdragon 865, não 'S20 FE com Exynos' e so"&amp;"u um usuário que usa telefone na maioria das vezes. Esta revisão pode ser Long, mas vale a pena ler se você estiver comprando este produto. Me divida entre os prós e os contras. Primeiro eu gostaria de começar com os profissionais do dispositivo, profissi"&amp;"onais: 1. Exibição: A Samsung já foi popular para as exibições do AMOLED, mas vi alguns dos revisores escreveram sobre alguns problemas de exibição aqui. Eles podem ter recebido uma peça defeituosa. Não tenho problemas com minha exibição. Já faz muito tem"&amp;"po que vi uma ótima exibição como essa ... com 120Hz é super suave. Além disso, é muito brilhante ao ar livre e pode diminuí -lo para muito baixo enquanto usa em condições de pouca luz (PS: sem problemas de tonalidade) Na exibição, o scanner de impressão "&amp;"digital é muito rápido e não enfrentou nenhum problema com ele .2. Alto -falantes estéreo: como um extenso usuário multimídia, esse é um dos recursos mais favoráveis ​​para mim. Acredite -me, você não pode encontrar nenhum outro dispositivo com uma qualid"&amp;"ade de som tão boa neste segmento de preços, é quase como dispositivos de carro -chefe. Os alto -falantes são adequadamente altos. Bateria: Como uma pessoa que está mudando de um telefone normal de 60Hz, fiquei muito preocupado com a duração da bateria de"&amp;"ste dispositivo a 120Hz, mas isso me surpreendeu muito bem ... de maneira alguma, pensei que precisaria mudar para 60Hz para uma melhor duração da bateria para a duração da bateria para Uso diário. Mas eu nem pensei que esse dispositivo daria uma grande d"&amp;"uração da bateria a 120Hz.M 120Hz, estou recebendo cerca de 7 horas de SOT mínimo (tela no prazo) .O SOT máximo que recebi às 120Hz é 9hours 13 Minutos. Não verifiquei a duração da bateria a 60Hz porque não a usei em 60Hz, nem um único dia. A duração da b"&amp;"ateria é excelente. Câmeras traseiras: Eu não sou um fotógrafo muito bom ou algo assim, sou apenas uma pessoa comum que usa a câmera ocasionalmente. Fiquei muito animado para usar a lente telefoto que só pode ser encontrada em dispositivos emblemáticos e "&amp;"ele tem um desempenho muito bom ... Amostras de câmera acima (Pic 1: Ultrawide, Pic 2: telefoto [PIC pode não ficar claro como foi quando levado devido à compressão da imagem enquanto carrega) as duas câmeras (primário + ultrawide + telefoto) têm um desem"&amp;"penho muito bom. 'RE Um cara de câmera, você definitivamente deve verificar isso. Desempenho e gerenciamento de RAM: não sou um jogador, uso meu dispositivo para uso diário de mídia social, plataformas OTT, chamadas, mensagens etc. Mas eu o uso extremamen"&amp;"te. Não enfrentei nenhum tipo de problema de aquecimento com o dispositivo Até agora. Uma interface do usuário: Eu era um cara do Android, mas uma interface do usuário realmente me surpreendeu, ela é muito bem otimizada e muito amigável para uso de uma mã"&amp;"o ... dias inativos, achei pouco difícil usar o menu de estoque de uma interface do usuário, mas eu Agora me acostumei. Qualidade de construção: mesmo que suas costas sejam compostas de plástico, a qualidade geral da construção é super premium. Prova futu"&amp;"ra: o dispositivo possui 9 bandas 5G, classificação IP68, carregamento sem fio, muito difíceis de encontrar em qualquer dispositivo nesse suporte de preço.ip68 e carregamento sem fio são encontrados principalmente apenas em dispositivos principais. É bom "&amp;"ver que a Samsung o traz a um preço mais baixo. Este é o melhor dispositivo de prova futura a partir de agora. Portanto, esses são os principais profissionais que notei agora. Agora vamos nos mudar para os contras. Não há suporte para HDR na Netflix: como"&amp;" um extenso usuário multimídia, achei muito frustrante. Mesmo os dispositivos de alcance média que oferecem suporte ao HDR na Netflix, o Samsungs Flagship Killer não possui suporte ao HDR. Não será corrigido via OTA Update .2. Nenhuma variante de 256 GB: "&amp;"na verdade não é um problema para a maioria das pessoas, mas como um usuário elétrico que usa o SIM duplo, achei um pouco difícil. Mas se você é um único usuário do SIM, felizmente ele tem solução híbrida ... então você Pode usar um cartão SIM + cartão de"&amp;" memória expansível ... 3. Gorilla Glass 3: Outros concorrentes estão fornecendo pelo menos GG5 nessa faixa de preço. Mas o S20 Fe 5G tem apenas GG3 (que também não tenho certeza, pois não é mencionado oficialmente em nenhum lugar). Mas no final do dia, o"&amp;" vidro é o vidro e vai quebrar.4. Nenhum fone de ouvido: não é um tipo de coisa incomum. A maioria dos telefones acima do segmento de 30k não possui fone de ouvido. Então, temos que comprar 3,5 mm para digitar o adaptador C, os fones de ouvido do tipo C o"&amp;"u as soluções Bluetooth. Nota: Compre apenas comprar Adaptador original da Samsung Tipo C, caso contrário, ele pode não suportar.5. Não há carregador de 25W: na verdade não é um golpe para mim, pois prefiro carregador de baixo watt, o que é bom para a saú"&amp;"de da bateria e benéfico para o uso de longo prazo. Mas pode ser um golpe para você, embora o dispositivo suporte carregamento de 25W. Apenas o carregador de 15W é fornecido dentro da caixa. Eles deveriam ter dado 25W dentro da caixa. Eu não tive nenhum p"&amp;"roblema com o carregador de 15W, mas seria ótimo se eles o agruparem com 25W, pois os concorrentes estão muito à frente em termos de velocidade de cobrança .Para a referência da velocidade de carregamento, 15W e 25W cobrarão o dispositivo quase ao mesmo t"&amp;"empo, mas usando 25W, você pode obter cerca de 50% em 30 minutos, onde 30% com o carregador de 15W.Full Charge To geralmente leva 1 hora e 35 minutos. Câmera frontal: Eu não sou um cara selfie, mas se você é uma pessoa que está procurando um dispositivo d"&amp;"e selfie, simplesmente não o compre. Não é como se a qualidade da câmera frontal fosse realmente ruim ou algo assim, mas nem está perto da qualidade da câmera traseira e você pode encontrar melhores smartphones de selfie nesse preço rangeConclusion: se vo"&amp;"cê é uma pessoa que deseja um dispositivo para uso normal do dia a dia Com boa duração da bateria, ótimas câmeras traseiras, excelente desempenho, melhor suporte de software, melhor qualidade de construção e use -a por mais de 3 anos e os contras menciona"&amp;"dos acima não incomodam você apenas comprando, tenho certeza de que não ficará desapontado. , Já se passaram cerca de 15 dias desde que recebi este telefone. Consegui isso por 29990 na venda do primeiro dia. Pelo preço é bom.Pros: 1. Câmera. Vindo do POCO"&amp;" X2, a qualidade da câmera é incrível de acordo com o preço. Dá a você boas cores, contraste, foco e tudo o que você deseja. Tem OIS que é muito aparente durante a gravação. A 4K60, a estabilidade é pior. Mas defina -o como 1080p60 e os vídeos serão incri"&amp;"velmente estáveis. E a principal vantagem do OIS, além do vídeo estável, é um ótimo modo noturno. Segure o telefone estável por um tempo e, juntamente com o OIS, você terá ótimas fotos com cores precisas e boa exposição. Amostras anexadas. Exibição: absol"&amp;"utamente melhor. Os monitores da Samsung são os melhores. 120Hz fhd. Flui suavemente. Cores e calibração são de primeira qualidade. O brilho é bom, mas senti que é um pouco insuficiente sob a luz solar direta. É visível, mas pode ser melhor. Oneui: O prin"&amp;"cipal motivo para atualizar para este telefone foi o software. Oneui4.0 é a melhor pele absoluta do Android agora. Ele tem muitas personalizações e permite que você personalize seu telefone em um grau muito alto. Como se houvesse um recurso para ler o nom"&amp;"e da pessoa que está ligando se você estiver usando fones de ouvido. Levei três dias para passar por todas as configurações e alterá -las para minhas necessidades. Também a Knoxx Security é uma menção especial. A Knoxx Security é um recurso de software e "&amp;"hardware nos telefones Samsung que protege seu telefone de todos os tipos de ataques e mantém seus dados seguros. Mesmo que seja roubado, você pode excluir remotamente todos os seus dados. A pasta segura permite armazenar dados em um armazenamento separad"&amp;"o. E muitos outros recursos bons. Embora seja uma pele muito rica e rica em armazenamento, ainda parece muito suave e rápido de usar. Ao contrário do MIUI ou de outras peles, ela não gagueja muito e os insetos são menos. Existem muitos outros pequenos pro"&amp;"fissionais, como bons alto -falantes estéreo. Boa qualidade de construção premium. Bons dados e velocidades de wifi. Outros recursos que você não notará, mas definitivamente fazem a diferença em sua experiência.cons1. Programas. Eu sei que disse que é um "&amp;"profissional, mas digo isso no aspecto das atualizações. Este telefone foi lançado em 2021 março na Índia e a Samsung promete atualizações de versão do Android de 3 anos e 1 ano adicional de atualizações de segurança. Mas há muita confusão sobre se este t"&amp;"elefone receberá o Android 14. Ele receberá A13, com certeza. Há muito debate sobre o que eles farão com 14 por causa da data de lançamento da versão global estar mais cedo e Yada Yada. Basicamente, a vida dos telefones talvez de 2,5 a 3 anos se eles der "&amp;"A14. Mas 1,5 a 2, se não. Eu pesquisei na Internet que algumas pessoas dizem que ela receberá A14, enquanto poucos dizem que não é. É difícil dizer quem está correto. Portanto, suponha que não esteja recebendo A14 se você estiver buscando. Bateria. A bate"&amp;"ria neste telefone é de 4500mAh e é boa o suficiente para um dia de uso. Mas isso é porque eu o uso levemente. Não há muito streaming online. Sem mídia social leve para jogos e outras coisas usuais. Se você usá -lo um pouco mais pesadamente, você ficará c"&amp;"orrendo dentro de um dia. Se você estiver saindo para a maior parte do dia, como uma viagem de um dia para algum lugar por perto, é melhor manter um banco de energia à mão. Em termos de tela nos números de tempo, uma vez recebi 7 horas de uso do SOT, 1 h "&amp;"do YouTube e 1,5 h de streaming. Eu estava em casa e usei wifi o tempo todo. Eu recebi 3 horas quando saí para uma viagem de um dia. Tirei muitas fotos e vídeos e o desligamento do telefone antes de chegar em casa. Em um dia de uso misto, você pode obter "&amp;"4,5 a 5,5 horas de SOT.Final VERDICT: A vida do telefone em termos de suporte de software não é ótima, mas você receberá atualizações no prazo e quase nenhum bug no software. Portanto, se você quiser comprá -lo, pode trocá -lo depois de 2 anos por outros "&amp;"modelos. Mas se você planeja usá -lo por mais de 2 anos, é melhor evitá -lo. Nas próximas vendas de Diwali e Dussera, o preço pode cair ainda mais para 25k. Estou apenas especulando, mas lembre -se de seus requisitos e vá de acordo. Sempre entrega incríve"&amp;"l pela Amazon.")</f>
        <v>Faz 15 dias que eu uso o dispositivo extensivamente. Comprei -o na última venda da liberdade por Rs. 41.999 (incluindo 6k cupom de desconto instantâneo). Primeiro, deixe -me ser claro, comprei 'S20 Fe 5g' com o Snapdragon 865, não 'S20 FE com Exynos' e sou um usuário que usa telefone na maioria das vezes. Esta revisão pode ser Long, mas vale a pena ler se você estiver comprando este produto. Me divida entre os prós e os contras. Primeiro eu gostaria de começar com os profissionais do dispositivo, profissionais: 1. Exibição: A Samsung já foi popular para as exibições do AMOLED, mas vi alguns dos revisores escreveram sobre alguns problemas de exibição aqui. Eles podem ter recebido uma peça defeituosa. Não tenho problemas com minha exibição. Já faz muito tempo que vi uma ótima exibição como essa ... com 120Hz é super suave. Além disso, é muito brilhante ao ar livre e pode diminuí -lo para muito baixo enquanto usa em condições de pouca luz (PS: sem problemas de tonalidade) Na exibição, o scanner de impressão digital é muito rápido e não enfrentou nenhum problema com ele .2. Alto -falantes estéreo: como um extenso usuário multimídia, esse é um dos recursos mais favoráveis ​​para mim. Acredite -me, você não pode encontrar nenhum outro dispositivo com uma qualidade de som tão boa neste segmento de preços, é quase como dispositivos de carro -chefe. Os alto -falantes são adequadamente altos. Bateria: Como uma pessoa que está mudando de um telefone normal de 60Hz, fiquei muito preocupado com a duração da bateria deste dispositivo a 120Hz, mas isso me surpreendeu muito bem ... de maneira alguma, pensei que precisaria mudar para 60Hz para uma melhor duração da bateria para a duração da bateria para Uso diário. Mas eu nem pensei que esse dispositivo daria uma grande duração da bateria a 120Hz.M 120Hz, estou recebendo cerca de 7 horas de SOT mínimo (tela no prazo) .O SOT máximo que recebi às 120Hz é 9hours 13 Minutos. Não verifiquei a duração da bateria a 60Hz porque não a usei em 60Hz, nem um único dia. A duração da bateria é excelente. Câmeras traseiras: Eu não sou um fotógrafo muito bom ou algo assim, sou apenas uma pessoa comum que usa a câmera ocasionalmente. Fiquei muito animado para usar a lente telefoto que só pode ser encontrada em dispositivos emblemáticos e ele tem um desempenho muito bom ... Amostras de câmera acima (Pic 1: Ultrawide, Pic 2: telefoto [PIC pode não ficar claro como foi quando levado devido à compressão da imagem enquanto carrega) as duas câmeras (primário + ultrawide + telefoto) têm um desempenho muito bom. 'RE Um cara de câmera, você definitivamente deve verificar isso. Desempenho e gerenciamento de RAM: não sou um jogador, uso meu dispositivo para uso diário de mídia social, plataformas OTT, chamadas, mensagens etc. Mas eu o uso extremamente. Não enfrentei nenhum tipo de problema de aquecimento com o dispositivo Até agora. Uma interface do usuário: Eu era um cara do Android, mas uma interface do usuário realmente me surpreendeu, ela é muito bem otimizada e muito amigável para uso de uma mão ... dias inativos, achei pouco difícil usar o menu de estoque de uma interface do usuário, mas eu Agora me acostumei. Qualidade de construção: mesmo que suas costas sejam compostas de plástico, a qualidade geral da construção é super premium. Prova futura: o dispositivo possui 9 bandas 5G, classificação IP68, carregamento sem fio, muito difíceis de encontrar em qualquer dispositivo nesse suporte de preço.ip68 e carregamento sem fio são encontrados principalmente apenas em dispositivos principais. É bom ver que a Samsung o traz a um preço mais baixo. Este é o melhor dispositivo de prova futura a partir de agora. Portanto, esses são os principais profissionais que notei agora. Agora vamos nos mudar para os contras. Não há suporte para HDR na Netflix: como um extenso usuário multimídia, achei muito frustrante. Mesmo os dispositivos de alcance média que oferecem suporte ao HDR na Netflix, o Samsungs Flagship Killer não possui suporte ao HDR. Não será corrigido via OTA Update .2. Nenhuma variante de 256 GB: na verdade não é um problema para a maioria das pessoas, mas como um usuário elétrico que usa o SIM duplo, achei um pouco difícil. Mas se você é um único usuário do SIM, felizmente ele tem solução híbrida ... então você Pode usar um cartão SIM + cartão de memória expansível ... 3. Gorilla Glass 3: Outros concorrentes estão fornecendo pelo menos GG5 nessa faixa de preço. Mas o S20 Fe 5G tem apenas GG3 (que também não tenho certeza, pois não é mencionado oficialmente em nenhum lugar). Mas no final do dia, o vidro é o vidro e vai quebrar.4. Nenhum fone de ouvido: não é um tipo de coisa incomum. A maioria dos telefones acima do segmento de 30k não possui fone de ouvido. Então, temos que comprar 3,5 mm para digitar o adaptador C, os fones de ouvido do tipo C ou as soluções Bluetooth. Nota: Compre apenas comprar Adaptador original da Samsung Tipo C, caso contrário, ele pode não suportar.5. Não há carregador de 25W: na verdade não é um golpe para mim, pois prefiro carregador de baixo watt, o que é bom para a saúde da bateria e benéfico para o uso de longo prazo. Mas pode ser um golpe para você, embora o dispositivo suporte carregamento de 25W. Apenas o carregador de 15W é fornecido dentro da caixa. Eles deveriam ter dado 25W dentro da caixa. Eu não tive nenhum problema com o carregador de 15W, mas seria ótimo se eles o agruparem com 25W, pois os concorrentes estão muito à frente em termos de velocidade de cobrança .Para a referência da velocidade de carregamento, 15W e 25W cobrarão o dispositivo quase ao mesmo tempo, mas usando 25W, você pode obter cerca de 50% em 30 minutos, onde 30% com o carregador de 15W.Full Charge To geralmente leva 1 hora e 35 minutos. Câmera frontal: Eu não sou um cara selfie, mas se você é uma pessoa que está procurando um dispositivo de selfie, simplesmente não o compre. Não é como se a qualidade da câmera frontal fosse realmente ruim ou algo assim, mas nem está perto da qualidade da câmera traseira e você pode encontrar melhores smartphones de selfie nesse preço rangeConclusion: se você é uma pessoa que deseja um dispositivo para uso normal do dia a dia Com boa duração da bateria, ótimas câmeras traseiras, excelente desempenho, melhor suporte de software, melhor qualidade de construção e use -a por mais de 3 anos e os contras mencionados acima não incomodam você apenas comprando, tenho certeza de que não ficará desapontado. , Já se passaram cerca de 15 dias desde que recebi este telefone. Consegui isso por 29990 na venda do primeiro dia. Pelo preço é bom.Pros: 1. Câmera. Vindo do POCO X2, a qualidade da câmera é incrível de acordo com o preço. Dá a você boas cores, contraste, foco e tudo o que você deseja. Tem OIS que é muito aparente durante a gravação. A 4K60, a estabilidade é pior. Mas defina -o como 1080p60 e os vídeos serão incrivelmente estáveis. E a principal vantagem do OIS, além do vídeo estável, é um ótimo modo noturno. Segure o telefone estável por um tempo e, juntamente com o OIS, você terá ótimas fotos com cores precisas e boa exposição. Amostras anexadas. Exibição: absolutamente melhor. Os monitores da Samsung são os melhores. 120Hz fhd. Flui suavemente. Cores e calibração são de primeira qualidade. O brilho é bom, mas senti que é um pouco insuficiente sob a luz solar direta. É visível, mas pode ser melhor. Oneui: O principal motivo para atualizar para este telefone foi o software. Oneui4.0 é a melhor pele absoluta do Android agora. Ele tem muitas personalizações e permite que você personalize seu telefone em um grau muito alto. Como se houvesse um recurso para ler o nome da pessoa que está ligando se você estiver usando fones de ouvido. Levei três dias para passar por todas as configurações e alterá -las para minhas necessidades. Também a Knoxx Security é uma menção especial. A Knoxx Security é um recurso de software e hardware nos telefones Samsung que protege seu telefone de todos os tipos de ataques e mantém seus dados seguros. Mesmo que seja roubado, você pode excluir remotamente todos os seus dados. A pasta segura permite armazenar dados em um armazenamento separado. E muitos outros recursos bons. Embora seja uma pele muito rica e rica em armazenamento, ainda parece muito suave e rápido de usar. Ao contrário do MIUI ou de outras peles, ela não gagueja muito e os insetos são menos. Existem muitos outros pequenos profissionais, como bons alto -falantes estéreo. Boa qualidade de construção premium. Bons dados e velocidades de wifi. Outros recursos que você não notará, mas definitivamente fazem a diferença em sua experiência.cons1. Programas. Eu sei que disse que é um profissional, mas digo isso no aspecto das atualizações. Este telefone foi lançado em 2021 março na Índia e a Samsung promete atualizações de versão do Android de 3 anos e 1 ano adicional de atualizações de segurança. Mas há muita confusão sobre se este telefone receberá o Android 14. Ele receberá A13, com certeza. Há muito debate sobre o que eles farão com 14 por causa da data de lançamento da versão global estar mais cedo e Yada Yada. Basicamente, a vida dos telefones talvez de 2,5 a 3 anos se eles der A14. Mas 1,5 a 2, se não. Eu pesquisei na Internet que algumas pessoas dizem que ela receberá A14, enquanto poucos dizem que não é. É difícil dizer quem está correto. Portanto, suponha que não esteja recebendo A14 se você estiver buscando. Bateria. A bateria neste telefone é de 4500mAh e é boa o suficiente para um dia de uso. Mas isso é porque eu o uso levemente. Não há muito streaming online. Sem mídia social leve para jogos e outras coisas usuais. Se você usá -lo um pouco mais pesadamente, você ficará correndo dentro de um dia. Se você estiver saindo para a maior parte do dia, como uma viagem de um dia para algum lugar por perto, é melhor manter um banco de energia à mão. Em termos de tela nos números de tempo, uma vez recebi 7 horas de uso do SOT, 1 h do YouTube e 1,5 h de streaming. Eu estava em casa e usei wifi o tempo todo. Eu recebi 3 horas quando saí para uma viagem de um dia. Tirei muitas fotos e vídeos e o desligamento do telefone antes de chegar em casa. Em um dia de uso misto, você pode obter 4,5 a 5,5 horas de SOT.Final VERDICT: A vida do telefone em termos de suporte de software não é ótima, mas você receberá atualizações no prazo e quase nenhum bug no software. Portanto, se você quiser comprá -lo, pode trocá -lo depois de 2 anos por outros modelos. Mas se você planeja usá -lo por mais de 2 anos, é melhor evitá -lo. Nas próximas vendas de Diwali e Dussera, o preço pode cair ainda mais para 25k. Estou apenas especulando, mas lembre -se de seus requisitos e vá de acordo. Sempre entrega incrível pela Amazon.</v>
      </c>
    </row>
    <row r="571">
      <c r="A571" s="9" t="s">
        <v>340</v>
      </c>
      <c r="B571" s="29" t="str">
        <f>VLOOKUP(dados!A571, reviews!A:G, 5, FALSE)</f>
        <v>Good product,Its good, but micro usb doesn't fit my phone.,Good and useful item,It is very best cable,good,2 in 1 Charging Cable.,Sturdy cable overall,Nice &amp; Best Charger Cabel</v>
      </c>
      <c r="C571" s="29" t="str">
        <f>VLOOKUP(dados!A571, reviews!A:G, 6, FALSE)</f>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v>
      </c>
      <c r="D571" s="29" t="str">
        <f>IFERROR(__xludf.DUMMYFUNCTION("GOOGLETRANSLATE(B571, ""en"", ""pt-br"")"),"Bom produto, é bom, mas o micro USB não se encaixa no meu telefone., Item bom e útil, é o melhor cabo, bom, 2 em 1 cabo de carregamento.")</f>
        <v>Bom produto, é bom, mas o micro USB não se encaixa no meu telefone., Item bom e útil, é o melhor cabo, bom, 2 em 1 cabo de carregamento.</v>
      </c>
      <c r="E571" s="29" t="str">
        <f>IFERROR(__xludf.DUMMYFUNCTION("GOOGLETRANSLATE(C571, ""en"", ""pt-br"")"),"O produto é bom, e também é o STRUDINE. Mas não há carregamento rápido neste cabo, normalmente é carregada. Adoro porque é suportado no micro USB, ou tipo C. Em todos os bons .Pros / vantagem:- -1) 1,5 metro de fio 2) mais durável3) suportado tipo duplo t"&amp;"ipo C, micro usbcons / desvantagens:- carregamento normal, não carregamento rápido, embora seja trançado, mas não é forte como barco. Mas não há problema em usá -lo. Suporta turboalimentação., Trabalhando bem após meses de uso. A única coisa é que, se hou"&amp;"ver leve pressão, o adaptador do tipo C sairá da cabeça micro USB. Tão melhor ver que o cabo não está esticado ao usar o adaptador do tipo C. Caso contrário, funcionando bem e muito conveniente para mim, pois geralmente tenho um telefone com carregamento "&amp;"do tipo C e uma pequena guia com carregamento micro USB quando viajo. Preciso carregar apenas um cabo agora com meu PowerBank. Recomendará., Melhor cabo, bom, os conectores Micro USB e Tipo C estão recebendo carga. Para aplicar uma força de um bit para re"&amp;"mover (IG, ele se desgastará após o uso). Em comparação, o barco tem uma melhor qualidade, eu diria que se você receber isso em oferta, pois possui cabo trançado de metal e melhor pino de microgurada de qualidade., Gosto O produto Bcuz é me ajuda a carreg"&amp;"ar ambos os tipos de telefone C &amp; Micro Cabel")</f>
        <v>O produto é bom, e também é o STRUDINE. Mas não há carregamento rápido neste cabo, normalmente é carregada. Adoro porque é suportado no micro USB, ou tipo C. Em todos os bons .Pros / vantagem:- -1) 1,5 metro de fio 2) mais durável3) suportado tipo duplo tipo C, micro usbcons / desvantagens:- carregamento normal, não carregamento rápido, embora seja trançado, mas não é forte como barco. Mas não há problema em usá -lo. Suporta turboalimentação., Trabalhando bem após meses de uso. A única coisa é que, se houver leve pressão, o adaptador do tipo C sairá da cabeça micro USB. Tão melhor ver que o cabo não está esticado ao usar o adaptador do tipo C. Caso contrário, funcionando bem e muito conveniente para mim, pois geralmente tenho um telefone com carregamento do tipo C e uma pequena guia com carregamento micro USB quando viajo. Preciso carregar apenas um cabo agora com meu PowerBank. Recomendará., Melhor cabo, bom, os conectores Micro USB e Tipo C estão recebendo carga. Para aplicar uma força de um bit para remover (IG, ele se desgastará após o uso). Em comparação, o barco tem uma melhor qualidade, eu diria que se você receber isso em oferta, pois possui cabo trançado de metal e melhor pino de microgurada de qualidade., Gosto O produto Bcuz é me ajuda a carregar ambos os tipos de telefone C &amp; Micro Cabel</v>
      </c>
    </row>
    <row r="572">
      <c r="A572" s="9" t="s">
        <v>344</v>
      </c>
      <c r="B572" s="29" t="str">
        <f>VLOOKUP(dados!A572, reviews!A:G, 5, FALSE)</f>
        <v>GOOD,Thank you  Amazon very good charging cable,Good,Very good product,good quality,Very Good Product,This is fast charging USB!,Simply perfect at the price of below 100</v>
      </c>
      <c r="C572" s="29" t="str">
        <f>VLOOKUP(dados!A572, reviews!A:G, 6, FALSE)</f>
        <v>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v>
      </c>
      <c r="D572" s="29" t="str">
        <f>IFERROR(__xludf.DUMMYFUNCTION("GOOGLETRANSLATE(B572, ""en"", ""pt-br"")"),"Bom, obrigado Amazon Cable de carregamento muito bom, bom, muito bom produto, boa qualidade, produto muito bom, este é um USB de carregamento rápido!, Simplesmente perfeito pelo preço abaixo de 100")</f>
        <v>Bom, obrigado Amazon Cable de carregamento muito bom, bom, muito bom produto, boa qualidade, produto muito bom, este é um USB de carregamento rápido!, Simplesmente perfeito pelo preço abaixo de 100</v>
      </c>
      <c r="E572" s="29" t="str">
        <f>IFERROR(__xludf.DUMMYFUNCTION("GOOGLETRANSLATE(C572, ""en"", ""pt-br"")"),"Está tudo bem, mas é volumoso e difícil, deve ser mais suave e mais fino ....., obrigado Amazon Cabo de carregamento muito bom 👍, bom, bom, a qualidade é boa. Vale 150-200 ₹. curto, mas durável., produto muito bom. Satisfeito .., este é um pino de carreg"&amp;"amento rápido C USB! Você pode comprá -lo., Bom produto a preço abaixo de 100")</f>
        <v>Está tudo bem, mas é volumoso e difícil, deve ser mais suave e mais fino ....., obrigado Amazon Cabo de carregamento muito bom 👍, bom, bom, a qualidade é boa. Vale 150-200 ₹. curto, mas durável., produto muito bom. Satisfeito .., este é um pino de carregamento rápido C USB! Você pode comprá -lo., Bom produto a preço abaixo de 100</v>
      </c>
    </row>
    <row r="573">
      <c r="A573" s="9" t="s">
        <v>2271</v>
      </c>
      <c r="B573" s="29" t="str">
        <f>VLOOKUP(dados!A573, reviews!A:G, 5, FALSE)</f>
        <v>Good,Good Product but Little expensive.,Happy with the purchase,Good buy in price range,Best travel companion,For instagram reels zoom in and zoom out switch is not available,MUST BUY FOR EVERY ONE WHO OWNS A MOBILE PHONE !!!,A good selfie stick</v>
      </c>
      <c r="C573" s="29" t="str">
        <f>VLOOKUP(dados!A573, reviews!A:G, 6, FALSE)</f>
        <v>Good,Thoda sa kam stable hai, phone lagane ke baad thoda bohot hilta zaroor hai. Build quality thodi aur achi hoti, to pakka value for money hota.,We’ve been using it for around 2 months, it’s good, sturdy, Bluetooth connectivity is also good.Overall a good purchase.,Good buy in price range,If you travel, it’s your best companion. Has a great stability and length. It’s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v>
      </c>
      <c r="D573" s="29" t="str">
        <f>IFERROR(__xludf.DUMMYFUNCTION("GOOGLETRANSLATE(B573, ""en"", ""pt-br"")"),"Bom, bom produto, mas pouco caro., Feliz com a compra, boa faixa de preços, melhor companheiro de viagem, para o Instagram rolos de zoom e o Switch de zoom não está disponível, deve comprar para cada um que possui um telefone celular !!! , Um bom bastão d"&amp;"e selfie")</f>
        <v>Bom, bom produto, mas pouco caro., Feliz com a compra, boa faixa de preços, melhor companheiro de viagem, para o Instagram rolos de zoom e o Switch de zoom não está disponível, deve comprar para cada um que possui um telefone celular !!! , Um bom bastão de selfie</v>
      </c>
      <c r="E573" s="29" t="str">
        <f>IFERROR(__xludf.DUMMYFUNCTION("GOOGLETRANSLATE(C573, ""en"", ""pt-br"")"),"Bom, Thoda Sa Kam estável Hai, telefone Lagane ke Baad Thoda Bohot Hilta Zaroor Hai. Construir qualidade Thodi Aur Achi Hoti, para Pakka Valor para o dinheiro HOTA., Usamos por cerca de 2 meses, é boa, robusta e conectividade Bluetooth, também é boa. Obvi"&amp;"amente, uma boa compra., Boa faixa de preços, se Você viaja, é seu melhor companheiro. Tem uma ótima estabilidade e comprimento. É uma das minhas melhores compras e não consigo pensar em férias sem ela. Não há mais necessidade de pedir aos estranhos que t"&amp;"irem fotos, defina o melhor ângulo e capturar o momento. O serviço da equipe de suporte do WeCool também é super legal., Bom produto ... mas mais eficiente esperado, produto incrível. Como um YouTuber e um criador de conteúdo do Instagram, este é o melhor"&amp;" gadget que eu gosto de ter na minha bolsa traseira o tempo todo. Eu até uso isso para gravar minhas aulas ao vivo sem fazer cenas por aí, pois isso é muito útil e lúcido. Além disso, o serviço deles é excelente. Por que você ainda está lendo críticas? En"&amp;"comende agora. Encontre meus vídeos no Instagram usando este S5 em Shankarkumaran tamil, o bastão de selfie é resistente e muito bom")</f>
        <v>Bom, Thoda Sa Kam estável Hai, telefone Lagane ke Baad Thoda Bohot Hilta Zaroor Hai. Construir qualidade Thodi Aur Achi Hoti, para Pakka Valor para o dinheiro HOTA., Usamos por cerca de 2 meses, é boa, robusta e conectividade Bluetooth, também é boa. Obviamente, uma boa compra., Boa faixa de preços, se Você viaja, é seu melhor companheiro. Tem uma ótima estabilidade e comprimento. É uma das minhas melhores compras e não consigo pensar em férias sem ela. Não há mais necessidade de pedir aos estranhos que tirem fotos, defina o melhor ângulo e capturar o momento. O serviço da equipe de suporte do WeCool também é super legal., Bom produto ... mas mais eficiente esperado, produto incrível. Como um YouTuber e um criador de conteúdo do Instagram, este é o melhor gadget que eu gosto de ter na minha bolsa traseira o tempo todo. Eu até uso isso para gravar minhas aulas ao vivo sem fazer cenas por aí, pois isso é muito útil e lúcido. Além disso, o serviço deles é excelente. Por que você ainda está lendo críticas? Encomende agora. Encontre meus vídeos no Instagram usando este S5 em Shankarkumaran tamil, o bastão de selfie é resistente e muito bom</v>
      </c>
    </row>
    <row r="574">
      <c r="A574" s="9" t="s">
        <v>2275</v>
      </c>
      <c r="B574" s="29" t="str">
        <f>VLOOKUP(dados!A574, reviews!A:G, 5, FALSE)</f>
        <v>Decent,Sad But Don't Buy,Ók,Nice mobile in this bugdet,Performance below low budget phone,Good performance,Budget phone,Very good product nice photo and display</v>
      </c>
      <c r="C574" s="29" t="str">
        <f>VLOOKUP(dados!A574, reviews!A:G, 6, FALSE)</f>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v>
      </c>
      <c r="D574" s="29" t="str">
        <f>IFERROR(__xludf.DUMMYFUNCTION("GOOGLETRANSLATE(B574, ""en"", ""pt-br"")"),"Decente, triste, mas não compre, Ók, bom celular neste bugdet, desempenho abaixo do telefone com baixo orçamento, bom desempenho, telefone orçamentário, muito bom produto, bom produto, foto e exibição")</f>
        <v>Decente, triste, mas não compre, Ók, bom celular neste bugdet, desempenho abaixo do telefone com baixo orçamento, bom desempenho, telefone orçamentário, muito bom produto, bom produto, foto e exibição</v>
      </c>
      <c r="E574" s="29" t="str">
        <f>IFERROR(__xludf.DUMMYFUNCTION("GOOGLETRANSLATE(C574, ""en"", ""pt-br"")"),"É decente, não compre este telefone compra se você tiver mais de 40 anos, este telefone não é para a geração mais jovem. Os recursos úteis do telefone são apenas as chamadas do WhatsApp no ​​YouTube., OK, Nice, o telefone não é muito eficazmente responsiv"&amp;"o. A bateria é baixa, mesmo quando não é usada em 1 dia. O PRING de dedos não funciona bem - preciso de algumas tentativas para abrir., A câmera traseira é boa, a vida melhor não está funcionando bem, muito ruim, uso médio do telefone diurno, travamento d"&amp;"o dedo rápido")</f>
        <v>É decente, não compre este telefone compra se você tiver mais de 40 anos, este telefone não é para a geração mais jovem. Os recursos úteis do telefone são apenas as chamadas do WhatsApp no ​​YouTube., OK, Nice, o telefone não é muito eficazmente responsivo. A bateria é baixa, mesmo quando não é usada em 1 dia. O PRING de dedos não funciona bem - preciso de algumas tentativas para abrir., A câmera traseira é boa, a vida melhor não está funcionando bem, muito ruim, uso médio do telefone diurno, travamento do dedo rápido</v>
      </c>
    </row>
    <row r="575">
      <c r="A575" s="9" t="s">
        <v>2279</v>
      </c>
      <c r="B575" s="29" t="str">
        <f>VLOOKUP(dados!A575, reviews!A:G, 5, FALSE)</f>
        <v>Ranjitha,Good one,Best One!!!,Good and average usage,IT'S BEEN GOOD,Good,Overall good product,Nice</v>
      </c>
      <c r="C575" s="29" t="str">
        <f>VLOOKUP(dados!A575, reviews!A:G, 6, FALSE)</f>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product,Overall good product to buy,Good product</v>
      </c>
      <c r="D575" s="29" t="str">
        <f>IFERROR(__xludf.DUMMYFUNCTION("GOOGLETRANSLATE(B575, ""en"", ""pt-br"")"),"Ranjitha, bom, melhor !!!, bom e médio de uso, tem sido bom, bom, bom produto geral, bom")</f>
        <v>Ranjitha, bom, melhor !!!, bom e médio de uso, tem sido bom, bom, bom produto geral, bom</v>
      </c>
      <c r="E575" s="29" t="str">
        <f>IFERROR(__xludf.DUMMYFUNCTION("GOOGLETRANSLATE(C575, ""en"", ""pt-br"")"),"A duração da bateria é baixa, vale a pena comprar, bom desempenho nessa faixa de preço, um produto econômico para comprar para o uso médio de tempo de verificação, monitoramento do coração, pista de etapas, etc. Use e exibir., Antes de tudo, este relógio "&amp;"é amigável para o orçamento. , a experiência é muito boa. Mas, mas, mas a duração da bateria não é tão boa apenas 4 dias de backup da bateria., bom produto, bom produto geral para comprar, bom produto")</f>
        <v>A duração da bateria é baixa, vale a pena comprar, bom desempenho nessa faixa de preço, um produto econômico para comprar para o uso médio de tempo de verificação, monitoramento do coração, pista de etapas, etc. Use e exibir., Antes de tudo, este relógio é amigável para o orçamento. , a experiência é muito boa. Mas, mas, mas a duração da bateria não é tão boa apenas 4 dias de backup da bateria., bom produto, bom produto geral para comprar, bom produto</v>
      </c>
    </row>
    <row r="576">
      <c r="A576" s="9" t="s">
        <v>2283</v>
      </c>
      <c r="B576" s="29" t="str">
        <f>VLOOKUP(dados!A576, reviews!A:G, 5, FALSE)</f>
        <v>Nice watch but some cons,Great device for the budget !! And amazing amazon service!!,Good watch in this price,Watch faces could have been better,Amoled Screen &amp; Touch, Average Wrist Band.</v>
      </c>
      <c r="C576" s="29" t="str">
        <f>VLOOKUP(dados!A576, reviews!A:G, 6, FALSE)</f>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v>
      </c>
      <c r="D576" s="29" t="str">
        <f>IFERROR(__xludf.DUMMYFUNCTION("GOOGLETRANSLATE(B576, ""en"", ""pt-br"")"),"Bom relógio, mas alguns contras, ótimo dispositivo para o orçamento !! E o incrível serviço da Amazon !!, bom relógio neste preço, os rostos do relógio poderiam ter sido melhores, tela e toque de amold, faixa de pulso comum.")</f>
        <v>Bom relógio, mas alguns contras, ótimo dispositivo para o orçamento !! E o incrível serviço da Amazon !!, bom relógio neste preço, os rostos do relógio poderiam ter sido melhores, tela e toque de amold, faixa de pulso comum.</v>
      </c>
      <c r="E576" s="29" t="str">
        <f>IFERROR(__xludf.DUMMYFUNCTION("GOOGLETRANSLATE(C576, ""en"", ""pt-br"")"),"Hoje só eu recebi este relógio em primeira instância, ele ganhou meu coração ... Eu estava usando um dia inteiro e encontrei alguns prós e contras desta exibição WatchPros# AMOLED é muito brilhante e agradável# look and design é premium# bluetooth Chamar "&amp;"é incrível, o alto -falante é alto e claro. Até minha voz está alcançando a festa oposta com muita clareza enquanto liga com o relógio. Armazenamento interno, embora seja apenas 128 MB, mas suficiente para armazenar cerca de 10 músicas aprox. Claro por qu"&amp;"e aconteceu, pois eu verifiquei apenas por um dia# as impressões digitais são claramente visíveis no vidro da tela. Anexei a foto para ele# Health Tracker está perto de precisos, mas nunca depende do smartwatch nessa faixa de preço. BP com este relógio e "&amp;"com a máquina BP Ambos os resultados são diferentes ... 70-80% apenas precisa ..# Ai Voice Assistant não é muito útil, pois só funciona para o celular quando pressiono o botão de assistente de voz no relógio .. como se se Eu dou o comando para definir ala"&amp;"rme no relógio, defina um alarme no celular, então basicamente apenas um botão para acordar o assistente do Google para o celular. Orador .. que é bastante irritante ... isso deve estar correto por atualizações de firmware que eu o comprei por Rs.3420/- i"&amp;"ncluindo oferta bancária. Para essa faixa de preço, em geral, é um relógio bom e premium. Do lado esquerdo .. mas rapidamente recebeu a substituição no dia seguinte .... a substituição foi boa ... A Amazon prestou ótima serviço e entregue a substituição e"&amp;"m apenas 16 horas ... Tão ótimo trabalho Amazon ... também moro em Bangalore. . Portanto, a experiência pode variar de um lugar para outro. Refrondo leituras UIFAirly Excverty o suficiente em toda a qualidade da qualidade da BP e Spo2Call é ótima para o p"&amp;"reço .. bons alto -falantes e bom microfone ... você pode controlar o Spotify e o Soundcloud Music também do relógio .e use TWS para ouvir o Spotify enquanto controla o relógio ... e é perfeito ... a tela é ótima. Chega ... A qualidade de construção é boa"&amp;", mas não parece muito premium. Parece um relógio abaixo de 5k ... para que você não possa enganar ninguém que este seja um Apple Watch 😂 Strap não é muito longo, pois todas as mencionadas pela revisão .. A cinta é boa o suficiente ... não muito confortá"&amp;"vel ... eu pedi uma pulseira de metal da Amazon para o meu relógio e é incrível ... Ui parece muito melhor pessoalmente do que as críticas .. UI é suave e parece boa ... não como Bom como Realme Watch 3 Pro .. mas ainda é bom para o preço. No geral, é um "&amp;"bom relógio pelo preço de cerca de 3,5k -3.9kanymore e não vale a pena o Priquerealme Watch 3Pro é o melhor por esse preço .. então Se você conseguir isso em estoque e abaixo de 4K, obtenha o RealMe Watch 3 Pro ... ou mais para este segmento de preços Fir"&amp;"ebolt Visionário é o melhor relógio em geral em comparação com todos os outros relógios sob 4KConsCall quando recebidos no relógio não permanece no TWS, ele troca para assistir por algum motivo ... o que é oneSeSeps é um pouco impreciso e lê etapas, mesmo"&amp;" que não esteja andando ... então não confie na vida útil da contratem Durante 5 dias. A faixa BLUTOOTH não é muito boa .. e varia de relógio para assistir .. e também telefone para telefone. Recebo uma faixa decente de Bluetooth de cerca de 20 pés. Mas i"&amp;"sso é mais de fato do que um golpe. ., Escrevo esta resenha após uma semana de uso deste relógio, BP, BPM, SPO2 Running e Sleep Rastrening Funções estão funcionando bem, o Watch Speaker também é alto e claro para você e os outros chamadores. O único golpe"&amp;" é quando você deseja ouvir músicas através de um relógio de um celular, seu Bluetooth se desconecta automaticamente repetidamente, pois esse fundo não é útil para mim, então ignore -o, no geral, é um bom relógio., Tudo é absolutamente greta nisso SmartWa"&amp;"tch.A mas essas coisas poderiam ter sido melhores:. Assista Faces-você deve ter a opção de adicionar até 3-4 rostos de relógio imediatamente do aplicativo, em vez de um de cada vez e 10 pré-instalados. UI do aplicativo poderia ter sido melhor. Modo DND au"&amp;"sente. Nenhuma opção de alternar o Bluetooth (sempre ativado), antes da revisão, gostaria de apreciar essa ótima estratégia para derramar críticas honestas dos usuários, dando -lhes voucher de bookmyshow. de relógio premium. A banda do relógio é médio e n"&amp;"ão parece premium e eu pedi separadamente uma banda de metal. Estou esperando a melhoria do aplicativo móvel da Fireboltt, pois não acho bom o suficiente se comparar com o aplicativo de barcos para seus relógios (como possuo um smartwatch de barco). O Vis"&amp;"ionário Rest é uma boa compra e vale o dinheiro. A única coisa que fisicamente não é atraente é a qualidade média da banda.")</f>
        <v>Hoje só eu recebi este relógio em primeira instância, ele ganhou meu coração ... Eu estava usando um dia inteiro e encontrei alguns prós e contras desta exibição WatchPros# AMOLED é muito brilhante e agradável# look and design é premium# bluetooth Chamar é incrível, o alto -falante é alto e claro. Até minha voz está alcançando a festa oposta com muita clareza enquanto liga com o relógio. Armazenamento interno, embora seja apenas 128 MB, mas suficiente para armazenar cerca de 10 músicas aprox. Claro por que aconteceu, pois eu verifiquei apenas por um dia# as impressões digitais são claramente visíveis no vidro da tela. Anexei a foto para ele# Health Tracker está perto de precisos, mas nunca depende do smartwatch nessa faixa de preço. BP com este relógio e com a máquina BP Ambos os resultados são diferentes ... 70-80% apenas precisa ..# Ai Voice Assistant não é muito útil, pois só funciona para o celular quando pressiono o botão de assistente de voz no relógio .. como se se Eu dou o comando para definir alarme no relógio, defina um alarme no celular, então basicamente apenas um botão para acordar o assistente do Google para o celular. Orador .. que é bastante irritante ... isso deve estar correto por atualizações de firmware que eu o comprei por Rs.3420/- incluindo oferta bancária. Para essa faixa de preço, em geral, é um relógio bom e premium. Do lado esquerdo .. mas rapidamente recebeu a substituição no dia seguinte .... a substituição foi boa ... A Amazon prestou ótima serviço e entregue a substituição em apenas 16 horas ... Tão ótimo trabalho Amazon ... também moro em Bangalore. . Portanto, a experiência pode variar de um lugar para outro. Refrondo leituras UIFAirly Excverty o suficiente em toda a qualidade da qualidade da BP e Spo2Call é ótima para o preço .. bons alto -falantes e bom microfone ... você pode controlar o Spotify e o Soundcloud Music também do relógio .e use TWS para ouvir o Spotify enquanto controla o relógio ... e é perfeito ... a tela é ótima. Chega ... A qualidade de construção é boa, mas não parece muito premium. Parece um relógio abaixo de 5k ... para que você não possa enganar ninguém que este seja um Apple Watch 😂 Strap não é muito longo, pois todas as mencionadas pela revisão .. A cinta é boa o suficiente ... não muito confortável ... eu pedi uma pulseira de metal da Amazon para o meu relógio e é incrível ... Ui parece muito melhor pessoalmente do que as críticas .. UI é suave e parece boa ... não como Bom como Realme Watch 3 Pro .. mas ainda é bom para o preço. No geral, é um bom relógio pelo preço de cerca de 3,5k -3.9kanymore e não vale a pena o Priquerealme Watch 3Pro é o melhor por esse preço .. então Se você conseguir isso em estoque e abaixo de 4K, obtenha o RealMe Watch 3 Pro ... ou mais para este segmento de preços Firebolt Visionário é o melhor relógio em geral em comparação com todos os outros relógios sob 4KConsCall quando recebidos no relógio não permanece no TWS, ele troca para assistir por algum motivo ... o que é oneSeSeps é um pouco impreciso e lê etapas, mesmo que não esteja andando ... então não confie na vida útil da contratem Durante 5 dias. A faixa BLUTOOTH não é muito boa .. e varia de relógio para assistir .. e também telefone para telefone. Recebo uma faixa decente de Bluetooth de cerca de 20 pés. Mas isso é mais de fato do que um golpe. ., Escrevo esta resenha após uma semana de uso deste relógio, BP, BPM, SPO2 Running e Sleep Rastrening Funções estão funcionando bem, o Watch Speaker também é alto e claro para você e os outros chamadores. O único golpe é quando você deseja ouvir músicas através de um relógio de um celular, seu Bluetooth se desconecta automaticamente repetidamente, pois esse fundo não é útil para mim, então ignore -o, no geral, é um bom relógio., Tudo é absolutamente greta nisso SmartWatch.A mas essas coisas poderiam ter sido melhores:. Assista Faces-você deve ter a opção de adicionar até 3-4 rostos de relógio imediatamente do aplicativo, em vez de um de cada vez e 10 pré-instalados. UI do aplicativo poderia ter sido melhor. Modo DND ausente. Nenhuma opção de alternar o Bluetooth (sempre ativado), antes da revisão, gostaria de apreciar essa ótima estratégia para derramar críticas honestas dos usuários, dando -lhes voucher de bookmyshow. de relógio premium. A banda do relógio é médio e não parece premium e eu pedi separadamente uma banda de metal. Estou esperando a melhoria do aplicativo móvel da Fireboltt, pois não acho bom o suficiente se comparar com o aplicativo de barcos para seus relógios (como possuo um smartwatch de barco). O Visionário Rest é uma boa compra e vale o dinheiro. A única coisa que fisicamente não é atraente é a qualidade média da banda.</v>
      </c>
    </row>
    <row r="577">
      <c r="A577" s="9" t="s">
        <v>2286</v>
      </c>
      <c r="B577" s="29" t="str">
        <f>VLOOKUP(dados!A577, reviews!A:G, 5, FALSE)</f>
        <v>Quality product,Excellent, it's fast charging,After 12 days not working 😔</v>
      </c>
      <c r="C577" s="29" t="str">
        <f>VLOOKUP(dados!A577, reviews!A:G, 6, FALSE)</f>
        <v>Product works well and charges the devices in a quick mannerValue for money.,I like this product,Not working 😔 after 12 days</v>
      </c>
      <c r="D577" s="29" t="str">
        <f>IFERROR(__xludf.DUMMYFUNCTION("GOOGLETRANSLATE(B577, ""en"", ""pt-br"")"),"Produto de qualidade, excelente, é um carregamento rápido, depois de 12 dias não funcionando 😔")</f>
        <v>Produto de qualidade, excelente, é um carregamento rápido, depois de 12 dias não funcionando 😔</v>
      </c>
      <c r="E577" s="29" t="str">
        <f>IFERROR(__xludf.DUMMYFUNCTION("GOOGLETRANSLATE(C577, ""en"", ""pt-br"")"),"O produto funciona bem e cobra os dispositivos em um rápido valor de maneira por dinheiro., Gosto deste produto, não funcionando 😔 Após 12 dias")</f>
        <v>O produto funciona bem e cobra os dispositivos em um rápido valor de maneira por dinheiro., Gosto deste produto, não funcionando 😔 Após 12 dias</v>
      </c>
    </row>
    <row r="578">
      <c r="A578" s="9" t="s">
        <v>2290</v>
      </c>
      <c r="B578" s="29" t="str">
        <f>VLOOKUP(dados!A578, reviews!A:G, 5, FALSE)</f>
        <v>Best selfie stick,Decent product with one draw back,Best for Recording videos and photo shoot,Great Selfi stick using for 6months,Nice product in this rate,Overall ok but stability is not rock solid,Selfie stick,Nice</v>
      </c>
      <c r="C578" s="29" t="str">
        <f>VLOOKUP(dados!A578, reviews!A:G, 6, FALSE)</f>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v>
      </c>
      <c r="D578" s="29" t="str">
        <f>IFERROR(__xludf.DUMMYFUNCTION("GOOGLETRANSLATE(B578, ""en"", ""pt-br"")"),"Melhor bastão de selfie, produto decente com uma desvantagem, melhor para gravar vídeos e sessões de fotos, ótimo auto -bastão usando para 6 meses, bom produto nessa taxa, ok em geral, mas a estabilidade não é sólida, bastão de selfie, bom")</f>
        <v>Melhor bastão de selfie, produto decente com uma desvantagem, melhor para gravar vídeos e sessões de fotos, ótimo auto -bastão usando para 6 meses, bom produto nessa taxa, ok em geral, mas a estabilidade não é sólida, bastão de selfie, bom</v>
      </c>
      <c r="E578" s="29" t="str">
        <f>IFERROR(__xludf.DUMMYFUNCTION("GOOGLETRANSLATE(C578, ""en"", ""pt-br"")"),"Eu realmente aprecio a qualidade de construção, em toda a qualidade do produto é decente com apenas desperdício de que o braço telecópico se estende apenas menos de 60 cm, o que, na minha opinião Backup da bateria de falha muito bom, é fácil conectar e ti"&amp;"rar fotos e gravar vídeo do youtube melhor para gravar vídeo gravação de vídeo com suporte de tripé. É tão bom ficar mais fácil de ficar em qualquer lugar para mais verifique meu canal do youtube #aamtech2, eu realmente gosto deste bastão e é remoto de Bl"&amp;"uTooth. O peso da luz e é fácil de transportar e tem várias opções, com esse bastão, é que você não pode clicar em fotos verticais quando no modo de suporte se o modo de 360 ​​graus estivesse disponível, isso seria melhor ,, geral. Mas como a estabilidade"&amp;" não é sólida, você deve ter um pouco de cuidado ao colocar o telefone anexado a este estande., Bahut ele aachha Selfie Stick Hai. Bluetooth SE CONNECT HO RAHA HAI. Jo Ke Bahut Ele Aachha Hai. Ou Eesame Stand ve Diye Hai. Jis SE Mobile Ko Ek Jagaha Par Ra"&amp;"kha Kar Bluetooth Remoto Ke Madata Se Photo Le Sakte Hai., Vá em frente .. Preço razoável e produto acima da média.")</f>
        <v>Eu realmente aprecio a qualidade de construção, em toda a qualidade do produto é decente com apenas desperdício de que o braço telecópico se estende apenas menos de 60 cm, o que, na minha opinião Backup da bateria de falha muito bom, é fácil conectar e tirar fotos e gravar vídeo do youtube melhor para gravar vídeo gravação de vídeo com suporte de tripé. É tão bom ficar mais fácil de ficar em qualquer lugar para mais verifique meu canal do youtube #aamtech2, eu realmente gosto deste bastão e é remoto de BluTooth. O peso da luz e é fácil de transportar e tem várias opções, com esse bastão, é que você não pode clicar em fotos verticais quando no modo de suporte se o modo de 360 ​​graus estivesse disponível, isso seria melhor ,, geral. Mas como a estabilidade não é sólida, você deve ter um pouco de cuidado ao colocar o telefone anexado a este estande., Bahut ele aachha Selfie Stick Hai. Bluetooth SE CONNECT HO RAHA HAI. Jo Ke Bahut Ele Aachha Hai. Ou Eesame Stand ve Diye Hai. Jis SE Mobile Ko Ek Jagaha Par Rakha Kar Bluetooth Remoto Ke Madata Se Photo Le Sakte Hai., Vá em frente .. Preço razoável e produto acima da média.</v>
      </c>
    </row>
    <row r="579">
      <c r="A579" s="9" t="s">
        <v>2294</v>
      </c>
      <c r="B579" s="29" t="str">
        <f>VLOOKUP(dados!A579, reviews!A:G, 5, FALSE)</f>
        <v>The first light  Is not working idk why,Pretty device,Good product,A GOOD INVESTMENT,Too bulky,This power bank full charge at 12 hour and I phone 12 will be 4 time full charged not 6 time,VERY GOOD PRODUCT.☆☆☆☆☆,Its too bulky and I would say not good for travelling</v>
      </c>
      <c r="C579" s="29" t="str">
        <f>VLOOKUP(dados!A579, reviews!A:G, 6, FALSE)</f>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haven’t touched my phone charger for 2-3 days and completely used this power bank for charging and still it wasn’t dried outBut the problem is weight too heavy i must say</v>
      </c>
      <c r="D579" s="29" t="str">
        <f>IFERROR(__xludf.DUMMYFUNCTION("GOOGLETRANSLATE(B579, ""en"", ""pt-br"")"),"A primeira luz não está funcionando IDK Por que, dispositivo bonito, bom produto, um bom investimento, muito volumoso, esse banco de potência total em 12 horas e eu o telefone 12 estará 4 vezes cheio de 6 vezes, não 6 tempo, muito bom produto. ☆☆ ☆☆☆, é m"&amp;"uito volumoso e eu diria que não é bom para viajar")</f>
        <v>A primeira luz não está funcionando IDK Por que, dispositivo bonito, bom produto, um bom investimento, muito volumoso, esse banco de potência total em 12 horas e eu o telefone 12 estará 4 vezes cheio de 6 vezes, não 6 tempo, muito bom produto. ☆☆ ☆☆☆, é muito volumoso e eu diria que não é bom para viajar</v>
      </c>
      <c r="E579" s="29" t="str">
        <f>IFERROR(__xludf.DUMMYFUNCTION("GOOGLETRANSLATE(C579, ""en"", ""pt-br"")"),"-Packageing foi bom-ainda não testou a funcionalidade de funcionamento. , Bom para extensões de smartphone'battery., O produto é muito grande e pesado. Teria sido melhor se tivesse baterias de íons de lítio para economizar espaço e peso. O produto cobra o"&amp;" iPhone cerca de 50% em uma hora, mas o carregamento do REST é muito lento. Possui uma luz dedicada (verde) para descrever o modo de carregamento rápido. O dispositivo me ajudou a sobreviver 2,5 dias sem carregador, onde cobrava 3 telefones. Eu tinha 1 te"&amp;"lefone Samsung compatível com um carregador rápido (M30), 1 telefone samsung samsung comum (J7 Prime) e um iPhone SE, que ele foi capaz de manter à tona. Observe que, se tentar carregar vários telefones, o carregamento rápido não estará disponível em nenh"&amp;"uma porta, USB e USB-C (PD). Os voos permitem apenas na bagagem de check-in, portanto, lembre-se de que você teria que carregar esse dispositivo volumoso consigo mesmo. Dimensões: 6 ""lx3"" bx1.1 ""de espessura. Não peso em escala, mas parece 1/2 kg e iss"&amp;"o é muito peso. cobrado não 6 tempo ,, O carregamento é super goodi não tocou meu carregador de telefone por 2-3 dias e usou completamente esse banco de energia para cobrar e ainda não foi seco, o problema é o peso muito pesado, devo dizer")</f>
        <v>-Packageing foi bom-ainda não testou a funcionalidade de funcionamento. , Bom para extensões de smartphone'battery., O produto é muito grande e pesado. Teria sido melhor se tivesse baterias de íons de lítio para economizar espaço e peso. O produto cobra o iPhone cerca de 50% em uma hora, mas o carregamento do REST é muito lento. Possui uma luz dedicada (verde) para descrever o modo de carregamento rápido. O dispositivo me ajudou a sobreviver 2,5 dias sem carregador, onde cobrava 3 telefones. Eu tinha 1 telefone Samsung compatível com um carregador rápido (M30), 1 telefone samsung samsung comum (J7 Prime) e um iPhone SE, que ele foi capaz de manter à tona. Observe que, se tentar carregar vários telefones, o carregamento rápido não estará disponível em nenhuma porta, USB e USB-C (PD). Os voos permitem apenas na bagagem de check-in, portanto, lembre-se de que você teria que carregar esse dispositivo volumoso consigo mesmo. Dimensões: 6 "lx3" bx1.1 "de espessura. Não peso em escala, mas parece 1/2 kg e isso é muito peso. cobrado não 6 tempo ,, O carregamento é super goodi não tocou meu carregador de telefone por 2-3 dias e usou completamente esse banco de energia para cobrar e ainda não foi seco, o problema é o peso muito pesado, devo dizer</v>
      </c>
    </row>
    <row r="580">
      <c r="A580" s="9" t="s">
        <v>2298</v>
      </c>
      <c r="B580" s="29" t="str">
        <f>VLOOKUP(dados!A580, reviews!A:G, 5, FALSE)</f>
        <v>Good,Good product,Small things looka zoomed out,GOOD PRODUCT,Good product,Good quality product,Little gap to hold the mobile. Struggling every time to keep the mobile in.,Excellent product</v>
      </c>
      <c r="C580" s="29" t="str">
        <f>VLOOKUP(dados!A580, reviews!A:G, 6, FALSE)</f>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v>
      </c>
      <c r="D580" s="29" t="str">
        <f>IFERROR(__xludf.DUMMYFUNCTION("GOOGLETRANSLATE(B580, ""en"", ""pt-br"")"),"Bom, bom produto, pequenas coisas que parecem zombar, bom produto, bom produto, produto de boa qualidade, pouca lacuna para manter o celular. Lutando sempre para manter o celular., Excelente produto")</f>
        <v>Bom, bom produto, pequenas coisas que parecem zombar, bom produto, bom produto, produto de boa qualidade, pouca lacuna para manter o celular. Lutando sempre para manter o celular., Excelente produto</v>
      </c>
      <c r="E580" s="29" t="str">
        <f>IFERROR(__xludf.DUMMYFUNCTION("GOOGLETRANSLATE(C580, ""en"", ""pt-br"")"),"Produto de boa qualidade, bom produto e mantém minha cobrança organizada. Feliz com minha compra., Eu estava procurando as fotos enviadas pelo vendedor e assumi que elas eram grandes o suficiente para se encaixar em um celular de 6,5 polegadas. Para minha"&amp;" surpresa, eles são muito pequenos. Não tenho certeza de quanto tempo ele pode carregar o peso do meu celular antes de cair. Se o celular tiver uma boa cobertura, não se encaixará na fenda., Modelo e propósito foram atendidos, mas incapazes de colá -lo na"&amp;" parede devido a goma não adequada, o produto é bom., Um produto de muito boa qualidade, mas caro., Arch Gap Deveria ter sido mais para manter o celular facilmente, faz o que diz. produto excelente")</f>
        <v>Produto de boa qualidade, bom produto e mantém minha cobrança organizada. Feliz com minha compra., Eu estava procurando as fotos enviadas pelo vendedor e assumi que elas eram grandes o suficiente para se encaixar em um celular de 6,5 polegadas. Para minha surpresa, eles são muito pequenos. Não tenho certeza de quanto tempo ele pode carregar o peso do meu celular antes de cair. Se o celular tiver uma boa cobertura, não se encaixará na fenda., Modelo e propósito foram atendidos, mas incapazes de colá -lo na parede devido a goma não adequada, o produto é bom., Um produto de muito boa qualidade, mas caro., Arch Gap Deveria ter sido mais para manter o celular facilmente, faz o que diz. produto excelente</v>
      </c>
    </row>
    <row r="581">
      <c r="A581" s="9" t="s">
        <v>2304</v>
      </c>
      <c r="B581" s="29" t="str">
        <f>VLOOKUP(dados!A581, reviews!A:G, 5, FALSE)</f>
        <v>Perfect Value for money,Everything is great but you can increase battery backup,Worth the hype....simply good!,Ok product,I love tank so much . I bought it only before 10 days .i have charged it only once after buying .,Watch design is good,Overall Good Experience,Value for money.</v>
      </c>
      <c r="C581" s="29" t="str">
        <f>VLOOKUP(dados!A581, reviews!A:G, 6, FALSE)</f>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v>
      </c>
      <c r="D581" s="29" t="str">
        <f>IFERROR(__xludf.DUMMYFUNCTION("GOOGLETRANSLATE(B581, ""en"", ""pt-br"")"),"Valor perfeito para o dinheiro, tudo é ótimo, mas você pode aumentar o backup da bateria, vale a pena o hype ... simplesmente bom!, Ok, produto, eu amo tanto o tanque. Eu o comprei apenas antes de 10 dias. Eu o cobrei apenas uma vez depois de comprar., O "&amp;"design do relógio é bom, uma boa experiência geral, uma relação custo / benefício.")</f>
        <v>Valor perfeito para o dinheiro, tudo é ótimo, mas você pode aumentar o backup da bateria, vale a pena o hype ... simplesmente bom!, Ok, produto, eu amo tanto o tanque. Eu o comprei apenas antes de 10 dias. Eu o cobrei apenas uma vez depois de comprar., O design do relógio é bom, uma boa experiência geral, uma relação custo / benefício.</v>
      </c>
      <c r="E581" s="29" t="str">
        <f>IFERROR(__xludf.DUMMYFUNCTION("GOOGLETRANSLATE(C581, ""en"", ""pt-br"")"),"Compra perfeita pelo preço de 1999/-Depois do uso de 10 dias, minha classificação geral é 8/10 a seguir, estão minhas revis.Pros: 1. Etapa Precisão de contagem 85-90% 2. Sleep Monitor 95-100% Precisa3.Notificações e conexão Bluetooth com iOS e Android - 1"&amp;"0/104.Touch Sensibilidade 9.5/105. Obtenção de brilho na luz solar brilhante - 9/106. Relógio personalizado e interface fácil - 9/107. : -1.Battery Life 6/10 quando totalmente conectado para notificações e chamadas dura apenas 3/4 dias. Caso contrário, se"&amp;" usado de maneira ideal, pode durar 7-8 dias com uso moderado.2.. .Estando, este relógio inteligente é uma besta nesse intervalo (₹ 1999) p.s: eu usei o ColorFit Pro 2 mais cedo. Classificações e revisões estão de acordo com isso., Tudo é ótimo nesta dose"&amp;" de relógio, tem chamadas, jogos, barbatana perfeitamente em todas as mãos de rastreamento de saúde e etc., mas depois de todos os relógios são ótimos, mas há apenas um dia - o backup é menos bateria Recebe alta em apenas 15 horas se você o mantiver a des"&amp;"gastar o dia todo, espero que o Fire Boltt o conserte. O melhor valor para o produto do dinheiro 👍👍👍 👍👍👍 👍👍👍, muitos relógios vêm com os mesmos recursos pelo mesmo custo, para que você possa ter muitas variedades para se confundir, embora eu poss"&amp;"a dizer que este que eu recebi aqui tem uma interface do usuário estável, sem lag Mesmo, parece premium (principalmente a alça macia e o botão Cool Crown aumenta muito). A principal razão pela qual eu comprei isso porque traz todos os recursos que todos p"&amp;"recisam hoje com a aparência pulso e isso não se encaixaria neles, não se preocupe. Mesmo que eu pensei que não se encaixaria em mim porque eu tenho um pulso fino, mas tudo bem., recebi entrega em um dia. Serviço rápido da Amazon. O pacote foi selado. Não"&amp;" encontrou nenhuma adulteração. Assistir o corpo é construído de plástico. A esse preço, poderia ter sido o Metal One. A revisão detalhada será compartilhada em poucos dias, agora depois que a bateria for totalmente carregada, ela drena de 100 a 0 % em ap"&amp;"enas 10 minutos. Não sei o que aconteceu com ela. O design do relógio é bom. Na imagem mostra o relógio de cor cinza escuro, mas eu recebi cinza prateado. O tempo de despertar da tela é lento, caso contrário, tudo está bom., Usando este relógio por alguns"&amp;" dias agora. No geral, gostei. As leituras estão quase corretas. Espero que seja durável também., Valor para o dinheiro. Somente é que o aumento do sensor de acordar funciona muito lento.")</f>
        <v>Compra perfeita pelo preço de 1999/-Depois do uso de 10 dias, minha classificação geral é 8/10 a seguir, estão minhas revis.Pros: 1. Etapa Precisão de contagem 85-90% 2. Sleep Monitor 95-100% Precisa3.Notificações e conexão Bluetooth com iOS e Android - 10/104.Touch Sensibilidade 9.5/105. Obtenção de brilho na luz solar brilhante - 9/106. Relógio personalizado e interface fácil - 9/107. : -1.Battery Life 6/10 quando totalmente conectado para notificações e chamadas dura apenas 3/4 dias. Caso contrário, se usado de maneira ideal, pode durar 7-8 dias com uso moderado.2.. .Estando, este relógio inteligente é uma besta nesse intervalo (₹ 1999) p.s: eu usei o ColorFit Pro 2 mais cedo. Classificações e revisões estão de acordo com isso., Tudo é ótimo nesta dose de relógio, tem chamadas, jogos, barbatana perfeitamente em todas as mãos de rastreamento de saúde e etc., mas depois de todos os relógios são ótimos, mas há apenas um dia - o backup é menos bateria Recebe alta em apenas 15 horas se você o mantiver a desgastar o dia todo, espero que o Fire Boltt o conserte. O melhor valor para o produto do dinheiro 👍👍👍 👍👍👍 👍👍👍, muitos relógios vêm com os mesmos recursos pelo mesmo custo, para que você possa ter muitas variedades para se confundir, embora eu possa dizer que este que eu recebi aqui tem uma interface do usuário estável, sem lag Mesmo, parece premium (principalmente a alça macia e o botão Cool Crown aumenta muito). A principal razão pela qual eu comprei isso porque traz todos os recursos que todos precisam hoje com a aparência pulso e isso não se encaixaria neles, não se preocupe. Mesmo que eu pensei que não se encaixaria em mim porque eu tenho um pulso fino, mas tudo bem., recebi entrega em um dia. Serviço rápido da Amazon. O pacote foi selado. Não encontrou nenhuma adulteração. Assistir o corpo é construído de plástico. A esse preço, poderia ter sido o Metal One. A revisão detalhada será compartilhada em poucos dias, agora depois que a bateria for totalmente carregada, ela drena de 100 a 0 % em apenas 10 minutos. Não sei o que aconteceu com ela. O design do relógio é bom. Na imagem mostra o relógio de cor cinza escuro, mas eu recebi cinza prateado. O tempo de despertar da tela é lento, caso contrário, tudo está bom., Usando este relógio por alguns dias agora. No geral, gostei. As leituras estão quase corretas. Espero que seja durável também., Valor para o dinheiro. Somente é que o aumento do sensor de acordar funciona muito lento.</v>
      </c>
    </row>
    <row r="582">
      <c r="A582" s="9" t="s">
        <v>2308</v>
      </c>
      <c r="B582" s="29" t="str">
        <f>VLOOKUP(dados!A582, reviews!A:G, 5, FALSE)</f>
        <v>Good one,Almost perfect,Go for it,Good product,It's folding system is good,Very good product,Great stand sturdy and good quality,Good quality</v>
      </c>
      <c r="C582" s="29" t="str">
        <f>VLOOKUP(dados!A582, reviews!A:G, 6, FALSE)</f>
        <v>Good quality. Can buy if it’s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it’s is Very  sturdyAnd looks of good quality,Excellent product, good build quality, bigger compared to similar products.</v>
      </c>
      <c r="D582" s="29" t="str">
        <f>IFERROR(__xludf.DUMMYFUNCTION("GOOGLETRANSLATE(B582, ""en"", ""pt-br"")"),"Bom, quase perfeito, vá em frente, bom produto, seu sistema dobrável é bom, muito bom produto, excelente suporte e boa qualidade, boa qualidade")</f>
        <v>Bom, quase perfeito, vá em frente, bom produto, seu sistema dobrável é bom, muito bom produto, excelente suporte e boa qualidade, boa qualidade</v>
      </c>
      <c r="E582" s="29" t="str">
        <f>IFERROR(__xludf.DUMMYFUNCTION("GOOGLETRANSLATE(C582, ""en"", ""pt-br"")"),"Boa qualidade. Pode comprar se o preço estiver abaixo de 250, um bom produto, mas um produto pouco caro e bom, contém a guia móvel e de médio porte., Um portador móvel um pouco caro e muito bem projetado com boa qualidade. O melhor que comprei até agora. "&amp;"Vá em frente., O pacote chegou um dia mais cedo e é um ótimo produto pelo preço que é muito robusto e de boa qualidade, excelente produto, boa qualidade de construção, maior em comparação com produtos similares.")</f>
        <v>Boa qualidade. Pode comprar se o preço estiver abaixo de 250, um bom produto, mas um produto pouco caro e bom, contém a guia móvel e de médio porte., Um portador móvel um pouco caro e muito bem projetado com boa qualidade. O melhor que comprei até agora. Vá em frente., O pacote chegou um dia mais cedo e é um ótimo produto pelo preço que é muito robusto e de boa qualidade, excelente produto, boa qualidade de construção, maior em comparação com produtos similares.</v>
      </c>
    </row>
    <row r="583">
      <c r="A583" s="9" t="s">
        <v>2312</v>
      </c>
      <c r="B583" s="29" t="str">
        <f>VLOOKUP(dados!A583, reviews!A:G, 5, FALSE)</f>
        <v>Phone, camera, heating - works for me, may not for all,Good Mobile,Good but not excellent under this budget,Worth the price at 9499,Ok type phone... but unable to make videocall within same service provider.,Phone review,Budget king,Battery backup is good</v>
      </c>
      <c r="C583" s="29" t="str">
        <f>VLOOKUP(dados!A583, reviews!A:G, 6, FALSE)</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D583" s="29" t="str">
        <f>IFERROR(__xludf.DUMMYFUNCTION("GOOGLETRANSLATE(B583, ""en"", ""pt-br"")"),"Telefone, câmera, aquecimento - funciona para mim, pode não para todos, bom celular, bom, mas não excelente sob esse orçamento, vale o preço em 9499, ok tipo telefone ... mas não consegue fazer videocall no mesmo provedor de serviços., Telefone Revisão, o"&amp;"rçamento rei, backup de bateria é bom")</f>
        <v>Telefone, câmera, aquecimento - funciona para mim, pode não para todos, bom celular, bom, mas não excelente sob esse orçamento, vale o preço em 9499, ok tipo telefone ... mas não consegue fazer videocall no mesmo provedor de serviços., Telefone Revisão, orçamento rei, backup de bateria é bom</v>
      </c>
      <c r="E583" s="29" t="str">
        <f>IFERROR(__xludf.DUMMYFUNCTION("GOOGLETRANSLATE(C583, ""en"", ""pt-br"")"),"Não sou grande uso da câmera, pessoalmente. Eu até estava mentalmente preparado para uma câmera ruim, com base em alguns comentários aqui. Mas fiquei agradavelmente surpreso que a câmera clique em boas fotos. Eles não são impressionantes, mas são fotos de"&amp;"centes que podem até ser compartilhadas. Agora, chegando ao meu maior galope; problema de aquecimento. O telefone começou a esquentar durante o carregamento, mas era apenas um pouco e eu poderia ter ignorado. Mas então começou a esquentar mais e me deixou"&amp;" muito preocupado. Eu até pedi um substituto pensando que recebi uma peça defeituosa. Mas depois, após mais testes, descobri que está aquecendo mais quando baixo grandes quantidades de dados, por exemplo, quando restaurar os dados do meu telefone antigo, "&amp;"de backup. Tudo bem comigo, pois, eu não executo enormes dados de dados regularmente, definitivamente não no telefone. Então eu testei executando tarefas que normalmente realizo, como verificação de e -mails do Office, participando da reunião do escritóri"&amp;"o por telefone, assistindo a um vídeo da Amazon Prime e assim por diante. O telefone não esquentou nem um pouco. Pessoalmente, isso é bom para mim. Nesta faixa de preço, este é um bom telefone. Mas se você é um usuário pesado da câmera e espera executar d"&amp;"ownloads pesados ​​com frequência, este telefone pode não para você. Estou pessoalmente satisfeito com este telefone, pois ele funciona para o meu tipo de uso. Não vou entrar em pontos positivos deste telefone, pois eles já estão cobertos por outras críti"&amp;"cas. Estou apenas tentando esclarecer como este telefone pode se adequar a você (ou não) em termos de câmera e aquecimento. Eu tive muitas perguntas sobre esses aspectos antes de comprar. Talvez esta revisão o ajude a tomar uma decisão informada de compra"&amp;"r (ou evitar). Cheers., Display - Beautycamera - DecentPerformance - AmazingBattery - OK (em 5000mAh, você espera mais TBH). Este telefone, mas continuarei atualizando esta revisão após 1 meses de uso!, É um celular decente sob esse preço, mas poucas cois"&amp;"as me preocuparam, o peso do telefone, muitos procedimentos para alterar algumas configurações, sem fundição de tela. Além disso, tem um bom toque, uma câmera decente para a luz do dia, a duração da bateria é boa. Comprei este smartphone para minha mãe. A"&amp;" interface Samusung é muito punhada para facilitar o uso. A bateria é excelente, o último dia inteiro. A câmera é medíocre, mas fornece imagens coloridas originais. No geral, está satisfeito com este smartphone que recebi à venda por 9499., não conseguiu "&amp;"fazer videochamadas dentro do mesmo provedor de serviços que em VoLTE no mesmo recurso de chamada de videochamada do provedor de serviços está disponível., O produto está bem. Nada chique, mas para o orçamento, é um bom telefone., Bateria: mais do que suf"&amp;"iciente para uso normal, não tenho certeza em gamingcamera: bom neste segmento, pode gravar vídeos em FHD 30fpsDisplay: como é uma tela LCD, a qualidade é um pouco menor, Mas Goodv Ram: você pode adicionar até 2 GB de RAM virtual, mas precisa sacrificar s"&amp;"eu espaço de armazenamento para usá -lo em geral um bom telefone orçamentário, a impressão digital está funcionando com o backup rápido da bateria é boa a qualidade da câmera também é boa")</f>
        <v>Não sou grande uso da câmera, pessoalmente. Eu até estava mentalmente preparado para uma câmera ruim, com base em alguns comentários aqui. Mas fiquei agradavelmente surpreso que a câmera clique em boas fotos. Eles não são impressionantes, mas são fotos decentes que podem até ser compartilhadas. Agora, chegando ao meu maior galope; problema de aquecimento. O telefone começou a esquentar durante o carregamento, mas era apenas um pouco e eu poderia ter ignorado. Mas então começou a esquentar mais e me deixou muito preocupado. Eu até pedi um substituto pensando que recebi uma peça defeituosa. Mas depois, após mais testes, descobri que está aquecendo mais quando baixo grandes quantidades de dados, por exemplo, quando restaurar os dados do meu telefone antigo, de backup. Tudo bem comigo, pois, eu não executo enormes dados de dados regularmente, definitivamente não no telefone. Então eu testei executando tarefas que normalmente realizo, como verificação de e -mails do Office, participando da reunião do escritório por telefone, assistindo a um vídeo da Amazon Prime e assim por diante. O telefone não esquentou nem um pouco. Pessoalmente, isso é bom para mim. Nesta faixa de preço, este é um bom telefone. Mas se você é um usuário pesado da câmera e espera executar downloads pesados ​​com frequência, este telefone pode não para você. Estou pessoalmente satisfeito com este telefone, pois ele funciona para o meu tipo de uso. Não vou entrar em pontos positivos deste telefone, pois eles já estão cobertos por outras críticas. Estou apenas tentando esclarecer como este telefone pode se adequar a você (ou não) em termos de câmera e aquecimento. Eu tive muitas perguntas sobre esses aspectos antes de comprar. Talvez esta revisão o ajude a tomar uma decisão informada de comprar (ou evitar). Cheers., Display - Beautycamera - DecentPerformance - AmazingBattery - OK (em 5000mAh, você espera mais TBH). Este telefone, mas continuarei atualizando esta revisão após 1 meses de uso!, É um celular decente sob esse preço, mas poucas coisas me preocuparam, o peso do telefone, muitos procedimentos para alterar algumas configurações, sem fundição de tela. Além disso, tem um bom toque, uma câmera decente para a luz do dia, a duração da bateria é boa. Comprei este smartphone para minha mãe. A interface Samusung é muito punhada para facilitar o uso. A bateria é excelente, o último dia inteiro. A câmera é medíocre, mas fornece imagens coloridas originais. No geral, está satisfeito com este smartphone que recebi à venda por 9499., não conseguiu fazer videochamadas dentro do mesmo provedor de serviços que em VoLTE no mesmo recurso de chamada de videochamada do provedor de serviços está disponível., O produto está bem. Nada chique, mas para o orçamento, é um bom telefone., Bateria: mais do que suficiente para uso normal, não tenho certeza em gamingcamera: bom neste segmento, pode gravar vídeos em FHD 30fpsDisplay: como é uma tela LCD, a qualidade é um pouco menor, Mas Goodv Ram: você pode adicionar até 2 GB de RAM virtual, mas precisa sacrificar seu espaço de armazenamento para usá -lo em geral um bom telefone orçamentário, a impressão digital está funcionando com o backup rápido da bateria é boa a qualidade da câmera também é boa</v>
      </c>
    </row>
    <row r="584">
      <c r="A584" s="9" t="s">
        <v>2315</v>
      </c>
      <c r="B584" s="29" t="str">
        <f>VLOOKUP(dados!A584, reviews!A:G, 5, FALSE)</f>
        <v>Good,Good,Worth buying and easy to use,Good,Great product for Ipad Pro,Super,It was good to use and also its fasttt.,Best</v>
      </c>
      <c r="C584" s="29" t="str">
        <f>VLOOKUP(dados!A584, reviews!A:G, 6, FALSE)</f>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v>
      </c>
      <c r="D584" s="29" t="str">
        <f>IFERROR(__xludf.DUMMYFUNCTION("GOOGLETRANSLATE(B584, ""en"", ""pt-br"")"),"Bom, bom, que vale a pena comprar e fácil de usar, bom e ótimo produto para iPad Pro, super, foi bom usar e também seu fasttt., Melhor")</f>
        <v>Bom, bom, que vale a pena comprar e fácil de usar, bom e ótimo produto para iPad Pro, super, foi bom usar e também seu fasttt., Melhor</v>
      </c>
      <c r="E584" s="29" t="str">
        <f>IFERROR(__xludf.DUMMYFUNCTION("GOOGLETRANSLATE(C584, ""en"", ""pt-br"")"),"Funciona o objetivo do OTG para a guia Samsung Galaxy A7, é um pouco apertado para o meu celular do tipo RealMe C. Mas funciona. Sem problemas, muito útil. Fácil de usar. Preço razoável., Bom OTG, depois de pesquisar vários produtos no mercado do meu iPad"&amp;" Pro e acabou com produtos não suportáveis ​​e finalmente encontrei este. Aqueles que estão realmente procurando um OTG para o seu iPad, isso é altamente recomendado, https: //m.media-amazon.com/images/i/816nz1c3ddl._sy88.jpg foi bom usar e também seu fas"&amp;"ttt. produtos")</f>
        <v>Funciona o objetivo do OTG para a guia Samsung Galaxy A7, é um pouco apertado para o meu celular do tipo RealMe C. Mas funciona. Sem problemas, muito útil. Fácil de usar. Preço razoável., Bom OTG, depois de pesquisar vários produtos no mercado do meu iPad Pro e acabou com produtos não suportáveis ​​e finalmente encontrei este. Aqueles que estão realmente procurando um OTG para o seu iPad, isso é altamente recomendado, https: //m.media-amazon.com/images/i/816nz1c3ddl._sy88.jpg foi bom usar e também seu fasttt. produtos</v>
      </c>
    </row>
    <row r="585">
      <c r="A585" s="9" t="s">
        <v>2319</v>
      </c>
      <c r="B585" s="29" t="str">
        <f>VLOOKUP(dados!A585, reviews!A:G, 5, FALSE)</f>
        <v>Quite Good,good pencil,Value for money,Brilliant,Value for moeny product,Must to buy this pencil,Problemsolver,It works as advertised</v>
      </c>
      <c r="C585" s="29" t="str">
        <f>VLOOKUP(dados!A585, reviews!A:G, 6, FALSE)</f>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it’s the best budget pencil. I will update my review to 5 stars ⭐️⭐️⭐️⭐️⭐️ after using and testing it for a while if it passes all the criterion. Thankyou.</v>
      </c>
      <c r="D585" s="29" t="str">
        <f>IFERROR(__xludf.DUMMYFUNCTION("GOOGLETRANSLATE(B585, ""en"", ""pt-br"")"),"Muito bom, bom lápis, valor ao dinheiro, brilhante e valor para o produto Moeny, deve comprar este lápis, Slowedsolver, ele funciona como anunciado")</f>
        <v>Muito bom, bom lápis, valor ao dinheiro, brilhante e valor para o produto Moeny, deve comprar este lápis, Slowedsolver, ele funciona como anunciado</v>
      </c>
      <c r="E585" s="29" t="str">
        <f>IFERROR(__xludf.DUMMYFUNCTION("GOOGLETRANSLATE(C585, ""en"", ""pt-br"")"),"Após 10 dias de uso, Bhaut acha chl rha ha e eu revisarei novamente aapko bata dunga kessa ha thoda time baadbut produtos acha ha abhi tak kuch kharab nahi hua e mene bheska khayal rakha ha, lápis é bom trabalho bem, mas a construção pode ser melhor , Exc"&amp;"elente experiência trabalha bem com o iPad Pro 11 polegadas (2022) Bom bateria, a vida precisa comprar um produto Apple de Apple, com muito carote. Agrega valor ao iPad. Felizmente, a alternativa ao lápis de marca caro., Realmente um ótimo produto do rei "&amp;"❤️🔥🔥🔥🔥🔥🔥🔥🔥🔥🔥. Quando comprei o lápis, duvidei da qualidade do produto, mas agora um mês eu o usei é um produto incrível por Kingone e, sem dúvida para o bem. Produto OSM e eu não enfrentei nenhum poder Ancidental, pois outros lápis é legal e aut"&amp;"omático em seu tempo, salve a bateria como tudo mais redondo. É o MOENY SAVE É MELHOR EM ONE AUTRIMENTO DE ORIGINAL ONE LEGO ......, ótima qualidade com NOAGS, para todos aqueles que não podem pagar o Apple Pencil, este é um verdadeiro solucionador de pro"&amp;"blemas. É um pouco difícil de se acostumar com o lápis, mas funciona como um charme. zero problemas. Produto adorável, inicialmente fiquei cético usando este lápis, porque ele continuava pulando as linhas e não respondeu. Mas depois de um tempo, tornou -s"&amp;"e tão suave quanto original. Você deve seguir em frente se a sensibilidade à pressão não for o que você está procurando. Com o carregamento sem fio e os atalhos de botões, é o melhor lápis de orçamento. Atualizarei minha revisão para 5 estrelas ⭐️⭐️⭐️⭐️⭐️"&amp;" depois de usá -lo e testá -lo por um tempo, se ele passar por todo o critério. Obrigado.")</f>
        <v>Após 10 dias de uso, Bhaut acha chl rha ha e eu revisarei novamente aapko bata dunga kessa ha thoda time baadbut produtos acha ha abhi tak kuch kharab nahi hua e mene bheska khayal rakha ha, lápis é bom trabalho bem, mas a construção pode ser melhor , Excelente experiência trabalha bem com o iPad Pro 11 polegadas (2022) Bom bateria, a vida precisa comprar um produto Apple de Apple, com muito carote. Agrega valor ao iPad. Felizmente, a alternativa ao lápis de marca caro., Realmente um ótimo produto do rei ❤️🔥🔥🔥🔥🔥🔥🔥🔥🔥🔥. Quando comprei o lápis, duvidei da qualidade do produto, mas agora um mês eu o usei é um produto incrível por Kingone e, sem dúvida para o bem. Produto OSM e eu não enfrentei nenhum poder Ancidental, pois outros lápis é legal e automático em seu tempo, salve a bateria como tudo mais redondo. É o MOENY SAVE É MELHOR EM ONE AUTRIMENTO DE ORIGINAL ONE LEGO ......, ótima qualidade com NOAGS, para todos aqueles que não podem pagar o Apple Pencil, este é um verdadeiro solucionador de problemas. É um pouco difícil de se acostumar com o lápis, mas funciona como um charme. zero problemas. Produto adorável, inicialmente fiquei cético usando este lápis, porque ele continuava pulando as linhas e não respondeu. Mas depois de um tempo, tornou -se tão suave quanto original. Você deve seguir em frente se a sensibilidade à pressão não for o que você está procurando. Com o carregamento sem fio e os atalhos de botões, é o melhor lápis de orçamento. Atualizarei minha revisão para 5 estrelas ⭐️⭐️⭐️⭐️⭐️ depois de usá -lo e testá -lo por um tempo, se ele passar por todo o critério. Obrigado.</v>
      </c>
    </row>
    <row r="586">
      <c r="A586" s="9" t="s">
        <v>2323</v>
      </c>
      <c r="B586" s="29" t="str">
        <f>VLOOKUP(dados!A586, reviews!A:G, 5, FALSE)</f>
        <v>Best value for money,HEAD PHONE POUCH NOT RECEIVED,Overall good in this pricerange,It's not working in my Phone properly Plz help me in exchange or return, I ll be thankful to you,Worth the money 🤑,Best,Nice sound,Wonderful product</v>
      </c>
      <c r="C586" s="29" t="str">
        <f>VLOOKUP(dados!A586, reviews!A:G, 6, FALSE)</f>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v>
      </c>
      <c r="D586" s="29" t="str">
        <f>IFERROR(__xludf.DUMMYFUNCTION("GOOGLETRANSLATE(B586, ""en"", ""pt-br"")"),"Melhor relação custo / benefício, a bolsa de telefone não recebida, em geral, bem nessa priquerange, não está funcionando no meu telefone corretamente, por favor me ajude em troca ou retornar, ficarei agradecido a você, vale o dinheiro 🤑, melhor, bom som"&amp;", maravilhoso produtos")</f>
        <v>Melhor relação custo / benefício, a bolsa de telefone não recebida, em geral, bem nessa priquerange, não está funcionando no meu telefone corretamente, por favor me ajude em troca ou retornar, ficarei agradecido a você, vale o dinheiro 🤑, melhor, bom som, maravilhoso produtos</v>
      </c>
      <c r="E586" s="29" t="str">
        <f>IFERROR(__xludf.DUMMYFUNCTION("GOOGLETRANSLATE(C586, ""en"", ""pt-br"")"),"A qualidade do som deste fone de ouvido é realmente boa. A parte do baixo também era boa. Eu só descobri que o cancelamento de ruído não era o que eu esperava. Pode ser muito melhor. Finalmente, posso dizer que é um bom valor para o dinheiro. meses, eu nã"&amp;"o uso regularmente, mas sempre que uso meus colegas diz que sua voz é clara 😂, Pin que eu me conecto ao telefone é automaticamente para fora. Não funciona. Plz Amazon me ajude. Sou um cliente regular desta empresa. Serei muito grato a você., Ótima qualid"&amp;"ade de som e bom baixo. Cancelamento de ruído decente. Eu não poderia ter pedido fones de ouvido melhores a esse preço., Melhor para jogos, bom e bom produto")</f>
        <v>A qualidade do som deste fone de ouvido é realmente boa. A parte do baixo também era boa. Eu só descobri que o cancelamento de ruído não era o que eu esperava. Pode ser muito melhor. Finalmente, posso dizer que é um bom valor para o dinheiro. meses, eu não uso regularmente, mas sempre que uso meus colegas diz que sua voz é clara 😂, Pin que eu me conecto ao telefone é automaticamente para fora. Não funciona. Plz Amazon me ajude. Sou um cliente regular desta empresa. Serei muito grato a você., Ótima qualidade de som e bom baixo. Cancelamento de ruído decente. Eu não poderia ter pedido fones de ouvido melhores a esse preço., Melhor para jogos, bom e bom produto</v>
      </c>
    </row>
    <row r="587">
      <c r="A587" s="9" t="s">
        <v>2326</v>
      </c>
      <c r="B587" s="29" t="str">
        <f>VLOOKUP(dados!A587, reviews!A:G, 5, FALSE)</f>
        <v>Beast in budget!,Fake negative reviews.,great product under low price range</v>
      </c>
      <c r="C587" s="29" t="str">
        <f>VLOOKUP(dados!A587, reviews!A:G, 6, FALSE)</f>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PUBG.It’s been 2-3 days I used it daily for 6-7 hours on full charge, it has no buttons and it works on touch sensor which was impressive for me and in PUBG it doesn’t give delay as written in the comments, it has a good latency better than what I had expected from the negative comments.Sometimes though I faced the issue where one side of the airdope stops working because it’s either on standby without detecting the user or a bug which is included in the faq/guide/help card in the box I’m satisfied in terms of gaming.For sports like running I wouldn’t recommend because it slips away however maybe u can tie the airdope with a thread attached to ur neck so that it’s safe from landing on the ground I’m gonna try that, please don’t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v>
      </c>
      <c r="D587" s="29" t="str">
        <f>IFERROR(__xludf.DUMMYFUNCTION("GOOGLETRANSLATE(B587, ""en"", ""pt-br"")"),"Besta em Orçamento!, Falsa REVISÕES NEGATIVAS., Ótimo produto sob baixa faixa de preço")</f>
        <v>Besta em Orçamento!, Falsa REVISÕES NEGATIVAS., Ótimo produto sob baixa faixa de preço</v>
      </c>
      <c r="E587" s="29" t="str">
        <f>IFERROR(__xludf.DUMMYFUNCTION("GOOGLETRANSLATE(C587, ""en"", ""pt-br"")"),"Comprei em janeiro, publicando -o em agosto. Então, eu usei quase 6 meses e dando uma revisão honesta. Em curta .. Qualidade do solo é boa. Alto o suficiente em um volume de 50 a 60%. O baixo também está ok. Sempre que necessário, ele produz baixo forte. "&amp;"Geralmente, a qualidade do Balanced.Mic é boa em condições internas, mas em ambiente barulhento você não pode confiar nisso. O recebedor não pode ouvi -lo claramente. Você pode fazer jogos como empresa reivindicando baixa latência, eu mesmo não o testei. "&amp;"Agora, sobre o backup da bateria, a empresa afirma que ela dará backup de bateria de 42 horas com o caso. 6 horas em carga única+36 horas adicionais (6 vezes cobrar por caixa). Mas, em uso prático, ele fornece uma reprodução total de 35 horas. Ele dará ce"&amp;"rca de 5 horas de backup com uma única carga de brotos a 50-60% de volume (se você apenas ouvir música ou assistir a vídeo, mas sem chamadas ou jogos), você pode carregar os fones de ouvido completos 6 vezes por meio de caso: portanto, 30 horas adicionais"&amp;" 30 horas . Apenas um problema com o design, a caixa do tipo de caixa e não é fácil de transportar no bolso. Eu diria que é uma preferência pessoal. Se você gosta de boa aparência, design, então não é para você. Agora, é um preço regular de variais entre "&amp;"Rs 1299-1499. Nesta faixa de preço, também é um dos melhores TWS abaixo de 1500. Vou dizer o porquê. Agora, um dia muitas marcas estão lançando TWS no mercado abaixo de 1500. A maioria deles parece quase semelhante, a diferença é como 19/20 !! Eles estão "&amp;"apenas comercializando seus TWs com enormes horas de backup de bateria e por YouTubers, revisores. 48/50 horas de jogo é apenas um mito. Eu pessoalmente usei Truke (Airbuds Lite, Buds F1), que é de longe a marca mais promissora que reivindica 48 horas de "&amp;"bateria em todos os TWs, mas apenas dá 21 horas. Mesmo outros TWs de barco (Airdopes 121 Pro) que reivindicam 40-45 horas de reprodução dão apenas 25 horas, desafiar a gravidade Z alegando que 50 horas dão apenas 28 horas. Se você estiver impressionado co"&amp;"m a aparência deles e o enorme backup de bateria e pensando em comprá -los, ficará desapontado após a compra. Em vez disso, vá com isso, você não ficará desapontado., Li os comentários negativos primeiro e decidi não comprá -lo porque os comentários dizia"&amp;"m que isso dá alta latência nos jogos como o PUBG e também cai do ouvido durante a corrida. E que a diferença entre o modo normal e a besta tinha uma diferença, mas um pubg youtuber me recomendou isso, então decidi tentar, depois de experimentar. Do que e"&amp;"ste AirDope, mas este AirDope me surpreendeu ao fazer 2x melhor ao fornecer som preciso no PUBG. Impressionante para mim e no PUBG não dá atraso como escrito nos comentários, ele tem uma boa latência melhor do que o que eu esperava dos comentários negativ"&amp;"os. em espera sem detectar o usuário ou um bug que está incluído no cartão de Perguntas frequentes/guia/ajuda na caixa, estou satisfeito em termos de jogos. Amarre o AirDope com um fio preso ao seu pescoço para que fique a salvo de pousar no chão, eu vou "&amp;"tentar isso, por favor, não use os dois airdopes enquanto corre nas estradas com veículos funcionando para sua própria segurança, mantenha um lado de um lado de Seu ouvido livre para ouvir sons do seu ambiente., Prós: 1. O nível de volume que chega, é sim"&amp;"plesmente incrível, pode ficar incrivelmente alto, por isso, se você estiver na academia, estes são perfeitos.2. Bass incrível! 3. O cancelamento de ruído é ótimo, se você simplesmente os colocar sem tocar música, você não poderá ouvir as coisas ao seu re"&amp;"dor, é ótimo para lugares como a ginástica.4. Linda duração da bateria, eu os tive por semana e só tive que carregar o caso uma vez, isso também por apenas alguns minutos. E os próprios fones de ouvido, deixe -os por apenas cinco minutos e você ficará com"&amp;" bateria por um longo tempo. Eles são muito confortáveis, podem ser usados ​​por longos períodos de tempo. Acessível! 7. Os controles de toque são muito receptivos, toque para pausar, toque duas vezes para a próxima música, toque duplo para a esquerda par"&amp;"a rebobinar ou música anterior. Também pode atender chamadas apenas tocando. Várias coberturas de ouvido são fornecidas com isso. Portos do tipo C: 1. A qualidade do som não é ruim ou nada, mas é um pouco abafada em comparação com fones de ouvido de boa q"&amp;"ualidade etc. O baixo é o destaque, por isso é ótimo para música, mas para filmes ou jogos, você não receberá o áudio mais nítido.2. Alguns problemas de conectividade, às vezes tenho que ligar e desligar o Bluetooth muitas vezes para que funcione (isso é "&amp;"ocasional, não uma ocorrência diária ou frequente) [Editar após um mês de uso: agora é uma questão muito frequente] 3. A qualidade do microfone é boa se você estiver usando seu telefone, mas por algum motivo a qualidade é muito ruim se você estiver no PC4"&amp;". Às vezes, no WhatsApp, o microfone não será detectado se você estiver de plantão com esses fones de ouvido; portanto, você terá que retirá -los para aceitar uma chamada às vezes. (Não é um problema se você é o único discando) Espero que seja apenas um p"&amp;"roblema do WhatsApp, em vez de os fones de ouvido. para música e/ou como uma opção mais acessível em comparação com JBL etc.")</f>
        <v>Comprei em janeiro, publicando -o em agosto. Então, eu usei quase 6 meses e dando uma revisão honesta. Em curta .. Qualidade do solo é boa. Alto o suficiente em um volume de 50 a 60%. O baixo também está ok. Sempre que necessário, ele produz baixo forte. Geralmente, a qualidade do Balanced.Mic é boa em condições internas, mas em ambiente barulhento você não pode confiar nisso. O recebedor não pode ouvi -lo claramente. Você pode fazer jogos como empresa reivindicando baixa latência, eu mesmo não o testei. Agora, sobre o backup da bateria, a empresa afirma que ela dará backup de bateria de 42 horas com o caso. 6 horas em carga única+36 horas adicionais (6 vezes cobrar por caixa). Mas, em uso prático, ele fornece uma reprodução total de 35 horas. Ele dará cerca de 5 horas de backup com uma única carga de brotos a 50-60% de volume (se você apenas ouvir música ou assistir a vídeo, mas sem chamadas ou jogos), você pode carregar os fones de ouvido completos 6 vezes por meio de caso: portanto, 30 horas adicionais 30 horas . Apenas um problema com o design, a caixa do tipo de caixa e não é fácil de transportar no bolso. Eu diria que é uma preferência pessoal. Se você gosta de boa aparência, design, então não é para você. Agora, é um preço regular de variais entre Rs 1299-1499. Nesta faixa de preço, também é um dos melhores TWS abaixo de 1500. Vou dizer o porquê. Agora, um dia muitas marcas estão lançando TWS no mercado abaixo de 1500. A maioria deles parece quase semelhante, a diferença é como 19/20 !! Eles estão apenas comercializando seus TWs com enormes horas de backup de bateria e por YouTubers, revisores. 48/50 horas de jogo é apenas um mito. Eu pessoalmente usei Truke (Airbuds Lite, Buds F1), que é de longe a marca mais promissora que reivindica 48 horas de bateria em todos os TWs, mas apenas dá 21 horas. Mesmo outros TWs de barco (Airdopes 121 Pro) que reivindicam 40-45 horas de reprodução dão apenas 25 horas, desafiar a gravidade Z alegando que 50 horas dão apenas 28 horas. Se você estiver impressionado com a aparência deles e o enorme backup de bateria e pensando em comprá -los, ficará desapontado após a compra. Em vez disso, vá com isso, você não ficará desapontado., Li os comentários negativos primeiro e decidi não comprá -lo porque os comentários diziam que isso dá alta latência nos jogos como o PUBG e também cai do ouvido durante a corrida. E que a diferença entre o modo normal e a besta tinha uma diferença, mas um pubg youtuber me recomendou isso, então decidi tentar, depois de experimentar. Do que este AirDope, mas este AirDope me surpreendeu ao fazer 2x melhor ao fornecer som preciso no PUBG. Impressionante para mim e no PUBG não dá atraso como escrito nos comentários, ele tem uma boa latência melhor do que o que eu esperava dos comentários negativos. em espera sem detectar o usuário ou um bug que está incluído no cartão de Perguntas frequentes/guia/ajuda na caixa, estou satisfeito em termos de jogos. Amarre o AirDope com um fio preso ao seu pescoço para que fique a salvo de pousar no chão, eu vou tentar isso, por favor, não use os dois airdopes enquanto corre nas estradas com veículos funcionando para sua própria segurança, mantenha um lado de um lado de Seu ouvido livre para ouvir sons do seu ambiente., Prós: 1. O nível de volume que chega, é simplesmente incrível, pode ficar incrivelmente alto, por isso, se você estiver na academia, estes são perfeitos.2. Bass incrível! 3. O cancelamento de ruído é ótimo, se você simplesmente os colocar sem tocar música, você não poderá ouvir as coisas ao seu redor, é ótimo para lugares como a ginástica.4. Linda duração da bateria, eu os tive por semana e só tive que carregar o caso uma vez, isso também por apenas alguns minutos. E os próprios fones de ouvido, deixe -os por apenas cinco minutos e você ficará com bateria por um longo tempo. Eles são muito confortáveis, podem ser usados ​​por longos períodos de tempo. Acessível! 7. Os controles de toque são muito receptivos, toque para pausar, toque duas vezes para a próxima música, toque duplo para a esquerda para rebobinar ou música anterior. Também pode atender chamadas apenas tocando. Várias coberturas de ouvido são fornecidas com isso. Portos do tipo C: 1. A qualidade do som não é ruim ou nada, mas é um pouco abafada em comparação com fones de ouvido de boa qualidade etc. O baixo é o destaque, por isso é ótimo para música, mas para filmes ou jogos, você não receberá o áudio mais nítido.2. Alguns problemas de conectividade, às vezes tenho que ligar e desligar o Bluetooth muitas vezes para que funcione (isso é ocasional, não uma ocorrência diária ou frequente) [Editar após um mês de uso: agora é uma questão muito frequente] 3. A qualidade do microfone é boa se você estiver usando seu telefone, mas por algum motivo a qualidade é muito ruim se você estiver no PC4. Às vezes, no WhatsApp, o microfone não será detectado se você estiver de plantão com esses fones de ouvido; portanto, você terá que retirá -los para aceitar uma chamada às vezes. (Não é um problema se você é o único discando) Espero que seja apenas um problema do WhatsApp, em vez de os fones de ouvido. para música e/ou como uma opção mais acessível em comparação com JBL etc.</v>
      </c>
    </row>
    <row r="588">
      <c r="A588" s="9" t="s">
        <v>1393</v>
      </c>
      <c r="B588" s="29" t="str">
        <f>VLOOKUP(dados!A588, reviews!A:G, 5, FALSE)</f>
        <v>7-8/10, Decent, good for day to day use,Good choice under budget of Rs2000,Average product.,Budget friendly,Overall it's a good watch,Good product,Best in design, accuracy and looks fancy. A must buy for every person who is watch enthusiast.,Having a great experience</v>
      </c>
      <c r="C588" s="29" t="str">
        <f>VLOOKUP(dados!A588, reviews!A:G, 6, FALSE)</f>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v>
      </c>
      <c r="D588" s="29" t="str">
        <f>IFERROR(__xludf.DUMMYFUNCTION("GOOGLETRANSLATE(B588, ""en"", ""pt-br"")"),"7-8/10, decente, bom para uso diário, boa escolha sob orçamento de Rs2000, produto médio., Friendia ao orçamento, no geral é um bom relógio, bom produto, melhor em design, precisão e parece chique. Um deve comprar para cada pessoa que está assistindo entu"&amp;"siasta., Ter uma ótima experiência")</f>
        <v>7-8/10, decente, bom para uso diário, boa escolha sob orçamento de Rs2000, produto médio., Friendia ao orçamento, no geral é um bom relógio, bom produto, melhor em design, precisão e parece chique. Um deve comprar para cada pessoa que está assistindo entusiasta., Ter uma ótima experiência</v>
      </c>
      <c r="E588" s="29" t="str">
        <f>IFERROR(__xludf.DUMMYFUNCTION("GOOGLETRANSLATE(C588, ""en"", ""pt-br"")"),"REVISÃO DE 2 MESES- Está funcionando bem, não há problema a partir de agora .. Algumas coisas- o rastreamento de etapas inteiras, eu comprei por esse motivo, isso basicamente não me satisfaz com esse nível com isso, mas isso Conta as etapas com precisão n"&amp;"o modo de caminhada (atividade), ela tem alguns arranhões. Só podemos ter 2, 1 personalização e 1 download do aplicativo (que tem opções limitadas), os outros fundos são apenas .. eh ... os looks, eu vou dar 9/10, é uma tela de toque diferente de boa apar"&amp;"ência é boa O rastreamento do sono também é meio preciso (eu ainda não entendi tão bem lol) A duração da bateria é Muah, eu a uso sem Bluetooth e ele sobrevive facilmente por 6-7 diasspo2 e freqüência cardíaca, eu apenas acredito no que diz que posso Não "&amp;"verifique se isso está correto. , estou bastante satisfeito com isso como meu primeiro relógio inteligente 😗, usei este produto por 4 dias e vou classificar os vários recursos e diferentes aspectos deste smartwatch, que podem ajudar os clientes aqui -ent"&amp;"ão, Bluetooth Chamando (4/5) - O microfone embutido deste relógio é excelente e a voz chega ao outro lado sem qualquer perturbação, o relógio se conecta sem problemas com o celular e não se desconecte automaticamente até fazer isso por meio de relógio ou "&amp;"telefone . Somente o golpe é que você não pode silenciar a chamada que é irritante em algum momento, espero que eles o corram com uma atualização. A melhor coisa é que também parece bom nos pulsos magros (pobre em mim, com pulso de 5,6 polegadas). Somente"&amp;" o golpe é que você pode fazer arranhões em exibição, portanto, proteja com ela algum tipo de tela de tela. Aposto que você não terá nenhuma experiência lenta. Conte etapas com precisão decente também. A precisão do sono também é aceitável. excelente. A v"&amp;"oz chega ao outro lado sem nenhum distúrbio. A qualidade de construção é boa sobre os pulsos, mas você pode fazer arranhões na tela; portanto, proteja -o com algum guarda de tela. Você deve ir para este relógio, se quiser um smartwatch para o orçamento ab"&amp;"aixo de 2000., é um bom relógio, mas eu enfrentei dois problemas, o primeiro é que não há nenhum recurso de aumento para acordar e o segundo é que não há não haver Opção para silenciar quando alguém te ligar ... acho que você deve comprá -lo se, na futura"&amp;" empresa, adicionar esses dois recursos ..., eu comprei recentemente o relógio Fire Boltt Phoenix e estou muito feliz com minha compra. O relógio é bastante elegante, e eu recebo elogios toda vez que o uso. O relógio também é bastante confortável de usar,"&amp;" e a alça é ajustável para caber em qualquer tamanho de pulso. O relógio também tem uma ótima duração da bateria, e eu posso passar dias sem ter que carregá -lo. O relógio também possui vários recursos, incluindo um contador de etapas, monitor de freqüênc"&amp;"ia cardíaca e rastreador de sono. Todos esses recursos são muito úteis e facilitam o rastreamento da minha atividade e da saúde. No geral, estou muito satisfeito com minha compra e recomendo o relógio Fire Boltt Phoenix para quem procura um relógio elegan"&amp;"te e funcional., Este relógio é absolutamente impressionante e de ótimo valor para o dinheiro. Realmente satisfeito com o design e a forma do relógio, definitivamente uma compra obrigatória para todas as pessoas. Louse a cor, a durabilidade e a precisão é"&amp;" super 👍. Basta ir em frente., Gostei do produto, ele possui muitos recursos como rastreamento de sono, SP02, medição de freqüência cardíaca, tocador de música, verificador de temperatura, meu único nitpick seria que ele só tem 2 jogos e, em segundo luga"&amp;"r, tem bons papéis de parede, mas um ben 10 Papel de parede Omnitrix daria uma aparência ainda mais incrível")</f>
        <v>REVISÃO DE 2 MESES- Está funcionando bem, não há problema a partir de agora .. Algumas coisas- o rastreamento de etapas inteiras, eu comprei por esse motivo, isso basicamente não me satisfaz com esse nível com isso, mas isso Conta as etapas com precisão no modo de caminhada (atividade), ela tem alguns arranhões. Só podemos ter 2, 1 personalização e 1 download do aplicativo (que tem opções limitadas), os outros fundos são apenas .. eh ... os looks, eu vou dar 9/10, é uma tela de toque diferente de boa aparência é boa O rastreamento do sono também é meio preciso (eu ainda não entendi tão bem lol) A duração da bateria é Muah, eu a uso sem Bluetooth e ele sobrevive facilmente por 6-7 diasspo2 e freqüência cardíaca, eu apenas acredito no que diz que posso Não verifique se isso está correto. , estou bastante satisfeito com isso como meu primeiro relógio inteligente 😗, usei este produto por 4 dias e vou classificar os vários recursos e diferentes aspectos deste smartwatch, que podem ajudar os clientes aqui -então, Bluetooth Chamando (4/5) - O microfone embutido deste relógio é excelente e a voz chega ao outro lado sem qualquer perturbação, o relógio se conecta sem problemas com o celular e não se desconecte automaticamente até fazer isso por meio de relógio ou telefone . Somente o golpe é que você não pode silenciar a chamada que é irritante em algum momento, espero que eles o corram com uma atualização. A melhor coisa é que também parece bom nos pulsos magros (pobre em mim, com pulso de 5,6 polegadas). Somente o golpe é que você pode fazer arranhões em exibição, portanto, proteja com ela algum tipo de tela de tela. Aposto que você não terá nenhuma experiência lenta. Conte etapas com precisão decente também. A precisão do sono também é aceitável. excelente. A voz chega ao outro lado sem nenhum distúrbio. A qualidade de construção é boa sobre os pulsos, mas você pode fazer arranhões na tela; portanto, proteja -o com algum guarda de tela. Você deve ir para este relógio, se quiser um smartwatch para o orçamento abaixo de 2000., é um bom relógio, mas eu enfrentei dois problemas, o primeiro é que não há nenhum recurso de aumento para acordar e o segundo é que não há não haver Opção para silenciar quando alguém te ligar ... acho que você deve comprá -lo se, na futura empresa, adicionar esses dois recursos ..., eu comprei recentemente o relógio Fire Boltt Phoenix e estou muito feliz com minha compra. O relógio é bastante elegante, e eu recebo elogios toda vez que o uso. O relógio também é bastante confortável de usar, e a alça é ajustável para caber em qualquer tamanho de pulso. O relógio também tem uma ótima duração da bateria, e eu posso passar dias sem ter que carregá -lo. O relógio também possui vários recursos, incluindo um contador de etapas, monitor de freqüência cardíaca e rastreador de sono. Todos esses recursos são muito úteis e facilitam o rastreamento da minha atividade e da saúde. No geral, estou muito satisfeito com minha compra e recomendo o relógio Fire Boltt Phoenix para quem procura um relógio elegante e funcional., Este relógio é absolutamente impressionante e de ótimo valor para o dinheiro. Realmente satisfeito com o design e a forma do relógio, definitivamente uma compra obrigatória para todas as pessoas. Louse a cor, a durabilidade e a precisão é super 👍. Basta ir em frente., Gostei do produto, ele possui muitos recursos como rastreamento de sono, SP02, medição de freqüência cardíaca, tocador de música, verificador de temperatura, meu único nitpick seria que ele só tem 2 jogos e, em segundo lugar, tem bons papéis de parede, mas um ben 10 Papel de parede Omnitrix daria uma aparência ainda mais incrível</v>
      </c>
    </row>
    <row r="589">
      <c r="A589" s="9" t="s">
        <v>1397</v>
      </c>
      <c r="B589" s="29" t="str">
        <f>VLOOKUP(dados!A589, reviews!A:G, 5, FALSE)</f>
        <v>Not Polished Enough. (Improving with updates),Best for the budget 👍,Value of money,nice product,Good product,Super value for money,Awesome product,Product itv</v>
      </c>
      <c r="C589" s="29" t="str">
        <f>VLOOKUP(dados!A589, reviews!A:G, 6, FALSE)</f>
        <v>[Update: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v>
      </c>
      <c r="D589" s="29" t="str">
        <f>IFERROR(__xludf.DUMMYFUNCTION("GOOGLETRANSLATE(B589, ""en"", ""pt-br"")"),"Não polido o suficiente. (Melhorando com atualizações), melhor para o orçamento 👍, valor do dinheiro, bom produto, bom produto, super valor ao dinheiro, produto incrível, produto ITV")</f>
        <v>Não polido o suficiente. (Melhorando com atualizações), melhor para o orçamento 👍, valor do dinheiro, bom produto, bom produto, super valor ao dinheiro, produto incrível, produto ITV</v>
      </c>
      <c r="E589" s="29" t="str">
        <f>IFERROR(__xludf.DUMMYFUNCTION("GOOGLETRANSLATE(C589, ""en"", ""pt-br"")"),"[Atualização: 29 de setembro] O barco parece ter ouvido o feedback 😀 e atualizado os rostos do relógio. Agora, existem alguns bons para escolher, mas uma ligeira melhora em relação àqueles que o relógio já teve. Um pouco impressionado. Adicionou uma estr"&amp;"ela para isso. Não é um produto muito polido. As fontes são brega e parecem feias no texto do texto do texto e do nome do nome do chamador. Os rostos do relógio são um trabalho de design preguiçoso. Não faz sentido ter 150 rostos de relógio se apenas 10-2"&amp;"0 forem bons ou utilizáveis. REST é inútil. [Atualização: 11 de outubro] O barco parece estar em uma onda de lançamento do Smartwatch. E graças a isso, eles estão constantemente atualizando o aplicativo de telefone e os rostos do relógio. Agora você tem m"&amp;"uitos rostos de relógio de boa aparência para escolher. Então, no geral, ainda a interface do usuário do SmartWatch precisa de trabalho. Mas pelo menos você tem um bom relógio faces. Eles poderiam ter tentado fazer alguma reforma no software chinês. Mas é"&amp;" um trabalho claramente preguiçoso da equipe de tecnologia. Um trabalho de cola de cópia para ser preciso para obter um software terceirizado e rebocar-o com logotipos de marca. Novamente, um trabalho da equipe de design / tecnologia / UI. O barco não pos"&amp;"sui uma boa equipe de designers e caras da interface do usuário para realmente oferecer recursos de software simples, porém bons, como bons rostos de relógio e bom relógio. Mesmo intervalo. Ruído colorfit pulse go buzz é mais barato e melhor alternativa +"&amp;" tem melhor relógio rostos e interface de usuário e resposta rápida às notificações e chama as opções de silêncio e mudo para preços mais baixos que este relógio claramente perdeu. Você pode optar por chamada de onda de barco - ele não é Um relógio ruim, "&amp;"mas há melhores opções disponíveis para o preço. Seus produtos são bons, mas a interface do usuário e o design são o que as pessoas veem e é isso que as faz se sentir bem com seus produtos. Você tem realmente uma interface do usuário médio., O relógio de "&amp;"chamada de ondas de barco é o melhor para o orçamento. peso. Touch é suave. Todos os recursos são 90-95% precisos., Um bom produto nessa faixa de preço deve comprar a qualidade da Itgood, boa qualidade, o bom produto é MST H, média para chamar de boa apar"&amp;"ência, estou muito feliz em comprar este relógio! É muito acessível ter tantos recursos. O recurso de chamada funciona muito bem! No geral, se você estiver com uma marca tão boa e bons recursos, vá para isso .., o produto não vira o retorno, retorne o ite"&amp;"m. Por favor.")</f>
        <v>[Atualização: 29 de setembro] O barco parece ter ouvido o feedback 😀 e atualizado os rostos do relógio. Agora, existem alguns bons para escolher, mas uma ligeira melhora em relação àqueles que o relógio já teve. Um pouco impressionado. Adicionou uma estrela para isso. Não é um produto muito polido. As fontes são brega e parecem feias no texto do texto do texto e do nome do nome do chamador. Os rostos do relógio são um trabalho de design preguiçoso. Não faz sentido ter 150 rostos de relógio se apenas 10-20 forem bons ou utilizáveis. REST é inútil. [Atualização: 11 de outubro] O barco parece estar em uma onda de lançamento do Smartwatch. E graças a isso, eles estão constantemente atualizando o aplicativo de telefone e os rostos do relógio. Agora você tem muitos rostos de relógio de boa aparência para escolher. Então, no geral, ainda a interface do usuário do SmartWatch precisa de trabalho. Mas pelo menos você tem um bom relógio faces. Eles poderiam ter tentado fazer alguma reforma no software chinês. Mas é um trabalho claramente preguiçoso da equipe de tecnologia. Um trabalho de cola de cópia para ser preciso para obter um software terceirizado e rebocar-o com logotipos de marca. Novamente, um trabalho da equipe de design / tecnologia / UI. O barco não possui uma boa equipe de designers e caras da interface do usuário para realmente oferecer recursos de software simples, porém bons, como bons rostos de relógio e bom relógio. Mesmo intervalo. Ruído colorfit pulse go buzz é mais barato e melhor alternativa + tem melhor relógio rostos e interface de usuário e resposta rápida às notificações e chama as opções de silêncio e mudo para preços mais baixos que este relógio claramente perdeu. Você pode optar por chamada de onda de barco - ele não é Um relógio ruim, mas há melhores opções disponíveis para o preço. Seus produtos são bons, mas a interface do usuário e o design são o que as pessoas veem e é isso que as faz se sentir bem com seus produtos. Você tem realmente uma interface do usuário médio., O relógio de chamada de ondas de barco é o melhor para o orçamento. peso. Touch é suave. Todos os recursos são 90-95% precisos., Um bom produto nessa faixa de preço deve comprar a qualidade da Itgood, boa qualidade, o bom produto é MST H, média para chamar de boa aparência, estou muito feliz em comprar este relógio! É muito acessível ter tantos recursos. O recurso de chamada funciona muito bem! No geral, se você estiver com uma marca tão boa e bons recursos, vá para isso .., o produto não vira o retorno, retorne o item. Por favor.</v>
      </c>
    </row>
    <row r="590">
      <c r="A590" s="9" t="s">
        <v>2332</v>
      </c>
      <c r="B590" s="29" t="str">
        <f>VLOOKUP(dados!A590, reviews!A:G, 5, FALSE)</f>
        <v>Good product,Affordable,Good,Reding speed is only under 22mb/s,Good product 👍,good,Good product and value for money,All about it is very good product in suitable price.</v>
      </c>
      <c r="C590" s="29" t="str">
        <f>VLOOKUP(dados!A590, reviews!A:G, 6, FALSE)</f>
        <v>Very chip very good,Really happy to buy this pen drive comparatively with low cost,Very good,Storage capacity is good,Like,good,Good product and value for money,It's all good , you can vo for it.</v>
      </c>
      <c r="D590" s="29" t="str">
        <f>IFERROR(__xludf.DUMMYFUNCTION("GOOGLETRANSLATE(B590, ""en"", ""pt-br"")"),"Bom produto, a velocidade acessível, boa e de redefinir é de apenas 22 MB/s, bom produto 👍, bom, bom produto e valor pelo dinheiro, tudo sobre isso é um produto muito bom em preço adequado.")</f>
        <v>Bom produto, a velocidade acessível, boa e de redefinir é de apenas 22 MB/s, bom produto 👍, bom, bom produto e valor pelo dinheiro, tudo sobre isso é um produto muito bom em preço adequado.</v>
      </c>
      <c r="E590" s="29" t="str">
        <f>IFERROR(__xludf.DUMMYFUNCTION("GOOGLETRANSLATE(C590, ""en"", ""pt-br"")"),"Muito chip muito bom, muito feliz em comprar essa unidade de caneta comparativamente com baixo custo, muito bom, a capacidade de armazenamento é boa, como, bom, bom produto e valor para o dinheiro, tudo é bom, você pode vo para isso.")</f>
        <v>Muito chip muito bom, muito feliz em comprar essa unidade de caneta comparativamente com baixo custo, muito bom, a capacidade de armazenamento é boa, como, bom, bom produto e valor para o dinheiro, tudo é bom, você pode vo para isso.</v>
      </c>
    </row>
    <row r="591">
      <c r="A591" s="9" t="s">
        <v>2339</v>
      </c>
      <c r="B591" s="29" t="str">
        <f>VLOOKUP(dados!A591, reviews!A:G, 5, FALSE)</f>
        <v>Small, not too heavy, good looking.,Quality of material,Nice product,Good,One of the Best Mouse for the price,Good holding good dpi easy to use,Value for money,Nice mouse</v>
      </c>
      <c r="C591" s="29" t="str">
        <f>VLOOKUP(dados!A591, reviews!A:G, 6, FALSE)</f>
        <v>Hi guys! Bought this yesterday, so haven’t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v>
      </c>
      <c r="D591" s="29" t="str">
        <f>IFERROR(__xludf.DUMMYFUNCTION("GOOGLETRANSLATE(B591, ""en"", ""pt-br"")"),"Pequeno, não muito pesado, bonito., Qualidade do material, bom produto, bom, um dos melhores mouse pelo preço, bom retenção de bom dpi fácil de usar, valor para dinheiro, bom mouse")</f>
        <v>Pequeno, não muito pesado, bonito., Qualidade do material, bom produto, bom, um dos melhores mouse pelo preço, bom retenção de bom dpi fácil de usar, valor para dinheiro, bom mouse</v>
      </c>
      <c r="E591" s="29" t="str">
        <f>IFERROR(__xludf.DUMMYFUNCTION("GOOGLETRANSLATE(C591, ""en"", ""pt-br"")"),"Oi, pessoal! Comprei isso ontem, então não o usou muito, então uma revisão antecipada. Mas a revisão mais detalhada, por isso, leia até o fim. Pontos muito importantes são mencionados. Olhe são fofos! Parece muito bom e elegante. Estou usando -o com um Ma"&amp;"cBook Air. Até agora, parece que não há problemas para usá -lo. A rolagem é suave, a conexão não cai e não há atraso. A conexão é instantânea. Não é necessário emparelhamento. É plug and play junto com o dongle fornecido com ele. Fica baixo na mesa, parec"&amp;"e pesado, mas não de uma maneira errada. A bateria aumenta o peso, mas eu já usei ratos mais pesados ​​antes, e este parece certo. Tem uma boa aderência. Nada para reclamar sobre isso. Mas os cliques são bons e os cliques são satisfatórios, não muito baru"&amp;"lhentos; Eles estão certos. A roda de rolagem não parece nada barata, embora eu acredite que poderia ter sido melhor qualidade. O corpo está acabado mate e não deixa impressões digitais, embora se você seja alguém que come e lida com o mouse, ele mostrará"&amp;" as impressões de óleo e isso é verdade com qualquer periférico. O mouse não se sente barato no geral, mas é definitivamente plástico, embora não no sentido ruim. Definitivamente, não é barato parece sábio. Há um interruptor ligado, que é útil, o que é út"&amp;"il para salvar a bateria (que está incluída) quando o mouse não está em uso. Não há luz no fundo, o que é bom se você tiver filhos em casa que continuam jogando o mouse e olhando para a luz super brilhante. Então isso é uma coisa boa e uma vantagem defini"&amp;"tiva! A forma e o tamanho gerais funcionam a favor do mouse, e uma variedade de usuários com palmeiras pequenas e grandes ficará satisfeita com ele. Agora, com uma grande falha. O mouse se conecta apenas embora seu próprio dongle USB (que, por sinal, vem "&amp;"escondido dentro do corpo do próprio mouse, dentro da porta da bateria, que eu achei impressionante impressionante) e não através do Bluetooth do laptop. Agora, isso significa duas coisas: 1. Você precisa carregar o dongle USB com você onde quer que vá, o"&amp;" que significa que se você o esquece em casa enquanto viaja e carrega apenas o mouse, então o mouse é praticamente inútil nesse cenário . E pior ainda, se você o levar para fora da estação com você e trazer de volta apenas o mouse e esquecer de embalar o "&amp;"dongle, então você está preso e acho Verifique isso com o vendedor) e, em seguida, o mouse fica inútil nesse caso. 2. Agora, para o problema que estou enfrentando, que eu não vi mais ninguém mencionando em suas críticas. Eu uso um MacBook, por isso não po"&amp;"ssui entradas USB-C, o que significa que você deve comprar um conector para conectar o dongle. Na verdade, eu já havia comprado um conector, então isso não foi um problema para mim, mas você terá que levar em consideração o custo do conector, o que não é "&amp;"barato, porque você deseja comprar apenas conector de boa qualidade para o seu caro MacBook. É claro que isso é um problema com o MacBook e não com o mouse, mas considere esse ponto. É muito importante. Não se conectará ao Bluetooth do MacBook. Caso contr"&amp;"ário, funciona bem com o MacBook. A única ressalva que encontrei é a velocidade de rastreamento no nível 2 é muito lenta e no nível 3 é muito rápido. Você terá que se acostumar com essa coisa. Não parece muito natural (como o trackpad no MacBook sente) po"&amp;"r causa desse problema de velocidade, mas, caso contrário, o ponteiro flui suavemente na tela e não pula, pelo menos com meu mouse. Além disso, a porta da bateria faz um barulho ao pousar o mouse na almofada, e sinto que poderia ter sido melhorado. Mas ac"&amp;"ho que, com o custo, você realmente não pode reclamar demais. No geral, acho que uma boa compra, mas a compulsão de ter que usá -la com seu próprio dongle é uma grande desvantagem que sinto. Se isso não o incomoda, nada mais deve impedir que você compre e"&amp;"ste produto, especialmente porque é um dos ratos sem fio mais baratos por aí a menos de 600 dólares, que é o que me custou., A qualidade do botão liga / desliga é muito baixo facilmente, ele pode quebrar, um bom produto, funciona como esperado a partir de"&amp;" agora sem problemas, bom, muito suave, funciona em quase todas Os botões (cliques direito/esquerdo) não incomodarão a maioria de vocês, eu sou um pouco obsessivo com esse tipo de coisa, então ... [pessoalmente, abri o mouse e enfiei um papel dentro do pl"&amp;"ástico que pressiona o botão Click, resultando em nenhum som de chocalho. Agora, o mouse só faz o som quando você clica nos botões, (clique em clique em clique)] Sabe -se que a duração da bateria da Logitech é muito boa., Qualidade boa, dpi boa, boa preci"&amp;"são no interruptor disponível, suave, bom, bom a um preço razoável. , bom produto no qual você pode usar por muito tempo, este é um bom mouse, graças à Amazon por fornecer este produto a um preço razoável. Mouse de trabalho muito nítido e correto.")</f>
        <v>Oi, pessoal! Comprei isso ontem, então não o usou muito, então uma revisão antecipada. Mas a revisão mais detalhada, por isso, leia até o fim. Pontos muito importantes são mencionados. Olhe são fofos! Parece muito bom e elegante. Estou usando -o com um MacBook Air. Até agora, parece que não há problemas para usá -lo. A rolagem é suave, a conexão não cai e não há atraso. A conexão é instantânea. Não é necessário emparelhamento. É plug and play junto com o dongle fornecido com ele. Fica baixo na mesa, parece pesado, mas não de uma maneira errada. A bateria aumenta o peso, mas eu já usei ratos mais pesados ​​antes, e este parece certo. Tem uma boa aderência. Nada para reclamar sobre isso. Mas os cliques são bons e os cliques são satisfatórios, não muito barulhentos; Eles estão certos. A roda de rolagem não parece nada barata, embora eu acredite que poderia ter sido melhor qualidade. O corpo está acabado mate e não deixa impressões digitais, embora se você seja alguém que come e lida com o mouse, ele mostrará as impressões de óleo e isso é verdade com qualquer periférico. O mouse não se sente barato no geral, mas é definitivamente plástico, embora não no sentido ruim. Definitivamente, não é barato parece sábio. Há um interruptor ligado, que é útil, o que é útil para salvar a bateria (que está incluída) quando o mouse não está em uso. Não há luz no fundo, o que é bom se você tiver filhos em casa que continuam jogando o mouse e olhando para a luz super brilhante. Então isso é uma coisa boa e uma vantagem definitiva! A forma e o tamanho gerais funcionam a favor do mouse, e uma variedade de usuários com palmeiras pequenas e grandes ficará satisfeita com ele. Agora, com uma grande falha. O mouse se conecta apenas embora seu próprio dongle USB (que, por sinal, vem escondido dentro do corpo do próprio mouse, dentro da porta da bateria, que eu achei impressionante impressionante) e não através do Bluetooth do laptop. Agora, isso significa duas coisas: 1. Você precisa carregar o dongle USB com você onde quer que vá, o que significa que se você o esquece em casa enquanto viaja e carrega apenas o mouse, então o mouse é praticamente inútil nesse cenário . E pior ainda, se você o levar para fora da estação com você e trazer de volta apenas o mouse e esquecer de embalar o dongle, então você está preso e acho Verifique isso com o vendedor) e, em seguida, o mouse fica inútil nesse caso. 2. Agora, para o problema que estou enfrentando, que eu não vi mais ninguém mencionando em suas críticas. Eu uso um MacBook, por isso não possui entradas USB-C, o que significa que você deve comprar um conector para conectar o dongle. Na verdade, eu já havia comprado um conector, então isso não foi um problema para mim, mas você terá que levar em consideração o custo do conector, o que não é barato, porque você deseja comprar apenas conector de boa qualidade para o seu caro MacBook. É claro que isso é um problema com o MacBook e não com o mouse, mas considere esse ponto. É muito importante. Não se conectará ao Bluetooth do MacBook. Caso contrário, funciona bem com o MacBook. A única ressalva que encontrei é a velocidade de rastreamento no nível 2 é muito lenta e no nível 3 é muito rápido. Você terá que se acostumar com essa coisa. Não parece muito natural (como o trackpad no MacBook sente) por causa desse problema de velocidade, mas, caso contrário, o ponteiro flui suavemente na tela e não pula, pelo menos com meu mouse. Além disso, a porta da bateria faz um barulho ao pousar o mouse na almofada, e sinto que poderia ter sido melhorado. Mas acho que, com o custo, você realmente não pode reclamar demais. No geral, acho que uma boa compra, mas a compulsão de ter que usá -la com seu próprio dongle é uma grande desvantagem que sinto. Se isso não o incomoda, nada mais deve impedir que você compre este produto, especialmente porque é um dos ratos sem fio mais baratos por aí a menos de 600 dólares, que é o que me custou., A qualidade do botão liga / desliga é muito baixo facilmente, ele pode quebrar, um bom produto, funciona como esperado a partir de agora sem problemas, bom, muito suave, funciona em quase todas Os botões (cliques direito/esquerdo) não incomodarão a maioria de vocês, eu sou um pouco obsessivo com esse tipo de coisa, então ... [pessoalmente, abri o mouse e enfiei um papel dentro do plástico que pressiona o botão Click, resultando em nenhum som de chocalho. Agora, o mouse só faz o som quando você clica nos botões, (clique em clique em clique)] Sabe -se que a duração da bateria da Logitech é muito boa., Qualidade boa, dpi boa, boa precisão no interruptor disponível, suave, bom, bom a um preço razoável. , bom produto no qual você pode usar por muito tempo, este é um bom mouse, graças à Amazon por fornecer este produto a um preço razoável. Mouse de trabalho muito nítido e correto.</v>
      </c>
    </row>
    <row r="592">
      <c r="A592" s="9" t="s">
        <v>2346</v>
      </c>
      <c r="B592" s="29" t="str">
        <f>VLOOKUP(dados!A592, reviews!A:G, 5, FALSE)</f>
        <v>Good Product,Good,Excellent Product!,Please check before replacing...,Save Trees,overall, a good buy,Save tree,Very nice product</v>
      </c>
      <c r="C592" s="29" t="str">
        <f>VLOOKUP(dados!A592, reviews!A:G, 6, FALSE)</f>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 overall good product thank you amazon,So far so good , a good alternative for paper  it works fine ... let's see how long it will last .,Nice for kids to play with,Nice,Awesome my son like it very much</v>
      </c>
      <c r="D592" s="29" t="str">
        <f>IFERROR(__xludf.DUMMYFUNCTION("GOOGLETRANSLATE(B592, ""en"", ""pt-br"")"),"Bom produto, bom e excelente produto!, Verifique antes de substituir ..., salvar árvores, em geral, uma boa compra, salvar árvore, um produto muito bom")</f>
        <v>Bom produto, bom e excelente produto!, Verifique antes de substituir ..., salvar árvores, em geral, uma boa compra, salvar árvore, um produto muito bom</v>
      </c>
      <c r="E592" s="29" t="str">
        <f>IFERROR(__xludf.DUMMYFUNCTION("GOOGLETRANSLATE(C592, ""en"", ""pt-br"")"),"O produto é bom, no entanto, uma vez que recebi um com um pequeno solavanco e o substituí para receber um que não apagará uma parte da tela. O produto é muito útil e fácil de usar. No entanto, você teria que substituir algumas vezes para receber um produt"&amp;"o de bom estado., Fácil de usar e, como o compramos duas semanas antes. pelo menos dois meses!, É divertido com aprendizado sustentável para crianças. Encomendei dois tablets para meus gêmeos e ambos estão gostando., No início, o botão de exclusão não foi"&amp;" funcionado, então eu pensei que o produto está danificado, mas há botão de tela de bloqueio na parte traseira e seu bloqueado 🙃 Bom produto em geral, obrigado Amazon, até agora bem , uma boa alternativa para o papel, funciona bem ... vamos ver quanto te"&amp;"mpo vai durar., Bom para as crianças brincarem, legal, incrível meu filho gosta muito")</f>
        <v>O produto é bom, no entanto, uma vez que recebi um com um pequeno solavanco e o substituí para receber um que não apagará uma parte da tela. O produto é muito útil e fácil de usar. No entanto, você teria que substituir algumas vezes para receber um produto de bom estado., Fácil de usar e, como o compramos duas semanas antes. pelo menos dois meses!, É divertido com aprendizado sustentável para crianças. Encomendei dois tablets para meus gêmeos e ambos estão gostando., No início, o botão de exclusão não foi funcionado, então eu pensei que o produto está danificado, mas há botão de tela de bloqueio na parte traseira e seu bloqueado 🙃 Bom produto em geral, obrigado Amazon, até agora bem , uma boa alternativa para o papel, funciona bem ... vamos ver quanto tempo vai durar., Bom para as crianças brincarem, legal, incrível meu filho gosta muito</v>
      </c>
    </row>
    <row r="593">
      <c r="A593" s="9" t="s">
        <v>2352</v>
      </c>
      <c r="B593" s="29" t="str">
        <f>VLOOKUP(dados!A593, reviews!A:G, 5, FALSE)</f>
        <v>Good sound quality but not 40 hours backup!,Decent but not that impressive,Good purchase, good build and good sound quality,Good for cost.,Excellent,Like the product,Value for money,Call Disturbance</v>
      </c>
      <c r="C593" s="29" t="str">
        <f>VLOOKUP(dados!A593, reviews!A:G, 6, FALSE)</f>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v>
      </c>
      <c r="D593" s="29" t="str">
        <f>IFERROR(__xludf.DUMMYFUNCTION("GOOGLETRANSLATE(B593, ""en"", ""pt-br"")"),"Boa qualidade de som, mas não 40 horas de backup!, Decente, mas não tão impressionante, boa compra, boa construção e boa qualidade de som, bom para custos., Excelente, como o produto, valor ao dinheiro, distúrbios de chamada")</f>
        <v>Boa qualidade de som, mas não 40 horas de backup!, Decente, mas não tão impressionante, boa compra, boa construção e boa qualidade de som, bom para custos., Excelente, como o produto, valor ao dinheiro, distúrbios de chamada</v>
      </c>
      <c r="E593" s="29" t="str">
        <f>IFERROR(__xludf.DUMMYFUNCTION("GOOGLETRANSLATE(C593, ""en"", ""pt-br"")"),"A qualidade do som é boa, o suficiente em um volume de 50-60%. O baixo também está ok. A qualidade do microfone também é boa em condição interna. O receptor pode ouvir claramente você. Eu não o usei em ambiente barulhento ou ao ar livre. A empresa afirma "&amp;"que há baixa latência durante os jogos, não sei exatamente se funciona ou não. Sound &amp; Call Quality Wise, é bom ... mas o problema é com o backup da bateria. A empresa afirma que dará backup de bateria de 40 horas com o caso. 8 horas em carga única+32 hor"&amp;"as adicionais (4 vezes cobrar por caixa) Isso é enganoso. Só fornece reprodução total de 25 horas. Eu mesmo testei. Vai dar cerca de 7 horas de backup com uma única carga de brotos a 50-60% de volume (se você ouvir apenas música ou assistir a vídeo, mas s"&amp;"em chamada ou jogo), você pode carregar os fones de ouvido completos apenas 2.5 Times via caso: então adicionais 18 horas. Se você tentar carregar após a segunda vez, ele cobrará apenas os brotos em torno de 60%, ele dispara. (Após a 1ª carga, o gabinete "&amp;"tem 48%de bateria, a segunda vez que caiu para 12%, e 3º vez que vai para 0%) Eles mencionaram que os fones de ouvido têm 40 mAh de bateria cada, com bateria de 380 mAh. É mencionado no manual do produto, mas no site do barco está escrito 400 mAh em vez d"&amp;"e 380.Tecnicamente, 40 horas também não é possível. Portanto, suponha que sua eficiência seja de 60%. Portanto, ele fornecerá a produção de 228 mAh. (É menor que a capacidade mencionada devido à perda de energia durante a transferência de energia) agora c"&amp;"ada fone de ouvido tem 40 mAh, então total 80 mAh. Agora, os brotos podem ser cobrados via Caso 228 ÷ 80 = 2,85 vezes. O emparelhamento é muito simples e se conecta muito rapidamente. A qualidade da construção é realmente muito boa. É tudo plástico, mas p"&amp;"arece bastante durável, desde que você não seja muito áspero com isso. O áudio é decente, não muito impressionante. Meus fones de ouvido com fio (barcos Bassheads) são francamente muito melhores. Isso não é para jogos. Eu jogo Call of Duty: Mobile e a lat"&amp;"ência é apenas dolorosa. Mesmo com o ""modo de besta"" ligado, não senti diferença, pois o atraso ainda persistia. O backup da bateria é realmente ótimo. A única coisa positiva que consigo pensar é o backup da bateria. Recebi aproximadamente 3 horas de te"&amp;"mpo de reprodução e a bateria havia drenado de 100% a 80%. A carga rápida é uma cereja no topo. No geral, eu diria que o desempenho é muito média. Definitivamente não vale ₹ 1300 na minha opinião., Não é adaptável para a orelha de cada pessoa. Minha espos"&amp;"a não se encaixa nos aeronaves da orelha. Parcialmente satisfeito. 799/- Rúpias que comprei. Não comprei mais de 799 para este modelo., O produto foi tão bom quanto eu esperava. A qualidade é boa. O cancelamento de ruído não é bastante alto, mas em geral "&amp;"bom., Vida da bateria I mais, melhor áudio. Mas as chamadas não são audíveis corretamente algumas vezes., Funciona melhor para o preço. A qualidade do som é boa, mas a qualidade do plástico é médio., Sem som claro de plantão. Criando perturbações durante "&amp;"a chamada")</f>
        <v>A qualidade do som é boa, o suficiente em um volume de 50-60%. O baixo também está ok. A qualidade do microfone também é boa em condição interna. O receptor pode ouvir claramente você. Eu não o usei em ambiente barulhento ou ao ar livre. A empresa afirma que há baixa latência durante os jogos, não sei exatamente se funciona ou não. Sound &amp; Call Quality Wise, é bom ... mas o problema é com o backup da bateria. A empresa afirma que dará backup de bateria de 40 horas com o caso. 8 horas em carga única+32 horas adicionais (4 vezes cobrar por caixa) Isso é enganoso. Só fornece reprodução total de 25 horas. Eu mesmo testei. Vai dar cerca de 7 horas de backup com uma única carga de brotos a 50-60% de volume (se você ouvir apenas música ou assistir a vídeo, mas sem chamada ou jogo), você pode carregar os fones de ouvido completos apenas 2.5 Times via caso: então adicionais 18 horas. Se você tentar carregar após a segunda vez, ele cobrará apenas os brotos em torno de 60%, ele dispara. (Após a 1ª carga, o gabinete tem 48%de bateria, a segunda vez que caiu para 12%, e 3º vez que vai para 0%) Eles mencionaram que os fones de ouvido têm 40 mAh de bateria cada, com bateria de 380 mAh. É mencionado no manual do produto, mas no site do barco está escrito 400 mAh em vez de 380.Tecnicamente, 40 horas também não é possível. Portanto, suponha que sua eficiência seja de 60%. Portanto, ele fornecerá a produção de 228 mAh. (É menor que a capacidade mencionada devido à perda de energia durante a transferência de energia) agora cada fone de ouvido tem 40 mAh, então total 80 mAh. Agora, os brotos podem ser cobrados via Caso 228 ÷ 80 = 2,85 vezes. O emparelhamento é muito simples e se conecta muito rapidamente. A qualidade da construção é realmente muito boa. É tudo plástico, mas parece bastante durável, desde que você não seja muito áspero com isso. O áudio é decente, não muito impressionante. Meus fones de ouvido com fio (barcos Bassheads) são francamente muito melhores. Isso não é para jogos. Eu jogo Call of Duty: Mobile e a latência é apenas dolorosa. Mesmo com o "modo de besta" ligado, não senti diferença, pois o atraso ainda persistia. O backup da bateria é realmente ótimo. A única coisa positiva que consigo pensar é o backup da bateria. Recebi aproximadamente 3 horas de tempo de reprodução e a bateria havia drenado de 100% a 80%. A carga rápida é uma cereja no topo. No geral, eu diria que o desempenho é muito média. Definitivamente não vale ₹ 1300 na minha opinião., Não é adaptável para a orelha de cada pessoa. Minha esposa não se encaixa nos aeronaves da orelha. Parcialmente satisfeito. 799/- Rúpias que comprei. Não comprei mais de 799 para este modelo., O produto foi tão bom quanto eu esperava. A qualidade é boa. O cancelamento de ruído não é bastante alto, mas em geral bom., Vida da bateria I mais, melhor áudio. Mas as chamadas não são audíveis corretamente algumas vezes., Funciona melhor para o preço. A qualidade do som é boa, mas a qualidade do plástico é médio., Sem som claro de plantão. Criando perturbações durante a chamada</v>
      </c>
    </row>
    <row r="594">
      <c r="A594" s="9" t="s">
        <v>2356</v>
      </c>
      <c r="B594" s="29" t="str">
        <f>VLOOKUP(dados!A594, reviews!A:G, 5, FALSE)</f>
        <v>Good as per price,Good,Worthy for Price,Worth,Unstable on bed mattress - due to curved landing edges,RECOMMEND TO BUY.,Quality Wise It's Not Perfect But 👍 Good As Compared to Market Products,Totally is good 😊</v>
      </c>
      <c r="C594" s="29" t="str">
        <f>VLOOKUP(dados!A594, reviews!A:G, 6, FALSE)</f>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 Students &amp; laptop 💻 work.But not enough strong to lift heavy-weight items. Stability is also well.,Product is good and quality of table.i like this....</v>
      </c>
      <c r="D594" s="29" t="str">
        <f>IFERROR(__xludf.DUMMYFUNCTION("GOOGLETRANSLATE(B594, ""en"", ""pt-br"")"),"Bom conforme o preço, bom, digno de preço, valor, instável no colchão da cama - devido a bordas de aterrissagem curva, recomendar a compra., De qualidade, não é perfeito, mas bom em comparação com produtos de mercado, totalmente é bom 😊")</f>
        <v>Bom conforme o preço, bom, digno de preço, valor, instável no colchão da cama - devido a bordas de aterrissagem curva, recomendar a compra., De qualidade, não é perfeito, mas bom em comparação com produtos de mercado, totalmente é bom 😊</v>
      </c>
      <c r="E594" s="29" t="str">
        <f>IFERROR(__xludf.DUMMYFUNCTION("GOOGLETRANSLATE(C594, ""en"", ""pt-br"")"),"É um peso leve, bonito. A estabilidade é moderada. Eu o comprei por 399/- espero que seja o preço menos que eu comprei. No geral, boa experiência para ter esta bela mesa., É um bom produto, mas a UT tem poucas marcas, o que não vai desaparecer mesmo após "&amp;"a limpeza. Está tudo bem para mim. No geral, é bom. Além disso, meu laptop tem 15,6 ""de exibição, ele ocupa a maior parte do espaço., A mesa é de leve e esperança, para que seu acabamento seja bom com copo e suporte móvel, recomendará isso para fins de e"&amp;"scrita para crianças. Útil para quem quer sentar -se reto sem dobrar a coluna , Olhe sábio, sua garrafa muito leve, não se encaixa no slot. embrulhando presentes. seu produto ok okish neste ponto de preço. Você pode comprar porque no mercado você obtém is"&amp;"so além de 600 Rs., bom para 📝 estudantes e laptop 💻 trabalho. Mas não é suficiente para levantar itens pesados. A estabilidade também é bem., o produto é bom e a qualidade da tabela.Eu como este ....")</f>
        <v>É um peso leve, bonito. A estabilidade é moderada. Eu o comprei por 399/- espero que seja o preço menos que eu comprei. No geral, boa experiência para ter esta bela mesa., É um bom produto, mas a UT tem poucas marcas, o que não vai desaparecer mesmo após a limpeza. Está tudo bem para mim. No geral, é bom. Além disso, meu laptop tem 15,6 "de exibição, ele ocupa a maior parte do espaço., A mesa é de leve e esperança, para que seu acabamento seja bom com copo e suporte móvel, recomendará isso para fins de escrita para crianças. Útil para quem quer sentar -se reto sem dobrar a coluna , Olhe sábio, sua garrafa muito leve, não se encaixa no slot. embrulhando presentes. seu produto ok okish neste ponto de preço. Você pode comprar porque no mercado você obtém isso além de 600 Rs., bom para 📝 estudantes e laptop 💻 trabalho. Mas não é suficiente para levantar itens pesados. A estabilidade também é bem., o produto é bom e a qualidade da tabela.Eu como este ....</v>
      </c>
    </row>
    <row r="595">
      <c r="A595" s="9" t="s">
        <v>1431</v>
      </c>
      <c r="B595" s="29" t="str">
        <f>VLOOKUP(dados!A595, reviews!A:G, 5, FALSE)</f>
        <v>Fake Product,Costly but excellent quality,Storage good but don't know how to Activate warantee??,Good for use,5 stas nahi diya kyuki capacity 477gb hi rahta hai,Speed not as advertise,Good one,It's ok</v>
      </c>
      <c r="C595" s="29" t="str">
        <f>VLOOKUP(dados!A595, reviews!A:G, 6, FALSE)</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c r="D595" s="29" t="str">
        <f>IFERROR(__xludf.DUMMYFUNCTION("GOOGLETRANSLATE(B595, ""en"", ""pt-br"")"),"Produto falso, caro, mas excelente qualidade, armazenamento bom, mas não sei como ativar a Warantee?")</f>
        <v>Produto falso, caro, mas excelente qualidade, armazenamento bom, mas não sei como ativar a Warantee?</v>
      </c>
      <c r="E595" s="29" t="str">
        <f>IFERROR(__xludf.DUMMYFUNCTION("GOOGLETRANSLATE(C595, ""en"", ""pt-br"")"),"O cartão SD de 128 GB está mostrando 134gbdon não comprar este produto, foi um pouco caro, mas o Prouduct é de ótima qualidade. Poderia ter sido feito um pouco mais barato. , O produto está ok.")</f>
        <v>O cartão SD de 128 GB está mostrando 134gbdon não comprar este produto, foi um pouco caro, mas o Prouduct é de ótima qualidade. Poderia ter sido feito um pouco mais barato. , O produto está ok.</v>
      </c>
    </row>
    <row r="596">
      <c r="A596" s="9" t="s">
        <v>1438</v>
      </c>
      <c r="B596" s="29" t="str">
        <f>VLOOKUP(dados!A596, reviews!A:G, 5, FALSE)</f>
        <v>Sumit Nath,For the price, it is a good purchase but can be better,Happy with product...,It's really smart with elegant design,Amazing,Noise,All good,Good</v>
      </c>
      <c r="C596" s="29" t="str">
        <f>VLOOKUP(dados!A596, reviews!A:G, 6, FALSE)</f>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v>
      </c>
      <c r="D596" s="29" t="str">
        <f>IFERROR(__xludf.DUMMYFUNCTION("GOOGLETRANSLATE(B596, ""en"", ""pt-br"")"),"Sumit Nath, pelo preço, é uma boa compra, mas pode ser melhor, feliz com o produto ..., é realmente inteligente com design elegante, incrível, ruído, tudo de bom, bom")</f>
        <v>Sumit Nath, pelo preço, é uma boa compra, mas pode ser melhor, feliz com o produto ..., é realmente inteligente com design elegante, incrível, ruído, tudo de bom, bom</v>
      </c>
      <c r="E596" s="29" t="str">
        <f>IFERROR(__xludf.DUMMYFUNCTION("GOOGLETRANSLATE(C596, ""en"", ""pt-br"")"),"A tela de toque funciona bem. A contagem do passo não é muito precisa, o sensor de batida cardíaca é bastante preciso, mas acho que a medição do SPO2 e o estresse não são muito precisas, o relógio é ótimo para o preço. A maioria das coisas funciona muito "&amp;"bem. Tem uma ótima duração da bateria. Como roupas diárias, não há muito com que se preocupar. Ele detecta atividade, mas isso acontece apenas após um período considerável de tempo (20 minutos). Não se pode alterar a sensibilidade ou o tempo de detecção d"&amp;"e atividade. O relógio não é muito intuitivo de usar. Geralmente é ótimo e a maioria dos recursos pode ser acessada com facilidade, mas certas coisas recebem mais cliques e torneiras do que deve ser necessário em um dispositivo compacto. Portanto, todos o"&amp;"s recursos estão lá, mas leva um pouco de tempo para encontrá -los. O rastreamento do SLEEP é decente. As chamadas de telefone têm boa qualidade. As pessoas podem ouvir sua voz, mesmo que haja perturbações razoáveis. Se você atendeu pelo telefone e agora "&amp;"deseja mudar para o seu relógio, não pode fazer isso. E você só pode economizar no máximo 10 contatos. Você não pode discar números. Mas o microfone e o alto -falante do relógio são bons também, uma coisa confusa é: por que o relógio não tem alarmes de áu"&amp;"dio, quando é capaz de produzir som?, O que eu preciso no relógio não está disponível, então não precisa disso .. . pode obtê -lo no relógio normal de outras marcas, a aparência é incrível. Esta é uma ótima sugestão de produtos da Amazon. Obrigado, gosto "&amp;"da contagem de etapas e da precisão da frequência cardíaca. Não tenho certeza sobre a contagem de tensão às vezes isso mostra imprecisa., A conectividade Bluetooth precisa ser melhorada e tocando também, tudo bem, mas o vidro anti -scratch necessário nest"&amp;"e relógio, bom relógio, vá em frente")</f>
        <v>A tela de toque funciona bem. A contagem do passo não é muito precisa, o sensor de batida cardíaca é bastante preciso, mas acho que a medição do SPO2 e o estresse não são muito precisas, o relógio é ótimo para o preço. A maioria das coisas funciona muito bem. Tem uma ótima duração da bateria. Como roupas diárias, não há muito com que se preocupar. Ele detecta atividade, mas isso acontece apenas após um período considerável de tempo (20 minutos). Não se pode alterar a sensibilidade ou o tempo de detecção de atividade. O relógio não é muito intuitivo de usar. Geralmente é ótimo e a maioria dos recursos pode ser acessada com facilidade, mas certas coisas recebem mais cliques e torneiras do que deve ser necessário em um dispositivo compacto. Portanto, todos os recursos estão lá, mas leva um pouco de tempo para encontrá -los. O rastreamento do SLEEP é decente. As chamadas de telefone têm boa qualidade. As pessoas podem ouvir sua voz, mesmo que haja perturbações razoáveis. Se você atendeu pelo telefone e agora deseja mudar para o seu relógio, não pode fazer isso. E você só pode economizar no máximo 10 contatos. Você não pode discar números. Mas o microfone e o alto -falante do relógio são bons também, uma coisa confusa é: por que o relógio não tem alarmes de áudio, quando é capaz de produzir som?, O que eu preciso no relógio não está disponível, então não precisa disso .. . pode obtê -lo no relógio normal de outras marcas, a aparência é incrível. Esta é uma ótima sugestão de produtos da Amazon. Obrigado, gosto da contagem de etapas e da precisão da frequência cardíaca. Não tenho certeza sobre a contagem de tensão às vezes isso mostra imprecisa., A conectividade Bluetooth precisa ser melhorada e tocando também, tudo bem, mas o vidro anti -scratch necessário neste relógio, bom relógio, vá em frente</v>
      </c>
    </row>
    <row r="597">
      <c r="A597" s="9" t="s">
        <v>2364</v>
      </c>
      <c r="B597" s="29" t="str">
        <f>VLOOKUP(dados!A597, reviews!A:G, 5, FALSE)</f>
        <v>The rebel with a defect,Nice product,Really good product,Awesome charging backup 👍,Value for price,Value for money,Bluetooth service centre not available,good quality</v>
      </c>
      <c r="C597" s="29" t="str">
        <f>VLOOKUP(dados!A597, reviews!A:G, 6, FALSE)</f>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v>
      </c>
      <c r="D597" s="29" t="str">
        <f>IFERROR(__xludf.DUMMYFUNCTION("GOOGLETRANSLATE(B597, ""en"", ""pt-br"")"),"O rebelde com um defeito, bom produto, produto realmente bom, backup de carregamento incrível 👍, valor para preço, valor pelo dinheiro, centro de serviço bluetooth não disponível, boa qualidade")</f>
        <v>O rebelde com um defeito, bom produto, produto realmente bom, backup de carregamento incrível 👍, valor para preço, valor pelo dinheiro, centro de serviço bluetooth não disponível, boa qualidade</v>
      </c>
      <c r="E597" s="29" t="str">
        <f>IFERROR(__xludf.DUMMYFUNCTION("GOOGLETRANSLATE(C597, ""en"", ""pt-br"")"),"Escrevendo esta resenha após 10 meses de uso. Primeiro sobre o próprio produto. Sua qualidade de som é muito boa. Os amantes do baixo vão adorar. Médio médio e alto. Dura cerca de 25-28 horas com uma carga completa. Também testado em chuva forte enquanto "&amp;"dirigia (não se preocupe, os fones de ouvido não foram conectados .. 😂). Estava no meu pescoço. Mas não havia entrada de água. Agora, o principal problema entra em ação. Após 10 meses, o falante de esquerda não estava funcionando. Então, eu registrei uma"&amp;" reclamação no site do barco. Eles escolheram meu fone de ouvido para substituição. Mas depois foi substituído por ""Rockerz 255 Pro"" em vez de ""Rockerz 255 Pro +"". Por que ? Mesmo depois de muitas conversas com apoio de barcos, eles não me forneceram "&amp;"meu modelo. Agora tenho que ficar com essas paz de baixa qualidade. Portanto, tente evitar o suporte on -line do barco para reivindicação de garantia e melhor visitar o Entre de Serviço Físico. Good Luck.Edit: Depois de conversar com autoridades superiore"&amp;"s no Twitter, eles substituíram o mesmo pelo meu modelo .Edit 2: a partir do primeiro dia depois de receber o produto de substituição, eu estava em dúvida de que a qualidade do som diminuiu muito. Então, novamente, substituí o som de serviço autorizado pa"&amp;"ra o som plano (sem baixo/ baixo muito baixo). Mas a segunda substituição também é a mesma. Eu pensei que tenho alguns problemas com meu ouvido lol 😆. Hoje, porém, quando eu ouvi meus amigos Rockerz 255 Pro + (o mesmo que o meu, mas a unidade de varejo) "&amp;"fiquei surpresa e agradecida também. Minha orelha não foi danificada. Tinha o mesmo baixo e aquele som de assinatura que estava ausente da minha unidade de substituição. Então, posso concluir dizendo que o produto de substituição não terá esse som de assi"&amp;"natura como a unidade de varejo. Se alguém experimentou o mesmo, por favor comente. Eu recomendaria muito fortemente se você quiser um fone de ouvido para jogos amigáveis ​​às vezes pode parecer um atraso após a compra, mas depois de algum tempo funciona "&amp;"muito bem, mas também tem alguns contras, como a qualidade de construção que meus fones de ouvido cansam de uso diário normal também Como a qualidade da borracha não é muito boa também, o microfone não é tão bom, mas está bem, por isso é o melhor fone de "&amp;"ouvido sob seu orçamento ... se Aman Gupta estiver assistindo a esta resenha, você pode me presentear um fone de ouvido 😉😅, obrigado Para a Amazon, para uma boa libertação dos produtos, eu uso a Amazon há muito tempo e a Amazon conquistou realmente a co"&amp;"nfiança do cliente. Ótimo produto e uma vez Aian, agradecendo à Amazon, o carregamento é incrível em 25 de dezembro de manhã, Ko Receber Hua Thn 30 Dezembro K Night M Night Charging acabamento Huibut Mene pela primeira vez Kiya a 2hrs se B Zyada Time M 10"&amp;"0℅ Charge Hua, o produto ajusta Fundamente nos ouvidos. Há alguma dor após o uso prolongado nas primeiras 2 semanas de uso. O battery dura mais de um dia após a carga completa de um usuário médio. O volume é forte e o baixo também. A clareza do som é médi"&amp;"o. O produto é resistente o suficiente para usar confortavelmente, sem se preocupar com danos., Muito bom para som, cancelamento de ruído e backup da bateria. Somente as barbatanas têm dor nos ouvidos às vezes, caso contrário, é realmente uma relação cust"&amp;"o / benefício., Caro senhor, comprei este Bluetooth em 24 de abril de 20222.Mar a partir de agosto de 2022 em diante não funcionando, também continuamente estou tentando pedir muitas lojas para o serviço na minha casa - Tiruchirapaalli, mas nenhum corpo p"&amp;"restando serviço de dente azul. Também os roqueiros de barco azul com muito menos número de dias de garantia. Agora o que posso fazer? Por favor, sugira. Este é muito bom som e fator de forma de qualidade e acabamento também é bom")</f>
        <v>Escrevendo esta resenha após 10 meses de uso. Primeiro sobre o próprio produto. Sua qualidade de som é muito boa. Os amantes do baixo vão adorar. Médio médio e alto. Dura cerca de 25-28 horas com uma carga completa. Também testado em chuva forte enquanto dirigia (não se preocupe, os fones de ouvido não foram conectados .. 😂). Estava no meu pescoço. Mas não havia entrada de água. Agora, o principal problema entra em ação. Após 10 meses, o falante de esquerda não estava funcionando. Então, eu registrei uma reclamação no site do barco. Eles escolheram meu fone de ouvido para substituição. Mas depois foi substituído por "Rockerz 255 Pro" em vez de "Rockerz 255 Pro +". Por que ? Mesmo depois de muitas conversas com apoio de barcos, eles não me forneceram meu modelo. Agora tenho que ficar com essas paz de baixa qualidade. Portanto, tente evitar o suporte on -line do barco para reivindicação de garantia e melhor visitar o Entre de Serviço Físico. Good Luck.Edit: Depois de conversar com autoridades superiores no Twitter, eles substituíram o mesmo pelo meu modelo .Edit 2: a partir do primeiro dia depois de receber o produto de substituição, eu estava em dúvida de que a qualidade do som diminuiu muito. Então, novamente, substituí o som de serviço autorizado para o som plano (sem baixo/ baixo muito baixo). Mas a segunda substituição também é a mesma. Eu pensei que tenho alguns problemas com meu ouvido lol 😆. Hoje, porém, quando eu ouvi meus amigos Rockerz 255 Pro + (o mesmo que o meu, mas a unidade de varejo) fiquei surpresa e agradecida também. Minha orelha não foi danificada. Tinha o mesmo baixo e aquele som de assinatura que estava ausente da minha unidade de substituição. Então, posso concluir dizendo que o produto de substituição não terá esse som de assinatura como a unidade de varejo. Se alguém experimentou o mesmo, por favor comente. Eu recomendaria muito fortemente se você quiser um fone de ouvido para jogos amigáveis ​​às vezes pode parecer um atraso após a compra, mas depois de algum tempo funciona muito bem, mas também tem alguns contras, como a qualidade de construção que meus fones de ouvido cansam de uso diário normal também Como a qualidade da borracha não é muito boa também, o microfone não é tão bom, mas está bem, por isso é o melhor fone de ouvido sob seu orçamento ... se Aman Gupta estiver assistindo a esta resenha, você pode me presentear um fone de ouvido 😉😅, obrigado Para a Amazon, para uma boa libertação dos produtos, eu uso a Amazon há muito tempo e a Amazon conquistou realmente a confiança do cliente. Ótimo produto e uma vez Aian, agradecendo à Amazon, o carregamento é incrível em 25 de dezembro de manhã, Ko Receber Hua Thn 30 Dezembro K Night M Night Charging acabamento Huibut Mene pela primeira vez Kiya a 2hrs se B Zyada Time M 100℅ Charge Hua, o produto ajusta Fundamente nos ouvidos. Há alguma dor após o uso prolongado nas primeiras 2 semanas de uso. O battery dura mais de um dia após a carga completa de um usuário médio. O volume é forte e o baixo também. A clareza do som é médio. O produto é resistente o suficiente para usar confortavelmente, sem se preocupar com danos., Muito bom para som, cancelamento de ruído e backup da bateria. Somente as barbatanas têm dor nos ouvidos às vezes, caso contrário, é realmente uma relação custo / benefício., Caro senhor, comprei este Bluetooth em 24 de abril de 20222.Mar a partir de agosto de 2022 em diante não funcionando, também continuamente estou tentando pedir muitas lojas para o serviço na minha casa - Tiruchirapaalli, mas nenhum corpo prestando serviço de dente azul. Também os roqueiros de barco azul com muito menos número de dias de garantia. Agora o que posso fazer? Por favor, sugira. Este é muito bom som e fator de forma de qualidade e acabamento também é bom</v>
      </c>
    </row>
    <row r="598">
      <c r="A598" s="9" t="s">
        <v>2368</v>
      </c>
      <c r="B598" s="29" t="str">
        <f>VLOOKUP(dados!A598, reviews!A:G, 5, FALSE)</f>
        <v>Product is very good , but delivery was not quite good,Overall good.,Average to good,Stability should have been better.,Price could be less,Best product in this price.,Mast,Value for money</v>
      </c>
      <c r="C598" s="29" t="str">
        <f>VLOOKUP(dados!A598, reviews!A:G, 6, FALSE)</f>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v>
      </c>
      <c r="D598" s="29" t="str">
        <f>IFERROR(__xludf.DUMMYFUNCTION("GOOGLETRANSLATE(B598, ""en"", ""pt-br"")"),"O produto é muito bom, mas a entrega não foi muito boa, em geral.")</f>
        <v>O produto é muito bom, mas a entrega não foi muito boa, em geral.</v>
      </c>
      <c r="E598" s="29" t="str">
        <f>IFERROR(__xludf.DUMMYFUNCTION("GOOGLETRANSLATE(C598, ""en"", ""pt-br"")"),"O produto é útil e eu o uso diariamente. Eu dei uma estrela a menos porque o produto tinha um pequeno pedaço quebrado durante a entrega, talvez. Mas isso não era uma parte funcional. O material pode ser um pouco mais espesso para a durabilidade. No geral,"&amp;" uma boa compra., O único problema é a estabilidade ... Shakes, a estabilidade deveria ter sido melhor., O produto é muito bom em todos os aspectos, exceto no custo. O custo poderia ter sido menor, muito bom produto neste preço., Bom produto, bom")</f>
        <v>O produto é útil e eu o uso diariamente. Eu dei uma estrela a menos porque o produto tinha um pequeno pedaço quebrado durante a entrega, talvez. Mas isso não era uma parte funcional. O material pode ser um pouco mais espesso para a durabilidade. No geral, uma boa compra., O único problema é a estabilidade ... Shakes, a estabilidade deveria ter sido melhor., O produto é muito bom em todos os aspectos, exceto no custo. O custo poderia ter sido menor, muito bom produto neste preço., Bom produto, bom</v>
      </c>
    </row>
    <row r="599">
      <c r="A599" s="9" t="s">
        <v>2374</v>
      </c>
      <c r="B599" s="29" t="str">
        <f>VLOOKUP(dados!A599, reviews!A:G, 5, FALSE)</f>
        <v>Build quality material is not good. I feel it might last for a longer run.,Very good earphones at this price,not grate,More than average 👍,Ok,Best ear phones,Is ok,good wired earphone</v>
      </c>
      <c r="C599" s="29" t="str">
        <f>VLOOKUP(dados!A599, reviews!A:G, 6, FALSE)</f>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 and value for money 💰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v>
      </c>
      <c r="D599" s="29" t="str">
        <f>IFERROR(__xludf.DUMMYFUNCTION("GOOGLETRANSLATE(B599, ""en"", ""pt-br"")"),"O material de qualidade de construção não é bom. Eu sinto que pode durar por uma corrida mais longa., Fones de ouvido muito bons a esse preço, não grade, mais que a média 👍, ok, os melhores telefones de ouvido, está ok, bom fone de ouvido com fio")</f>
        <v>O material de qualidade de construção não é bom. Eu sinto que pode durar por uma corrida mais longa., Fones de ouvido muito bons a esse preço, não grade, mais que a média 👍, ok, os melhores telefones de ouvido, está ok, bom fone de ouvido com fio</v>
      </c>
      <c r="E599" s="29" t="str">
        <f>IFERROR(__xludf.DUMMYFUNCTION("GOOGLETRANSLATE(C599, ""en"", ""pt-br"")"),"Quando você representa algum produto de uma marca bem conhecida, você deve fornecer essa qualidade de construção bem conhecida. Este produto foi projetado bem para pegar a boa aparência, mas não a qualidade do material, parece que a má qualidade não vai d"&amp;"urar mais tempo Run.Reason: Eu tinha acabado de começar a ouvir 3 ou 4 músicas com a borracha de 3mm Jack End de 3 mm parece ter começado a frear. Sinto que posso melhorar a qualidade dos fornecedores da plataforma por esse preço. Por 6 meses, o desempenh"&amp;"o médio da qualidade do som é uma boa qualidade de baixo, a média do produto geral é bom 👍 e valor para o dinheiro 💰 Se você estiver procurando por uso de longo prazo, apenas 150 dólares, eu tenho que parecer bom. Durante um tempo de unboxing, noto isso"&amp;" quebrado e tento facilmente encaixá-lo, para que não quero substituir/ devolvê-lo porque apenas 150rs e fixo facilmente., bom produto, o som vem bem no nível de 50 a 70 volumes., OK, super, É melhor não é o botão, é muito bom nesse preço; ... Preciso de "&amp;"mais um, planejarei comprar novamente, durante a oferta @129/;")</f>
        <v>Quando você representa algum produto de uma marca bem conhecida, você deve fornecer essa qualidade de construção bem conhecida. Este produto foi projetado bem para pegar a boa aparência, mas não a qualidade do material, parece que a má qualidade não vai durar mais tempo Run.Reason: Eu tinha acabado de começar a ouvir 3 ou 4 músicas com a borracha de 3mm Jack End de 3 mm parece ter começado a frear. Sinto que posso melhorar a qualidade dos fornecedores da plataforma por esse preço. Por 6 meses, o desempenho médio da qualidade do som é uma boa qualidade de baixo, a média do produto geral é bom 👍 e valor para o dinheiro 💰 Se você estiver procurando por uso de longo prazo, apenas 150 dólares, eu tenho que parecer bom. Durante um tempo de unboxing, noto isso quebrado e tento facilmente encaixá-lo, para que não quero substituir/ devolvê-lo porque apenas 150rs e fixo facilmente., bom produto, o som vem bem no nível de 50 a 70 volumes., OK, super, É melhor não é o botão, é muito bom nesse preço; ... Preciso de mais um, planejarei comprar novamente, durante a oferta @129/;</v>
      </c>
    </row>
    <row r="600">
      <c r="A600" s="9" t="s">
        <v>1452</v>
      </c>
      <c r="B600" s="29" t="str">
        <f>VLOOKUP(dados!A600, reviews!A:G, 5, FALSE)</f>
        <v>Good maybe okay,Defective Product Delivered,Amazing Sound at Budget,Not for bass lover,Best one,Quality,Durability,Superb voice quality</v>
      </c>
      <c r="C600" s="29" t="str">
        <f>VLOOKUP(dados!A600, reviews!A:G, 6, FALSE)</f>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v>
      </c>
      <c r="D600" s="29" t="str">
        <f>IFERROR(__xludf.DUMMYFUNCTION("GOOGLETRANSLATE(B600, ""en"", ""pt-br"")"),"Bom talvez ok, produto defeituoso entregue, som incrível no orçamento, não para amante de baixo, melhor, qualidade, durabilidade, excelente qualidade de voz")</f>
        <v>Bom talvez ok, produto defeituoso entregue, som incrível no orçamento, não para amante de baixo, melhor, qualidade, durabilidade, excelente qualidade de voz</v>
      </c>
      <c r="E600" s="29" t="str">
        <f>IFERROR(__xludf.DUMMYFUNCTION("GOOGLETRANSLATE(C600, ""en"", ""pt-br"")"),"A qualidade não está marcada pelo preço pago. Outras marcas oferecem fones de ouvido de boa qualidade com menor preço. Mas, por minha experiência, nenhum dos meus fones de ouvido durou mais de 1 a 1,5 anos. Vou comprar :), eu havia comprado duas unidades "&amp;"do mesmo fone de ouvido do qual se encontrou com defeito. Desde que eu estava em viagem, não pude verificar os itens imediatamente e, com o tempo, achei o item com defeito a janela de retorno/ substituição decorrida. Recomendado Se você é um amante da mús"&amp;"ica., A qualidade do som é incrível, mas não o bassmic, está abaixo da média que sai de ouvidos se você andar rápido para o jogo, não poderá ouvir passos de inimigo -inimigo após o uso de 4,5 fones de ouvido (C100SI) Experiência de 2 anos, incrível Produt"&amp;"o .... mas resolva seu problema emaranhado, por favor, bom produto, bom, depois de 8 meses, o alto -falante lateral esquerdo não tem baixo e não é tão alto quanto o alto -falante direito., Excelente qualidade de voz")</f>
        <v>A qualidade não está marcada pelo preço pago. Outras marcas oferecem fones de ouvido de boa qualidade com menor preço. Mas, por minha experiência, nenhum dos meus fones de ouvido durou mais de 1 a 1,5 anos. Vou comprar :), eu havia comprado duas unidades do mesmo fone de ouvido do qual se encontrou com defeito. Desde que eu estava em viagem, não pude verificar os itens imediatamente e, com o tempo, achei o item com defeito a janela de retorno/ substituição decorrida. Recomendado Se você é um amante da música., A qualidade do som é incrível, mas não o bassmic, está abaixo da média que sai de ouvidos se você andar rápido para o jogo, não poderá ouvir passos de inimigo -inimigo após o uso de 4,5 fones de ouvido (C100SI) Experiência de 2 anos, incrível Produto .... mas resolva seu problema emaranhado, por favor, bom produto, bom, depois de 8 meses, o alto -falante lateral esquerdo não tem baixo e não é tão alto quanto o alto -falante direito., Excelente qualidade de voz</v>
      </c>
    </row>
    <row r="601">
      <c r="A601" s="9" t="s">
        <v>2379</v>
      </c>
      <c r="B601" s="29" t="str">
        <f>VLOOKUP(dados!A601, reviews!A:G, 5, FALSE)</f>
        <v>Authentic review,Overall it's a good headset.,Not for me,Nice product,Best,Amazing product,It's a wonderful boat product,Good Product of boAt</v>
      </c>
      <c r="C601" s="29" t="str">
        <f>VLOOKUP(dados!A601, reviews!A:G, 6, FALSE)</f>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v>
      </c>
      <c r="D601" s="29" t="str">
        <f>IFERROR(__xludf.DUMMYFUNCTION("GOOGLETRANSLATE(B601, ""en"", ""pt-br"")"),"Revisão autêntica, em geral, é um bom fone de ouvido., Não para mim, bom produto, melhor, produto incrível, é um produto maravilhoso de barco, bom produto do barco")</f>
        <v>Revisão autêntica, em geral, é um bom fone de ouvido., Não para mim, bom produto, melhor, produto incrível, é um produto maravilhoso de barco, bom produto do barco</v>
      </c>
      <c r="E601" s="29" t="str">
        <f>IFERROR(__xludf.DUMMYFUNCTION("GOOGLETRANSLATE(C601, ""en"", ""pt-br"")"),"Melhores fones de ouvido orçamentários. Estou adquirido esses fones de ouvido em 2021 e agora é 2023 quando estou escrevendo. Ele tem alguns problemas proeminentes primeiro é os ajustes da cabeça. Esquerda conectada durante a noite e comece a usar depois "&amp;"de acordar. É a minha tendência, não dendo descanso a dispositivos, apesar disso, ainda está vivo e funcionando como antes, mas agora funciona 1 semana em cobrança singal. ,, É um bom produto, mas hoje em dia, muitas marcas oferecem melhor do que isso pel"&amp;"o preço Range., É um bom produto. A qualidade do microfone também é boa. A bateria é boa., A melhor parte do fone de ouvido é o backup da bateria ... é enorme. Adoro este produto, mas se for construído para ser uma sobrecarga, obrigado Boult, https: //m.m"&amp;"edia-amazon.com /images/w/webp_402378-t2/images/i/61d4czxo9al._sy88.jpg.")</f>
        <v>Melhores fones de ouvido orçamentários. Estou adquirido esses fones de ouvido em 2021 e agora é 2023 quando estou escrevendo. Ele tem alguns problemas proeminentes primeiro é os ajustes da cabeça. Esquerda conectada durante a noite e comece a usar depois de acordar. É a minha tendência, não dendo descanso a dispositivos, apesar disso, ainda está vivo e funcionando como antes, mas agora funciona 1 semana em cobrança singal. ,, É um bom produto, mas hoje em dia, muitas marcas oferecem melhor do que isso pelo preço Range., É um bom produto. A qualidade do microfone também é boa. A bateria é boa., A melhor parte do fone de ouvido é o backup da bateria ... é enorme. Adoro este produto, mas se for construído para ser uma sobrecarga, obrigado Boult, https: //m.media-amazon.com /images/w/webp_402378-t2/images/i/61d4czxo9al._sy88.jpg.</v>
      </c>
    </row>
    <row r="602">
      <c r="A602" s="9" t="s">
        <v>1448</v>
      </c>
      <c r="B602" s="29" t="str">
        <f>VLOOKUP(dados!A602, reviews!A:G, 5, FALSE)</f>
        <v>Ideal Product,Ok,उपयोगी एवं संतोषजनक,Ok in this price range,Battery,It is a good watch,Nice watch,Average</v>
      </c>
      <c r="C602" s="29" t="str">
        <f>VLOOKUP(dados!A602, reviews!A:G, 6, FALSE)</f>
        <v>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v>
      </c>
      <c r="D602" s="29" t="str">
        <f>IFERROR(__xludf.DUMMYFUNCTION("GOOGLETRANSLATE(B602, ""en"", ""pt-br"")"),"Produto ideal, OK, उपयोगी एवं संतोषजनक, OK nessa faixa de preço, bateria, é um bom relógio, bom relógio, média")</f>
        <v>Produto ideal, OK, उपयोगी एवं संतोषजनक, OK nessa faixa de preço, bateria, é um bom relógio, bom relógio, média</v>
      </c>
      <c r="E602" s="29" t="str">
        <f>IFERROR(__xludf.DUMMYFUNCTION("GOOGLETRANSLATE(C602, ""en"", ""pt-br"")"),"Esta foi realmente uma compra ideal. Bom desempenho, bom construído, até a funcionalidade Mark a esse preço. Estável e resistente. Recomendar. 👍🏻👍🏻👍🏻, parece ok, हार्ट marca एवं ऑक्सीजन, bom para usuários normais ..... não para usuários pesados ​​co"&amp;"mo atividades diárias ..... boa aparência ... o aplicativo não está funcionando corretamente algumas vezes , A energia da bateria é incrível 👍🏻, é um bom relógio, mas a cinta sempre sai, bom relógio, não tão especial, mas média nesse preço")</f>
        <v>Esta foi realmente uma compra ideal. Bom desempenho, bom construído, até a funcionalidade Mark a esse preço. Estável e resistente. Recomendar. 👍🏻👍🏻👍🏻, parece ok, हार्ट marca एवं ऑक्सीजन, bom para usuários normais ..... não para usuários pesados ​​como atividades diárias ..... boa aparência ... o aplicativo não está funcionando corretamente algumas vezes , A energia da bateria é incrível 👍🏻, é um bom relógio, mas a cinta sempre sai, bom relógio, não tão especial, mas média nesse preço</v>
      </c>
    </row>
    <row r="603">
      <c r="A603" s="9" t="s">
        <v>2384</v>
      </c>
      <c r="B603" s="29" t="str">
        <f>VLOOKUP(dados!A603, reviews!A:G, 5, FALSE)</f>
        <v>Good,Overall Good,Decent earphones for the price,Worth it,It's just not like that,Good one,Really Good one under Rs 500,On the budget best branded Earphones</v>
      </c>
      <c r="C603" s="29" t="str">
        <f>VLOOKUP(dados!A603, reviews!A:G, 6, FALSE)</f>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v>
      </c>
      <c r="D603" s="29" t="str">
        <f>IFERROR(__xludf.DUMMYFUNCTION("GOOGLETRANSLATE(B603, ""en"", ""pt-br"")"),"Bom, bom e decente, fones de ouvido decente para o preço, vale a pena, simplesmente não é assim, bom, muito bom sob Rs 500, no orçamento Melhor Ears fones de ouvido de marca")</f>
        <v>Bom, bom e decente, fones de ouvido decente para o preço, vale a pena, simplesmente não é assim, bom, muito bom sob Rs 500, no orçamento Melhor Ears fones de ouvido de marca</v>
      </c>
      <c r="E603" s="29" t="str">
        <f>IFERROR(__xludf.DUMMYFUNCTION("GOOGLETRANSLATE(C603, ""en"", ""pt-br"")"),"Faz apenas 1 mês desde que comprei este item, por isso não posso comentar sua durabilidade, mas atualmente está funcionando perfeitamente. A qualidade do som é boa. A montagem no ouvido é perfeita, o que tem sido constantemente um problema com outros fone"&amp;"s de ouvido que eu usei até agora. Tenho dúvidas sobre sua durabilidade porque seus fios são meio que o Handle-With-Care. Se for durável, estará entre um dos melhores fones de ouvido, eu já usei até agora., Incapaz de ouvir depois, 8 meses, bons fones de "&amp;"ouvido orçamentários para atender e ouvir música/ assistir a vídeos de vez em quando. Tenha cuidado com o fio, pois pode ser emaranhado facilmente e não é tão forte. ou seja, o C100SI tem mais valor para fatores de dinheiro. Como o C50 HI tem um conector "&amp;"de 3,5 mm, enquanto o C100SI tem o normal e eu não devo dizer isso, mas confie em mim C100SI tem a melhor e melhor qualidade de som melhor e superior se eu comparado ao C50HI. Embora não tenha uma ótima durabilidade. Mas se seus fones de ouvido anteriores"&amp;" forem C100SI e você estiver ligando neles, então é definitivamente notar a diferença entre o C100SI e o C50HI, embora você possa adaptar o som de C50HI em quase 1 semana, se você estão mudando de c100si. para ser sincero, o C100SI é literalmente melhor e"&amp;"m todas as circunstâncias como jogos, ouvindo música e edição profissional dos vocais, os baixos médios são perfeitamente equilibrados no C100SI, mas não C50HI.in C50HI principalmente ao ouvir cantar o baixo Não estava pronto para Mark e os vocais estavam"&amp;" tão barulhentos que o baixo estava literalmente desaparecendo o ponto principal é que sempre que atingimos o volume completo dos dois nunca distorciam nenhuma batida. Bom com voz muito clara e clareza média do baixo. Não estou dando 5 estrelas porque cer"&amp;"tos graves podem ser melhorados um pouco mais. No geral, é um bom., Estava procurando fones de ouvido orçamentários com clareza de voz, o JBLC50 HI faz o trabalho. Exceto pela qualidade do baixo, não há mais nada para reclamar.")</f>
        <v>Faz apenas 1 mês desde que comprei este item, por isso não posso comentar sua durabilidade, mas atualmente está funcionando perfeitamente. A qualidade do som é boa. A montagem no ouvido é perfeita, o que tem sido constantemente um problema com outros fones de ouvido que eu usei até agora. Tenho dúvidas sobre sua durabilidade porque seus fios são meio que o Handle-With-Care. Se for durável, estará entre um dos melhores fones de ouvido, eu já usei até agora., Incapaz de ouvir depois, 8 meses, bons fones de ouvido orçamentários para atender e ouvir música/ assistir a vídeos de vez em quando. Tenha cuidado com o fio, pois pode ser emaranhado facilmente e não é tão forte. ou seja, o C100SI tem mais valor para fatores de dinheiro. Como o C50 HI tem um conector de 3,5 mm, enquanto o C100SI tem o normal e eu não devo dizer isso, mas confie em mim C100SI tem a melhor e melhor qualidade de som melhor e superior se eu comparado ao C50HI. Embora não tenha uma ótima durabilidade. Mas se seus fones de ouvido anteriores forem C100SI e você estiver ligando neles, então é definitivamente notar a diferença entre o C100SI e o C50HI, embora você possa adaptar o som de C50HI em quase 1 semana, se você estão mudando de c100si. para ser sincero, o C100SI é literalmente melhor em todas as circunstâncias como jogos, ouvindo música e edição profissional dos vocais, os baixos médios são perfeitamente equilibrados no C100SI, mas não C50HI.in C50HI principalmente ao ouvir cantar o baixo Não estava pronto para Mark e os vocais estavam tão barulhentos que o baixo estava literalmente desaparecendo o ponto principal é que sempre que atingimos o volume completo dos dois nunca distorciam nenhuma batida. Bom com voz muito clara e clareza média do baixo. Não estou dando 5 estrelas porque certos graves podem ser melhorados um pouco mais. No geral, é um bom., Estava procurando fones de ouvido orçamentários com clareza de voz, o JBLC50 HI faz o trabalho. Exceto pela qualidade do baixo, não há mais nada para reclamar.</v>
      </c>
    </row>
    <row r="604">
      <c r="A604" s="9" t="s">
        <v>2388</v>
      </c>
      <c r="B604" s="29" t="str">
        <f>VLOOKUP(dados!A604, reviews!A:G, 5, FALSE)</f>
        <v>Value for money but,functional,Good,Very easy to use,Good,Good product,Good,Cable protector</v>
      </c>
      <c r="C604" s="29" t="str">
        <f>VLOOKUP(dados!A604, reviews!A:G, 6, FALSE)</f>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it’s expensive too then u should try this…. It really protect ur wires,Good,Good product, value for money,It's nice but thoda length or ho sakti h size thoda chota h,Best product for usb and other cables</v>
      </c>
      <c r="D604" s="29" t="str">
        <f>IFERROR(__xludf.DUMMYFUNCTION("GOOGLETRANSLATE(B604, ""en"", ""pt-br"")"),"Valor ao dinheiro, mas funcional, bom, muito fácil de usar, bom, bom produto, bom, protetor a cabo")</f>
        <v>Valor ao dinheiro, mas funcional, bom, muito fácil de usar, bom, bom produto, bom, protetor a cabo</v>
      </c>
      <c r="E604" s="29" t="str">
        <f>IFERROR(__xludf.DUMMYFUNCTION("GOOGLETRANSLATE(C604, ""en"", ""pt-br"")"),"Encomendou este produto para carregar cabos. O pacote envolveu 3 pacotes contendo 4 espirais. No entanto, eles enviaram todas as embalagens contendo as mesmas 4 cores. As espirais são apertadas para cabos grossos, mas soltos para os cabos de carregamento "&amp;"da Apple, pois eles são muito magros., Produto muito útil, mas a aderência e o tamanho dele eram um pouco pequenos para o meu cabo, pois não podia cobrir completamente toda a parte, mas No entanto, vai funcionar e estou feliz por ter isso como uma seguran"&amp;"ça para o meu cabo de dados. bom produto., bom produto, se você tem um único carregador e também é caro, então você deve tentar isso…. Realmente protege seus fios, bom, bom produto, valor ao dinheiro, é bom, mas thoda comprimento ou ho sakti h tamanho tho"&amp;"da chota h, melhor produto para USB e outros cabos")</f>
        <v>Encomendou este produto para carregar cabos. O pacote envolveu 3 pacotes contendo 4 espirais. No entanto, eles enviaram todas as embalagens contendo as mesmas 4 cores. As espirais são apertadas para cabos grossos, mas soltos para os cabos de carregamento da Apple, pois eles são muito magros., Produto muito útil, mas a aderência e o tamanho dele eram um pouco pequenos para o meu cabo, pois não podia cobrir completamente toda a parte, mas No entanto, vai funcionar e estou feliz por ter isso como uma segurança para o meu cabo de dados. bom produto., bom produto, se você tem um único carregador e também é caro, então você deve tentar isso…. Realmente protege seus fios, bom, bom produto, valor ao dinheiro, é bom, mas thoda comprimento ou ho sakti h tamanho thoda chota h, melhor produto para USB e outros cabos</v>
      </c>
    </row>
    <row r="605">
      <c r="A605" s="9" t="s">
        <v>1472</v>
      </c>
      <c r="B605" s="29" t="str">
        <f>VLOOKUP(dados!A605, reviews!A:G, 5, FALSE)</f>
        <v>Good,Good product,Charging well but build quality could be better,Quite nice,Good quality product,Ok,Good Purchase,Built quality could have been better</v>
      </c>
      <c r="C605" s="29" t="str">
        <f>VLOOKUP(dados!A605, reviews!A:G, 6, FALSE)</f>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v>
      </c>
      <c r="D605" s="29" t="str">
        <f>IFERROR(__xludf.DUMMYFUNCTION("GOOGLETRANSLATE(B605, ""en"", ""pt-br"")"),"Bom, bom produto, carregando bem, mas a qualidade de construção pode ser melhor, bastante agradável, de boa qualidade, ok, boa compra, qualidade construída poderia ter sido melhor")</f>
        <v>Bom, bom produto, carregando bem, mas a qualidade de construção pode ser melhor, bastante agradável, de boa qualidade, ok, boa compra, qualidade construída poderia ter sido melhor</v>
      </c>
      <c r="E605" s="29" t="str">
        <f>IFERROR(__xludf.DUMMYFUNCTION("GOOGLETRANSLATE(C605, ""en"", ""pt-br"")"),"Tinha usado fones de ouvido PTRON mais cedo. Então queria experimentar este. E é bom, recém -comprado. Ainda não usado. Mas parece bom e vale a pena por dinheiro, cobrar bem, mas a qualidade de construção pode ser melhor, bastante agradável, este produto "&amp;"funcionando bem ..., ok ok, boa compra por 300 Rs, ele tem 1 portas regulares do tipo C e 2 para cobrar com cobrança de cobrança de Boa velocidade e também parece bom, embora tenha um preço muito econômico, a qualidade construída poderia ter sido melhor, "&amp;"dada a marca")</f>
        <v>Tinha usado fones de ouvido PTRON mais cedo. Então queria experimentar este. E é bom, recém -comprado. Ainda não usado. Mas parece bom e vale a pena por dinheiro, cobrar bem, mas a qualidade de construção pode ser melhor, bastante agradável, este produto funcionando bem ..., ok ok, boa compra por 300 Rs, ele tem 1 portas regulares do tipo C e 2 para cobrar com cobrança de cobrança de Boa velocidade e também parece bom, embora tenha um preço muito econômico, a qualidade construída poderia ter sido melhor, dada a marca</v>
      </c>
    </row>
    <row r="606">
      <c r="A606" s="9" t="s">
        <v>2392</v>
      </c>
      <c r="B606" s="29" t="str">
        <f>VLOOKUP(dados!A606, reviews!A:G, 5, FALSE)</f>
        <v>Solid and stylish, but too tight in usb port, average performance.,Good product,Slow,It works everywhere except for car stereo,ONLY 57 GB,Good,Good,Nice pen drive</v>
      </c>
      <c r="C606" s="29" t="str">
        <f>VLOOKUP(dados!A606, reviews!A:G, 6, FALSE)</f>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doesn’t work for car stereo,57 GB OUT OF 64,So far so good,Good product,Ok</v>
      </c>
      <c r="D606" s="29" t="str">
        <f>IFERROR(__xludf.DUMMYFUNCTION("GOOGLETRANSLATE(B606, ""en"", ""pt-br"")"),"Sólido e elegante, mas muito apertado na porta USB, desempenho médio., Bom produto, lento, funciona em todos os lugares, exceto para estéreo de carro, apenas 57 GB, bom, bom, agradável e agradável unidade de caneta")</f>
        <v>Sólido e elegante, mas muito apertado na porta USB, desempenho médio., Bom produto, lento, funciona em todos os lugares, exceto para estéreo de carro, apenas 57 GB, bom, bom, agradável e agradável unidade de caneta</v>
      </c>
      <c r="E606" s="29" t="str">
        <f>IFERROR(__xludf.DUMMYFUNCTION("GOOGLETRANSLATE(C606, ""en"", ""pt-br"")"),"Recebi 2 desses pendrives HP V236W de 32 GB nesta manhã. A revisão é baseada nos testes feitos no mesmo dia: resumo: o produto é genuíno e robusto, mas o desempenho é quase médio, com base em um desempenho de cópia de arquivo aleatório para preencher todo"&amp;" o espaço.Pros &amp; Contras (comparando com o Sandisk Cruiser Blade 32 GB): Pros-1. Corpo sólido, parece e é ótimo. A velocidade de leitura é boa (22 MB/s) .3. O produto é genuíno, coberto por 2 anos de garantia do fabricante.CONS -1. Se encaixa muito na por"&amp;"ta USB, causando mais desgaste na porta e pode até danificá -la se não for usada com cuidado.2. A capacidade é de 31 GB (precisamente 31042043904 bytes), não 32 como anunciado. No Windows, ele aparecerá como uma unidade de 28,9 GB em comparação com 29,8 e"&amp;"m Sandisk. Não é grande coisa, apenas uma observação técnica. A velocidade de gravação (3,3 Mb/s) não é ruim, mas ligeiramente inferior à sua próxima lâmina de cruzador Sandisk, que fornece facilmente de 4 a 4,4 Mb/s para o mesmo teste.4. A garantia é de "&amp;"apenas 2 anos, em comparação com 5 anos em Sandisk. Mas como quase ninguém reivindica garantia após 2 anos e, além disso, o corpo plástico de Sandisk fica fisicamente danificado em 2 anos, por isso está tudo bem para mim. e robustez. Usuários frequentes p"&amp;"odem querer procurar melhores opções- com ajuste de porta mais fácil e melhor velocidade de gravação. Um pouco confuso, mas ambos são a mesma coisa. Testando se é genuíno ou falso: o fundo do adesivo do holograma na embalagem tem uma camada de prata com "&amp;"""Scratch and Check"" escrito. O arranhão revela um código de 20 dígitos abaixo dele, e a borda direita do adesivo possui o URL ""www.pny.com.tw"" para verificar esse código. Vá para Suporte&gt; Página de autenticação do produto nesse URL. Essa página contém"&amp;" instruções e explicações dos resultados que você pode obter. Os meus eram originais, com os códigos testados pela primeira vez (o resultado do teste de repetição será um aviso de que o código foi testado antes). Então, isso significa que está coberto por"&amp;" uma garantia de 2 anos do fabricante, conforme declarado pela HP para a região da AISA Pacific.Design E a qualidade de construção: resistente e elegante, mas com uma falha de design é exatamente como mostrado na imagem. O corpo é uma caixa de aço sólido "&amp;"com frente aberta e as costas seladas com uma tampa de plástico preto. As costas de plástico se encaixam perfeitamente e oferece uma aparência elegante, embora possa sair mais tarde. O logotipo da HP, o código do produto etc. está em relevo no corpo de aç"&amp;"o tão provável que não seja apagado com o tempo. No geral, parece e é ótimo. A falha que notei foi que é preciso muito mais força para empurrá -la para a porta USB, em comparação com outros dispositivos USB, como cabos USB genéricos ou pêndros de plástico"&amp;" usuais como Sandisk. Você quase tem que lutar com ele para empurrá -lo ou puxá -lo para fora. Isso significa que seu uso frequente pode usar a porta USB muito cedo, ou pode até quebrá-la se não for usada com cuidado. Capacidade: 31 GB, não 32, aparecerá "&amp;"como 28,9 GB no Windows-é anunciado como uma unidade de 32 GB, mas a unidade de 32 GB, mas a unidade de 32 GB, mas a A capacidade real é de 31 GB e, sim, estou plenamente ciente da diferença de cálculo decimal versus binária, sou um usuário hardcore linux"&amp;". Para ser preciso, sua capacidade exata é 31042043904 bytes (em ambos os pêndros que testei). Então, no Windows, ele aparecerá como uma unidade de 28,9 GB. No Linux, ele aparecerá como 31 GB ou 28,9 Gib (cálculo binário como Windows). Para comparação, me"&amp;"u Sandisk de 32 GB aparece como 32010928128 bytes, ou 32 GB, ou 29,8 GIB. Essa perda de 1 GB em um Pendrive de 32 GB não é grande coisa para mim, apenas uma observação técnica. Performance: Leia Velocidade: cerca de 20-22 Mb/Swrite Speed: Cerca de 3,3 Mb/"&amp;"Estada com: uma coleção de arquivos ISO que variam de cerca 350 MB a 4 GB, juntamente com alguns arquivos menores, como PDF ou TXT. O tamanho total da coleção foi de cerca de 30,2 GB (28,2 GIB). Eu fiz esse teste no Linux; portanto, para ser justo, o dese"&amp;"mpenho da gravação pode ser um pouco melhor no Windows, pois funciona melhor com o FAT32 que o Pendrive vem formatado como. (Editar : Nenhuma diferença de desempenho no Windows. Formatada como exfat no Windows 10 para torná-lo multiboot com yumi. As veloc"&amp;"idades de leitura de leitura eram iguais ao copiar arquivos ISO ou lê-los para carregar no memdisk durante a inicialização.) Eu poderia fazer mais preciso Testando com ferramentas como o comando dd, mas não se incomodou, pois a diferença geralmente não é "&amp;"muito significativa., UPS ..... o produto é muito bom, eu a lavei por engano em 8N Machine com as calças, mas ainda está funcionando como como novo. Nenhum problema de perda de dados ou problemas corrompidos de dados que ainda enfrentei. . A tinta pratead"&amp;"a no Pendrive está desaparecendo tempo a tempo e agora está ficando preto, o produto é bom, mas lento, o armazenamento é bom, mas não funciona para estéreo de carro, 57 GB em 64, até agora, bom, bom produto, bom, bom, bom, bom produto, OK")</f>
        <v>Recebi 2 desses pendrives HP V236W de 32 GB nesta manhã. A revisão é baseada nos testes feitos no mesmo dia: resumo: o produto é genuíno e robusto, mas o desempenho é quase médio, com base em um desempenho de cópia de arquivo aleatório para preencher todo o espaço.Pros &amp; Contras (comparando com o Sandisk Cruiser Blade 32 GB): Pros-1. Corpo sólido, parece e é ótimo. A velocidade de leitura é boa (22 MB/s) .3. O produto é genuíno, coberto por 2 anos de garantia do fabricante.CONS -1. Se encaixa muito na porta USB, causando mais desgaste na porta e pode até danificá -la se não for usada com cuidado.2. A capacidade é de 31 GB (precisamente 31042043904 bytes), não 32 como anunciado. No Windows, ele aparecerá como uma unidade de 28,9 GB em comparação com 29,8 em Sandisk. Não é grande coisa, apenas uma observação técnica. A velocidade de gravação (3,3 Mb/s) não é ruim, mas ligeiramente inferior à sua próxima lâmina de cruzador Sandisk, que fornece facilmente de 4 a 4,4 Mb/s para o mesmo teste.4. A garantia é de apenas 2 anos, em comparação com 5 anos em Sandisk. Mas como quase ninguém reivindica garantia após 2 anos e, além disso, o corpo plástico de Sandisk fica fisicamente danificado em 2 anos, por isso está tudo bem para mim. e robustez. Usuários frequentes podem querer procurar melhores opções- com ajuste de porta mais fácil e melhor velocidade de gravação. Um pouco confuso, mas ambos são a mesma coisa. Testando se é genuíno ou falso: o fundo do adesivo do holograma na embalagem tem uma camada de prata com "Scratch and Check" escrito. O arranhão revela um código de 20 dígitos abaixo dele, e a borda direita do adesivo possui o URL "www.pny.com.tw" para verificar esse código. Vá para Suporte&gt; Página de autenticação do produto nesse URL. Essa página contém instruções e explicações dos resultados que você pode obter. Os meus eram originais, com os códigos testados pela primeira vez (o resultado do teste de repetição será um aviso de que o código foi testado antes). Então, isso significa que está coberto por uma garantia de 2 anos do fabricante, conforme declarado pela HP para a região da AISA Pacific.Design E a qualidade de construção: resistente e elegante, mas com uma falha de design é exatamente como mostrado na imagem. O corpo é uma caixa de aço sólido com frente aberta e as costas seladas com uma tampa de plástico preto. As costas de plástico se encaixam perfeitamente e oferece uma aparência elegante, embora possa sair mais tarde. O logotipo da HP, o código do produto etc. está em relevo no corpo de aço tão provável que não seja apagado com o tempo. No geral, parece e é ótimo. A falha que notei foi que é preciso muito mais força para empurrá -la para a porta USB, em comparação com outros dispositivos USB, como cabos USB genéricos ou pêndros de plástico usuais como Sandisk. Você quase tem que lutar com ele para empurrá -lo ou puxá -lo para fora. Isso significa que seu uso frequente pode usar a porta USB muito cedo, ou pode até quebrá-la se não for usada com cuidado. Capacidade: 31 GB, não 32, aparecerá como 28,9 GB no Windows-é anunciado como uma unidade de 32 GB, mas a unidade de 32 GB, mas a unidade de 32 GB, mas a A capacidade real é de 31 GB e, sim, estou plenamente ciente da diferença de cálculo decimal versus binária, sou um usuário hardcore linux. Para ser preciso, sua capacidade exata é 31042043904 bytes (em ambos os pêndros que testei). Então, no Windows, ele aparecerá como uma unidade de 28,9 GB. No Linux, ele aparecerá como 31 GB ou 28,9 Gib (cálculo binário como Windows). Para comparação, meu Sandisk de 32 GB aparece como 32010928128 bytes, ou 32 GB, ou 29,8 GIB. Essa perda de 1 GB em um Pendrive de 32 GB não é grande coisa para mim, apenas uma observação técnica. Performance: Leia Velocidade: cerca de 20-22 Mb/Swrite Speed: Cerca de 3,3 Mb/Estada com: uma coleção de arquivos ISO que variam de cerca 350 MB a 4 GB, juntamente com alguns arquivos menores, como PDF ou TXT. O tamanho total da coleção foi de cerca de 30,2 GB (28,2 GIB). Eu fiz esse teste no Linux; portanto, para ser justo, o desempenho da gravação pode ser um pouco melhor no Windows, pois funciona melhor com o FAT32 que o Pendrive vem formatado como. (Editar : Nenhuma diferença de desempenho no Windows. Formatada como exfat no Windows 10 para torná-lo multiboot com yumi. As velocidades de leitura de leitura eram iguais ao copiar arquivos ISO ou lê-los para carregar no memdisk durante a inicialização.) Eu poderia fazer mais preciso Testando com ferramentas como o comando dd, mas não se incomodou, pois a diferença geralmente não é muito significativa., UPS ..... o produto é muito bom, eu a lavei por engano em 8N Machine com as calças, mas ainda está funcionando como como novo. Nenhum problema de perda de dados ou problemas corrompidos de dados que ainda enfrentei. . A tinta prateada no Pendrive está desaparecendo tempo a tempo e agora está ficando preto, o produto é bom, mas lento, o armazenamento é bom, mas não funciona para estéreo de carro, 57 GB em 64, até agora, bom, bom produto, bom, bom, bom, bom produto, OK</v>
      </c>
    </row>
    <row r="607">
      <c r="A607" s="9" t="s">
        <v>2396</v>
      </c>
      <c r="B607" s="29" t="str">
        <f>VLOOKUP(dados!A607, reviews!A:G, 5, FALSE)</f>
        <v>Decent mouse from trusted brand,Value for money,Good,Average mouse.,Good,Cute,Its a good mouse for normal usage... loved it.💕,HP X1000 Wired USB Mouse</v>
      </c>
      <c r="C607" s="29" t="str">
        <f>VLOOKUP(dados!A607, reviews!A:G, 6, FALSE)</f>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v>
      </c>
      <c r="D607" s="29" t="str">
        <f>IFERROR(__xludf.DUMMYFUNCTION("GOOGLETRANSLATE(B607, ""en"", ""pt-br"")"),"Mouse decente da marca confiável, valor ao dinheiro, bom, mouse médio., Bom, fofo, é um bom mouse para uso normal ... adorei.")</f>
        <v>Mouse decente da marca confiável, valor ao dinheiro, bom, mouse médio., Bom, fofo, é um bom mouse para uso normal ... adorei.</v>
      </c>
      <c r="E607" s="29" t="str">
        <f>IFERROR(__xludf.DUMMYFUNCTION("GOOGLETRANSLATE(C607, ""en"", ""pt-br"")"),"O mouse é decente por seu preço de 269i geralmente não uso o Windows, estou usando isso no meu sistema operacional Linux e funciona bem no Arch Linux, por isso tenho certeza de que funcionará bem em qualquer distro baseada no Debian. Impressão - O tamanho"&amp;" é um pouco menor, por isso levará tempo para se acostumar com a roda de rolagem, os pequenos botões balançam o deslocamento do botão é um pouco demais, considerando seu pequeno fator de forma*Atualizarei minha revisão depois de usá -la*, I I tenho procur"&amp;"ado esse tipo de mouse pequeno, que é muito útil de usar. Valor pelo dinheiro., Bom como nessa faixa de preço, este é um bom produto em baixo custo., Dado o preço, melhor um definitivamente., Pequeno, um bom produto geral, é fácil de usar.")</f>
        <v>O mouse é decente por seu preço de 269i geralmente não uso o Windows, estou usando isso no meu sistema operacional Linux e funciona bem no Arch Linux, por isso tenho certeza de que funcionará bem em qualquer distro baseada no Debian. Impressão - O tamanho é um pouco menor, por isso levará tempo para se acostumar com a roda de rolagem, os pequenos botões balançam o deslocamento do botão é um pouco demais, considerando seu pequeno fator de forma*Atualizarei minha revisão depois de usá -la*, I I tenho procurado esse tipo de mouse pequeno, que é muito útil de usar. Valor pelo dinheiro., Bom como nessa faixa de preço, este é um bom produto em baixo custo., Dado o preço, melhor um definitivamente., Pequeno, um bom produto geral, é fácil de usar.</v>
      </c>
    </row>
    <row r="608">
      <c r="A608" s="9" t="s">
        <v>2400</v>
      </c>
      <c r="B608" s="29" t="str">
        <f>VLOOKUP(dados!A608, reviews!A:G, 5, FALSE)</f>
        <v>Noisy clicks - otherwise fine,nice one,Portronics "An New Player in the Field".,Good Built Quality &amp; Smooth Experience,Good Pricing, Light Weight and Excellent Functionality,Effective Sleep Mode,good,Nice and comfortable</v>
      </c>
      <c r="C608" s="29" t="str">
        <f>VLOOKUP(dados!A608, reviews!A:G, 6, FALSE)</f>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v>
      </c>
      <c r="D608" s="29" t="str">
        <f>IFERROR(__xludf.DUMMYFUNCTION("GOOGLETRANSLATE(B608, ""en"", ""pt-br"")"),"Cliques barulhentos - Caso contrário, bom, agradável, retratics ""um novo jogador no campo""., Boa qualidade construída e experiência suave, bons preços, peso leve e excelente funcionalidade, modo de suspensão eficaz, bom, bom e confortável")</f>
        <v>Cliques barulhentos - Caso contrário, bom, agradável, retratics "um novo jogador no campo"., Boa qualidade construída e experiência suave, bons preços, peso leve e excelente funcionalidade, modo de suspensão eficaz, bom, bom e confortável</v>
      </c>
      <c r="E608" s="29" t="str">
        <f>IFERROR(__xludf.DUMMYFUNCTION("GOOGLETRANSLATE(C608, ""en"", ""pt-br"")"),"Peso leve. Fácil de segurar. Os cliques são um pouco difíceis. Modo de suspensão Fine - há um interruptor na parte traseira. Lembre -se de que este não é um mouse silencioso e fará sons de cliques altos. Eu nunca pensei que essa empresa estivesse perto de"&amp;" HP ou Dell se falássemos sobre periféricos de computador, mas os retratos mudaram meu pensamento. Agradeço isso. O Mouse é bom e funcionando sem problemas., Valor por dinheiro, bons preços, peso leve e excelente funcionalidade. O modo de suspensão é bom."&amp;" Deve ser usado com Duracell ..., profissionais: 1. O design é bom, pequeno e confortável de usar. O modo de suspensão é muito eficaz. Pode salvar a bateria.CONS: 1. Se o seu mouse na bolsa e você ligar o PC, ele ficará conectado e permanecerá, se os cliq"&amp;"ues estiverem acontecendo devido ao movimento dentro da bolsa.2. Não é muito silencioso cliques. O mouse HP era melhor. Mesmo com este modo de suspensão eficaz. Sua bateria é drenada demais. Conclusão: é bom para uso e dinheiro. Mas se você está trabalhan"&amp;"do, sugiro comprar um mouse recarregado. Pode salvar seus gastos na bateria AA e seus caminhos de fazer compras., Bom produto, ele tem um interruptor para salvar a duração da bateria. e o produto está bem de acordo com o preço")</f>
        <v>Peso leve. Fácil de segurar. Os cliques são um pouco difíceis. Modo de suspensão Fine - há um interruptor na parte traseira. Lembre -se de que este não é um mouse silencioso e fará sons de cliques altos. Eu nunca pensei que essa empresa estivesse perto de HP ou Dell se falássemos sobre periféricos de computador, mas os retratos mudaram meu pensamento. Agradeço isso. O Mouse é bom e funcionando sem problemas., Valor por dinheiro, bons preços, peso leve e excelente funcionalidade. O modo de suspensão é bom. Deve ser usado com Duracell ..., profissionais: 1. O design é bom, pequeno e confortável de usar. O modo de suspensão é muito eficaz. Pode salvar a bateria.CONS: 1. Se o seu mouse na bolsa e você ligar o PC, ele ficará conectado e permanecerá, se os cliques estiverem acontecendo devido ao movimento dentro da bolsa.2. Não é muito silencioso cliques. O mouse HP era melhor. Mesmo com este modo de suspensão eficaz. Sua bateria é drenada demais. Conclusão: é bom para uso e dinheiro. Mas se você está trabalhando, sugiro comprar um mouse recarregado. Pode salvar seus gastos na bateria AA e seus caminhos de fazer compras., Bom produto, ele tem um interruptor para salvar a duração da bateria. e o produto está bem de acordo com o preço</v>
      </c>
    </row>
    <row r="609">
      <c r="A609" s="9" t="s">
        <v>1509</v>
      </c>
      <c r="B609" s="29" t="str">
        <f>VLOOKUP(dados!A609, reviews!A:G, 5, FALSE)</f>
        <v>Ranjitha,Good one,Best One!!!,Good and average usage,IT'S BEEN GOOD,Good,Noise,Overall good product</v>
      </c>
      <c r="C609" s="29" t="str">
        <f>VLOOKUP(dados!A609, reviews!A:G, 6, FALSE)</f>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product,Good nice,Overall good product to buy</v>
      </c>
      <c r="D609" s="29" t="str">
        <f>IFERROR(__xludf.DUMMYFUNCTION("GOOGLETRANSLATE(B609, ""en"", ""pt-br"")"),"Ranjitha, bom, melhor !!!, bom e médio de uso, tem sido bom, bom, ruído, bom produto geral")</f>
        <v>Ranjitha, bom, melhor !!!, bom e médio de uso, tem sido bom, bom, ruído, bom produto geral</v>
      </c>
      <c r="E609" s="29" t="str">
        <f>IFERROR(__xludf.DUMMYFUNCTION("GOOGLETRANSLATE(C609, ""en"", ""pt-br"")"),"A duração da bateria é baixa, vale a pena comprar, bom desempenho nessa faixa de preço, um produto econômico para comprar para o uso médio de tempo de verificação, monitoramento do coração, pista de etapas, etc. Use e exibir., Antes de tudo, este relógio "&amp;"é amigável para o orçamento. , a experiência é muito boa. Mas, mas a duração da bateria não é tão boa apenas 4 dias de backup da bateria., bom produto, bom bom, bom produto geral para comprar")</f>
        <v>A duração da bateria é baixa, vale a pena comprar, bom desempenho nessa faixa de preço, um produto econômico para comprar para o uso médio de tempo de verificação, monitoramento do coração, pista de etapas, etc. Use e exibir., Antes de tudo, este relógio é amigável para o orçamento. , a experiência é muito boa. Mas, mas a duração da bateria não é tão boa apenas 4 dias de backup da bateria., bom produto, bom bom, bom produto geral para comprar</v>
      </c>
    </row>
    <row r="610">
      <c r="A610" s="9" t="s">
        <v>1513</v>
      </c>
      <c r="B610" s="29" t="str">
        <f>VLOOKUP(dados!A610, reviews!A:G, 5, FALSE)</f>
        <v>Premium looking watch,Excellent Product,The Tracking and touch would be better,Bluetooth connectivity,Very good,The watch is good,Felt Good,Not bad</v>
      </c>
      <c r="C610" s="29" t="str">
        <f>VLOOKUP(dados!A610, reviews!A:G, 6, FALSE)</f>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v>
      </c>
      <c r="D610" s="29" t="str">
        <f>IFERROR(__xludf.DUMMYFUNCTION("GOOGLETRANSLATE(B610, ""en"", ""pt-br"")"),"Relógio de aparência premium, excelente produto, rastreamento e toque seriam melhores, conectividade Bluetooth, muito boa, o relógio é bom, parecia bom, não é ruim")</f>
        <v>Relógio de aparência premium, excelente produto, rastreamento e toque seriam melhores, conectividade Bluetooth, muito boa, o relógio é bom, parecia bom, não é ruim</v>
      </c>
      <c r="E610" s="29" t="str">
        <f>IFERROR(__xludf.DUMMYFUNCTION("GOOGLETRANSLATE(C610, ""en"", ""pt-br"")"),"São apenas 4 dias desde que estamos usando o produto e, com base no uso até agora, a revisão está abaixo: Prós: 1) Parece, parece premium.2) durar uma semana ou mais com uso normal (fecharam todas as notificações que salvam a bateria) 4) Etapas da precisã"&amp;"o: dará 8 em 105) carregador magnético (fácil de carregar) contras: 1) não notará nada até agora., I I Encomendei 2 relógios para minha esposa e irmã. Consegui o preço de 1500. Eu sempre sou fã de Firebolt. E Ninja 3 é muito bom. A resposta do toque é boa"&amp;". Boa duração da bateria. A pista de sono é muito ocorrida. Tem todos os recursos necessários e esses são bastante precisos. É leve e parece bom. Acima de tudo, é um excelente produto a esse preço. A tela de toque não é tão boa que leva tempo pode ser que"&amp;" eu preciso usá -lo por um tempo para melhor experiência, gosto do sono, medição de batimentos cardíacos, SPO2 e rastreamento de exercícios. Eu não gosto O Bluetooth do relógio inteligente apenas. Eu uso este relógio para exercícios, a tela da bateria é a"&amp;" tela GoodTouch IS NELEALL, os equipamentos são muito bons, eu gosto do estilo de relógio e o carregamento é tão rápido, o Firebolt Ninja 3Felt Good for the Watch, simples e fácil, é bom, valor para dinheiro, desempenho geral é bom.")</f>
        <v>São apenas 4 dias desde que estamos usando o produto e, com base no uso até agora, a revisão está abaixo: Prós: 1) Parece, parece premium.2) durar uma semana ou mais com uso normal (fecharam todas as notificações que salvam a bateria) 4) Etapas da precisão: dará 8 em 105) carregador magnético (fácil de carregar) contras: 1) não notará nada até agora., I I Encomendei 2 relógios para minha esposa e irmã. Consegui o preço de 1500. Eu sempre sou fã de Firebolt. E Ninja 3 é muito bom. A resposta do toque é boa. Boa duração da bateria. A pista de sono é muito ocorrida. Tem todos os recursos necessários e esses são bastante precisos. É leve e parece bom. Acima de tudo, é um excelente produto a esse preço. A tela de toque não é tão boa que leva tempo pode ser que eu preciso usá -lo por um tempo para melhor experiência, gosto do sono, medição de batimentos cardíacos, SPO2 e rastreamento de exercícios. Eu não gosto O Bluetooth do relógio inteligente apenas. Eu uso este relógio para exercícios, a tela da bateria é a tela GoodTouch IS NELEALL, os equipamentos são muito bons, eu gosto do estilo de relógio e o carregamento é tão rápido, o Firebolt Ninja 3Felt Good for the Watch, simples e fácil, é bom, valor para dinheiro, desempenho geral é bom.</v>
      </c>
    </row>
    <row r="611">
      <c r="A611" s="9" t="s">
        <v>2406</v>
      </c>
      <c r="B611" s="29" t="str">
        <f>VLOOKUP(dados!A611, reviews!A:G, 5, FALSE)</f>
        <v>A Good wired headset in budget.,They Work Well and Are Reliable,Volume is not as expected,Good sound but too much of bass annoys,Boult Audio Bassbuds X1,Pretty good earphones, but....,Nice Earphone , boult audio X1,Ok</v>
      </c>
      <c r="C611" s="29" t="str">
        <f>VLOOKUP(dados!A611, reviews!A:G, 6, FALSE)</f>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 Comfortable.▪ Elegant and sober appearance.▪ Reasonable battery life. I would let the earbuds recharge at, for example, mealtimes.▪ Decent range. Going a few meters into the next room, with a concrete wall in between, was no issue.▪ The battery status of the dock is shown by a series of LED blinks. Simple and practical.CONS:▪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🔥❤️,it doesn't fit as snugly in my ears, maybe it is cause of greasy ears, but the product is good, highly recommended,,Bolte audio bass is very good</v>
      </c>
      <c r="D611" s="29" t="str">
        <f>IFERROR(__xludf.DUMMYFUNCTION("GOOGLETRANSLATE(B611, ""en"", ""pt-br"")"),"Um bom fone de ouvido com fio no orçamento., Eles funcionam bem e são confiáveis, o volume não é o esperado, o som bom, mas muito baixo irrita, Boult Audio Bassbuds X1, fones de ouvido muito bons, mas ...., fone de ouvido, bom, Boult Audio X1, ok")</f>
        <v>Um bom fone de ouvido com fio no orçamento., Eles funcionam bem e são confiáveis, o volume não é o esperado, o som bom, mas muito baixo irrita, Boult Audio Bassbuds X1, fones de ouvido muito bons, mas ...., fone de ouvido, bom, Boult Audio X1, ok</v>
      </c>
      <c r="E611" s="29" t="str">
        <f>IFERROR(__xludf.DUMMYFUNCTION("GOOGLETRANSLATE(C611, ""en"", ""pt-br"")"),"Este é o meu primeiro produto da Boult. Eu queria um fone de ouvido com fio e, quando pesquisei na Amazon, encontrei Boult em um preço tão baixo e pedi. Recebi hoje. Chequei conectando -o ao meu telefone e fiquei surpreso com a qualidade do áudio. Este é "&amp;"um bom produto nessa faixa de preço e o microfone também é bom. A qualidade da construção é média e você não pode reclamar considerando o preço. Ele também tem um clipe para prender o fone de ouvido à sua camisa como os bons e velhos dias da Nokia. Possui"&amp;" total de 3 pares de pares ou ouvido (2 em um pacote com zíper e 1 já conectado ao fone de ouvido). A data de fabricação é março de 2022. Portanto, é muito novo, na verdade, não um estoque antigo. Ele também tem esse gancho de ouvido anti-deslizamento, qu"&amp;"e é uma vantagem adicional. Em geral, é um bom produto para esse preço. Eu estava procurando por fones de ouvido Bluetooth confiáveis ​​com orçamento limitado e resolvi isso. Pessoalmente, estou satisfeito com eles. Eu os uso há quase quatro meses, inclui"&amp;"ndo um mês em que eles viram cerca de 12 horas de uso por dia.Pros: ▪ Confortável.▪ Aparência elegante e sóbria.▪ A vida da bateria razoável. Eu deixaria os fones de ouvido recarregarem, por exemplo, refeições. Indo alguns metros na sala ao lado, com uma "&amp;"parede de concreto intermediário, não havia problema. ▪ O status da bateria da doca é mostrado por uma série de piscar devastada. Simples e Practical.Cons: ▪ Qualidade medíocre de chamada de telefone. Em particular, o microfone. As poucas conversas que eu"&amp;" tinha usando essas foram com sucesso, então isso não foi um quebra de negócio, mas a clareza não era a melhor, com certeza. Os controles de toque foram inicialmente uma desvantagem para mim, mas me acostumei com eles. Além disso, este produto não vem com"&amp;" um carregador. Coloque a carga do seu computador ou compre um carregador com a saída elétrica recomendada. Quanto à qualidade do som, é aceitável, não superlativo. Eu ouvi música e assisti a filmes e vídeos do YouTube, sem problemas. Como uma nota final,"&amp;" prefiro esse tipo de fone de ouvido em vez do tipo de orelha, porque acho mais higiênico. Limpar com um pano limpo após cada uso e deixar a tampa da doca aberta por algum tempo, deve ajudar a diminuir o crescimento dos fungos., Produto muito bom, se enca"&amp;"ixa bem na orelha e confortável. O volume parece um pouco baixo em O mais alto. Mas, uma boa compra, a qualidade do som é boa, tudo é equilibrado, mas o domínio dos graves é muito alto e não conseguiu ouvir os agudos e outras notas, muito boa qualidade do"&amp;"s graves e valor para fones de ouvido em dinheiro que eu sempre comprei .. também qualidade do produto é incrível 🔥❤️, não se encaixa tão confortavelmente nos meus ouvidos, talvez seja por causa de ouvidos oleosos, mas o produto é bom, altamente recomend"&amp;"ado, o baixo de áudio Bolte é muito bom")</f>
        <v>Este é o meu primeiro produto da Boult. Eu queria um fone de ouvido com fio e, quando pesquisei na Amazon, encontrei Boult em um preço tão baixo e pedi. Recebi hoje. Chequei conectando -o ao meu telefone e fiquei surpreso com a qualidade do áudio. Este é um bom produto nessa faixa de preço e o microfone também é bom. A qualidade da construção é média e você não pode reclamar considerando o preço. Ele também tem um clipe para prender o fone de ouvido à sua camisa como os bons e velhos dias da Nokia. Possui total de 3 pares de pares ou ouvido (2 em um pacote com zíper e 1 já conectado ao fone de ouvido). A data de fabricação é março de 2022. Portanto, é muito novo, na verdade, não um estoque antigo. Ele também tem esse gancho de ouvido anti-deslizamento, que é uma vantagem adicional. Em geral, é um bom produto para esse preço. Eu estava procurando por fones de ouvido Bluetooth confiáveis ​​com orçamento limitado e resolvi isso. Pessoalmente, estou satisfeito com eles. Eu os uso há quase quatro meses, incluindo um mês em que eles viram cerca de 12 horas de uso por dia.Pros: ▪ Confortável.▪ Aparência elegante e sóbria.▪ A vida da bateria razoável. Eu deixaria os fones de ouvido recarregarem, por exemplo, refeições. Indo alguns metros na sala ao lado, com uma parede de concreto intermediário, não havia problema. ▪ O status da bateria da doca é mostrado por uma série de piscar devastada. Simples e Practical.Cons: ▪ Qualidade medíocre de chamada de telefone. Em particular, o microfone. As poucas conversas que eu tinha usando essas foram com sucesso, então isso não foi um quebra de negócio, mas a clareza não era a melhor, com certeza. Os controles de toque foram inicialmente uma desvantagem para mim, mas me acostumei com eles. Além disso, este produto não vem com um carregador. Coloque a carga do seu computador ou compre um carregador com a saída elétrica recomendada. Quanto à qualidade do som, é aceitável, não superlativo. Eu ouvi música e assisti a filmes e vídeos do YouTube, sem problemas. Como uma nota final, prefiro esse tipo de fone de ouvido em vez do tipo de orelha, porque acho mais higiênico. Limpar com um pano limpo após cada uso e deixar a tampa da doca aberta por algum tempo, deve ajudar a diminuir o crescimento dos fungos., Produto muito bom, se encaixa bem na orelha e confortável. O volume parece um pouco baixo em O mais alto. Mas, uma boa compra, a qualidade do som é boa, tudo é equilibrado, mas o domínio dos graves é muito alto e não conseguiu ouvir os agudos e outras notas, muito boa qualidade dos graves e valor para fones de ouvido em dinheiro que eu sempre comprei .. também qualidade do produto é incrível 🔥❤️, não se encaixa tão confortavelmente nos meus ouvidos, talvez seja por causa de ouvidos oleosos, mas o produto é bom, altamente recomendado, o baixo de áudio Bolte é muito bom</v>
      </c>
    </row>
    <row r="612">
      <c r="A612" s="9" t="s">
        <v>2410</v>
      </c>
      <c r="B612" s="29" t="str">
        <f>VLOOKUP(dados!A612, reviews!A:G, 5, FALSE)</f>
        <v>Sturdy key-board for office use,Smooth keyboard,Good one,Low budget but good product,Good,Good product,Good,good</v>
      </c>
      <c r="C612" s="29" t="str">
        <f>VLOOKUP(dados!A612, reviews!A:G, 6, FALSE)</f>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v>
      </c>
      <c r="D612" s="29" t="str">
        <f>IFERROR(__xludf.DUMMYFUNCTION("GOOGLETRANSLATE(B612, ""en"", ""pt-br"")"),"Planto de chave resistente para uso do escritório, teclado liso, bom, baixo orçamento, mas bom produto, bom, bom produto, bom, bom")</f>
        <v>Planto de chave resistente para uso do escritório, teclado liso, bom, baixo orçamento, mas bom produto, bom, bom produto, bom, bom</v>
      </c>
      <c r="E612" s="29" t="str">
        <f>IFERROR(__xludf.DUMMYFUNCTION("GOOGLETRANSLATE(C612, ""en"", ""pt-br"")"),"Encomendei para o meu escritório em casa e o uso há quase 10 meses, parece bom e não há atraso na digitação e as chaves são confortáveis ​​durante a digitação., Produto NIC e teclado liso! A digitação e as chaves sem esforço estão alinhadas exatamente con"&amp;"forme minhas expectativas. Não estou feliz com a embalagem e espero perceber a partir da próxima ordem., Fiquei feliz em ver Dell em seu corpo; Eu acho que é genuíno. Funcionou desde o primeiro dia; O futuro dirá quanto tempo me satisfaz. 'Estou usando co"&amp;"m um laptop antigo., Bom para digitar e trabalhar muito bem ..., bom P, https: //m.media-amazon.com/images/w/webp_402378-t1/images/i/71cleoimjl ._Sy88.jpg, bom produto, bom")</f>
        <v>Encomendei para o meu escritório em casa e o uso há quase 10 meses, parece bom e não há atraso na digitação e as chaves são confortáveis ​​durante a digitação., Produto NIC e teclado liso! A digitação e as chaves sem esforço estão alinhadas exatamente conforme minhas expectativas. Não estou feliz com a embalagem e espero perceber a partir da próxima ordem., Fiquei feliz em ver Dell em seu corpo; Eu acho que é genuíno. Funcionou desde o primeiro dia; O futuro dirá quanto tempo me satisfaz. 'Estou usando com um laptop antigo., Bom para digitar e trabalhar muito bem ..., bom P, https: //m.media-amazon.com/images/w/webp_402378-t1/images/i/71cleoimjl ._Sy88.jpg, bom produto, bom</v>
      </c>
    </row>
    <row r="613">
      <c r="A613" s="9" t="s">
        <v>1532</v>
      </c>
      <c r="B613" s="29" t="str">
        <f>VLOOKUP(dados!A613, reviews!A:G, 5, FALSE)</f>
        <v>Worth the price, expecting good performance on extended use,According to this price is value for money Good product,Good budget calling smart watch.,Just Go For It,It's good product in this range,Very Good watch in this price Range,Good Product as per the price charged,Good in budget</v>
      </c>
      <c r="C613" s="29" t="str">
        <f>VLOOKUP(dados!A613, reviews!A:G, 6, FALSE)</f>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v>
      </c>
      <c r="D613" s="29" t="str">
        <f>IFERROR(__xludf.DUMMYFUNCTION("GOOGLETRANSLATE(B613, ""en"", ""pt-br"")"),"Vale o preço, esperando um bom desempenho em uso prolongado, de acordo com esse preço, é um bom produto, bom produto, bom orçamento chamando o relógio inteligente., Basta seguir em frente, é um bom produto nesse intervalo, um bom relógio nessa faixa de pr"&amp;"eço, bom Produto conforme o preço cobrado, bom em orçamento")</f>
        <v>Vale o preço, esperando um bom desempenho em uso prolongado, de acordo com esse preço, é um bom produto, bom produto, bom orçamento chamando o relógio inteligente., Basta seguir em frente, é um bom produto nesse intervalo, um bom relógio nessa faixa de preço, bom Produto conforme o preço cobrado, bom em orçamento</v>
      </c>
      <c r="E613" s="29" t="str">
        <f>IFERROR(__xludf.DUMMYFUNCTION("GOOGLETRANSLATE(C613, ""en"", ""pt-br"")"),"Recebeu o produto hoje. A embalagem estava intacta, embora eu encontrasse o relógio não no seu lugar apropriado. Ele caiu dentro da caixa e encontrou a caixa de retenção interna danificada também. Não esperando nenhum tipo de adulteração, mas que se penso"&amp;"u em compartilhar a embalagem do produto. No geral, bom produto, compartilhará uma revisão detalhada depois de usá -lo por pelo menos por semana., Bom relógio através do fogo 🔥 boulti estou impressionado para este relógio é para que compundaLe e todos A "&amp;"marca é dada a esse recurso, estou feliz por este relógio que você dispara 🔥 boult, prós: o telefone suporta telefone e aplicativos. Tem muito cobrança. Localizador de telefone, o obturador da câmera do telefone são bons recursos. BELO PROCURAÇÃO. CONSEN"&amp;"HO: Não é uma tela cheia, a tela é menor que o relógio. Meu relógio não é alinhado central. Número limitado de rosto de relógio. Às vezes tende a chamar o número recente com um toque falso. A lista telefônica deve ser um pouco maior que 8 números. Acabei "&amp;"de comprar, então minha revisão é basicamente a primeira impressão. Vou escrever uma revisão detalhada após alguns dias de uso. Eu gosto do estilo e parece bom. Até agora, a operação de toque também é boa, é um bom produto nesse intervalo, porque eu tenho"&amp;" mais um relógio inteligente Pebble na mesma faixa de preço, mas depois de usar o Fire Boltt, é melhor. Apenas uma questão que não interrompe o anel de chamada durante o escritório ou o horário da reunião. Gostei de tudo, exceto a precisão do nível de aud"&amp;"itório e O2, mas está próximo dos níveis reais, tão médio a esse respeito. Caso contrário, é uma morte pelo dinheiro !!! Muito bom no geral., O produto é bom de acordo com o preço cobrado. Um feedback para o fornecedor para melhorar o vidro do relógio, há"&amp;" muitos arranhões dentro de um mês após o uso., Tudo é bom. Satisfeito. A seleção automática do modo esportivo não está lá. Você precisa selecionar cada modo esportivo para cada treino")</f>
        <v>Recebeu o produto hoje. A embalagem estava intacta, embora eu encontrasse o relógio não no seu lugar apropriado. Ele caiu dentro da caixa e encontrou a caixa de retenção interna danificada também. Não esperando nenhum tipo de adulteração, mas que se pensou em compartilhar a embalagem do produto. No geral, bom produto, compartilhará uma revisão detalhada depois de usá -lo por pelo menos por semana., Bom relógio através do fogo 🔥 boulti estou impressionado para este relógio é para que compundaLe e todos A marca é dada a esse recurso, estou feliz por este relógio que você dispara 🔥 boult, prós: o telefone suporta telefone e aplicativos. Tem muito cobrança. Localizador de telefone, o obturador da câmera do telefone são bons recursos. BELO PROCURAÇÃO. CONSENHO: Não é uma tela cheia, a tela é menor que o relógio. Meu relógio não é alinhado central. Número limitado de rosto de relógio. Às vezes tende a chamar o número recente com um toque falso. A lista telefônica deve ser um pouco maior que 8 números. Acabei de comprar, então minha revisão é basicamente a primeira impressão. Vou escrever uma revisão detalhada após alguns dias de uso. Eu gosto do estilo e parece bom. Até agora, a operação de toque também é boa, é um bom produto nesse intervalo, porque eu tenho mais um relógio inteligente Pebble na mesma faixa de preço, mas depois de usar o Fire Boltt, é melhor. Apenas uma questão que não interrompe o anel de chamada durante o escritório ou o horário da reunião. Gostei de tudo, exceto a precisão do nível de auditório e O2, mas está próximo dos níveis reais, tão médio a esse respeito. Caso contrário, é uma morte pelo dinheiro !!! Muito bom no geral., O produto é bom de acordo com o preço cobrado. Um feedback para o fornecedor para melhorar o vidro do relógio, há muitos arranhões dentro de um mês após o uso., Tudo é bom. Satisfeito. A seleção automática do modo esportivo não está lá. Você precisa selecionar cada modo esportivo para cada treino</v>
      </c>
    </row>
    <row r="614">
      <c r="A614" s="9" t="s">
        <v>2417</v>
      </c>
      <c r="B614" s="29" t="str">
        <f>VLOOKUP(dados!A614, reviews!A:G, 5, FALSE)</f>
        <v>Big in size as comparison to other normal sized mouse but works very well,Good for office uses,worth the buy,Best mouse at this price,Item is good.  No issues,It's really worthwhile,Good for home or office use,Rough and affordable</v>
      </c>
      <c r="C614" s="29" t="str">
        <f>VLOOKUP(dados!A614, reviews!A:G, 6, FALSE)</f>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v>
      </c>
      <c r="D614" s="29" t="str">
        <f>IFERROR(__xludf.DUMMYFUNCTION("GOOGLETRANSLATE(B614, ""en"", ""pt-br"")"),"Grande em tamanho como comparação com outro mouse de tamanho normal, mas funciona muito bem, bom para usos de escritório, vale a pena comprar, o melhor mouse a esse preço, o item é bom. Sem problemas, vale a pena, bom para uso em casa ou no escritório, ás"&amp;"pero e acessível")</f>
        <v>Grande em tamanho como comparação com outro mouse de tamanho normal, mas funciona muito bem, bom para usos de escritório, vale a pena comprar, o melhor mouse a esse preço, o item é bom. Sem problemas, vale a pena, bom para uso em casa ou no escritório, áspero e acessível</v>
      </c>
      <c r="E614" s="29" t="str">
        <f>IFERROR(__xludf.DUMMYFUNCTION("GOOGLETRANSLATE(C614, ""en"", ""pt-br"")"),"Estou usando este mouse há mais de 6 meses e está funcionando muito bem. Mas o único problema que enfrentei é o grande tamanho. ., Trabalhando bem, de longe o melhor mouse que eu usei (escrevendo isso após 3 dias). se adapta bem ao uso diário; Pode ser um"&amp;" pouco maior ..., tenho usado este mouse nos últimos 4 anos, tanto no cargo quanto em casa. Combina com a minha mão a melhor, tentei um mouse de jogos na faixa de 500-800, mas a sensação não é boa e meu pulso começa a machucar esses ratos baratos. Este é "&amp;"o pai de todos os ratos nesse sentido, pois marca todas as caixas para mim. Obviamente, você não pode esperar um pouco de Deus como o desempenho dos jogos, mas é decente e, para tudo o que é o melhor., O item é bom. Sem problemas, vale a pena, um pouco de"&amp;" altura, cliques e role bem para uso em casa e no escritório, fácil de usar. Duro. Dura 4 anos+. Acessível.")</f>
        <v>Estou usando este mouse há mais de 6 meses e está funcionando muito bem. Mas o único problema que enfrentei é o grande tamanho. ., Trabalhando bem, de longe o melhor mouse que eu usei (escrevendo isso após 3 dias). se adapta bem ao uso diário; Pode ser um pouco maior ..., tenho usado este mouse nos últimos 4 anos, tanto no cargo quanto em casa. Combina com a minha mão a melhor, tentei um mouse de jogos na faixa de 500-800, mas a sensação não é boa e meu pulso começa a machucar esses ratos baratos. Este é o pai de todos os ratos nesse sentido, pois marca todas as caixas para mim. Obviamente, você não pode esperar um pouco de Deus como o desempenho dos jogos, mas é decente e, para tudo o que é o melhor., O item é bom. Sem problemas, vale a pena, um pouco de altura, cliques e role bem para uso em casa e no escritório, fácil de usar. Duro. Dura 4 anos+. Acessível.</v>
      </c>
    </row>
    <row r="615">
      <c r="A615" s="9" t="s">
        <v>2421</v>
      </c>
      <c r="B615" s="29" t="str">
        <f>VLOOKUP(dados!A615, reviews!A:G, 5, FALSE)</f>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v>
      </c>
      <c r="C615" s="29" t="str">
        <f>VLOOKUP(dados!A615, reviews!A:G, 6, FALSE)</f>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v>
      </c>
      <c r="D615" s="29" t="str">
        <f>IFERROR(__xludf.DUMMYFUNCTION("GOOGLETRANSLATE(B615, ""en"", ""pt-br"")"),"Revisão detalhada com as melhores configurações para melhor saída de som !!!, vale a pena se você souber usar e para que usar., Bom para gravações não profissionais, compre isso e comece a criar conteúdo para o seu YouTube., Cabo longo deve ser Opcional ."&amp;"... é muito tempo mais um bom microfone para iniciantes no YT, trabalhando como esperado, bom produto, bom 👍")</f>
        <v>Revisão detalhada com as melhores configurações para melhor saída de som !!!, vale a pena se você souber usar e para que usar., Bom para gravações não profissionais, compre isso e comece a criar conteúdo para o seu YouTube., Cabo longo deve ser Opcional .... é muito tempo mais um bom microfone para iniciantes no YT, trabalhando como esperado, bom produto, bom 👍</v>
      </c>
      <c r="E615" s="29" t="str">
        <f>IFERROR(__xludf.DUMMYFUNCTION("GOOGLETRANSLATE(C615, ""en"", ""pt-br"")"),"Nota:@ está pronto para ir microfone, que não precisa de nenhuma placa de som e pode ser conectado e usado diretamente mesmo com smartphones. tem um cabo muito longo, que mede até 20 pés, então observe isso.@ Ele não tem absolutamente nenhum isolamento de"&amp;" ruído e os fones de ouvido normais do smartphone fazem melhor o trabalho de redução de ruído em comparação com eles em condições de estoque, mas com edição simples esse microfone funciona bem (verifique o revisão abaixo para configurações detalhadas) Exi"&amp;"stem literalmente milhares de revisões neste produto, mas nenhum explicou as melhores configurações possíveis para ele quando usado com smartphone com software Audacity, ou mesmo em geral. Por isso, corri o risco de encomendá -lo e acabou sendo um pesadel"&amp;"o imediatamente, pois a saída de som era pior do que os fones de ouvido do meu smartphone. Então, fui procurar as melhores configurações na Amazon e outras fontes, mas em vão. Felizmente, eu mesmo em experimentos encontrei a solução e agora está funcionan"&amp;"do muito bem. Primeiro, estou mencionando todos os prós e consumindo as configurações que encontrei e depois listando essas configurações, profissionais: ------- 1. A qualidade construída do microfone e cabo completos é bom para o preço fornecido. O compr"&amp;"imento do cabo é insano (20 pés).* Pessoalmente, não achei útil, pois o uso no meu smartphone, que fica a apenas alguns metros abaixo nos bolsos, mas para alguns usuários pode ser muito útil se estiver usando em configuração da plataforma com a câmera. Po"&amp;"ssui jack universal de 3,5 mm, que é útil. É fácil de usar, basta conectar o dispositivo, que não precisa de cartão de som ou dispositivo externo para funcionar. Tem suporte para vários dispositivos diretamente, desde smartphones a DSLRs e computadores. E"&amp;"le vem com bolsa de transporte, que é muito útil, pois é uma bagunça com cabos tão longos.CONS: -------- 1. O maior golpe é a qualidade do som imediatamente. Sua qualidade de lixo e até ouvidos normais não suportam a coleção de ruído de fundo, então esque"&amp;"ça os audiófilos. Os fones de ouvido normais do meu smartphone registram uma qualidade de som muito melhor em comparação com isso. O comprimento do cabo é demais para mim e acho que para muitos usuários. Eu acho que deveria haver uma opção múltipla no com"&amp;"primento para escolher, pois manter o cabo de 20 pés embrulhado e pendurado ou no bolso enquanto a gravação não é confortável.3. Ele vem com uma célula de botão para gravar som para diferentes dispositivos que não o smartphone e não há como saber se a bat"&amp;"eria está morta ou qual é o seu nível de carregamento. A única maneira de verificar é conectá -lo a um gravador digital ou computador e teste. Portanto, se você o estiver carregando com gravador, que não possui recurso de reprodução ou se estiver com pres"&amp;"sa e em caso de bateria morta para gravar todo o som, apenas uma maneira de descobrir que seus esforços estão em vão será quando você se sentar confortavelmente sentar Para editá -lo e confiar em mim, é muito frustrante! Estou mencionando, pois esse cenár"&amp;"io já aconteceu comigo uma vez, por isso estou muito cauteloso com as baterias agora e usá -lo com smartphones ou gravadores digitais.4. Eu acho que o preço deveria ter algumas centenas de dólares a menos, considerando a qualidade do som. ======== Estas s"&amp;"ão as configurações ao gravar com smartphone ou qualquer outro dispositivo e há muitos ruídos de fundo e você usa o software Audacity, que é gratuito! 1. Abra o software e abra o arquivo de áudio que você gravou com este microfone.2. Selecione o clipe de "&amp;"áudio inteiro e abra ""efeitos"" e depois ""distorção"" 3. Inicie a reprodução do clipe de áudio no software, para que você possa ouvir a mudança nos efeitos que está prestes a fazer. Limitador duro ""e faça as configurações, pois parece adequado para voc"&amp;"ê. Pegue o ""Cursor do nível de recorte até a extremidade extrema à direita ou mais até ouvir uma saída suave e suave.6. Ajuste o cursor"" ganho de maquiagem ""um pouco, se necessário, eu o mantenho em 49.* Aqui você pode selecionar qual tipo de sempre, q"&amp;"ue você acha que é adequado para você.7. Agora, basta clicar em ""Aplicar"" .8. Agora é redução de ruído. Para essa seção curta selecionada de áudio, que não tem sua voz, mas só tem ruídos de fundo que você não deseja. 9. Abra os ""efeitos"" e depois a """&amp;"redução de ruído"" 10. Clique em ""Get Rouir Profile"" .11. Agora selecione Clip de áudio inteiro e abra novamente ""Efeitos"" e depois ""Redução de ruído"" .12. Finalmente, clique em ""OK ""E é isso! Agora você está pronto para ir com ruídos suaves e um "&amp;"pouco menores e uma saída de som mais agradável. Após essas etapas, você pode amplificar o som do mesmo software ou de qualquer outro software de usuário final. ----- Pessoalmente, estou muito decepcionado com a qualidade do som, embora o ajuste da audáci"&amp;"a o leve ao nível suportável, mas é satisfatório o suficiente. Além disso, o preço parece um pouco mais sobre isso. Eu não recomendaria que estes são alguém que tendo boa qualidade de som, especialmente se você mora em um ambiente barulhento. Compre isso "&amp;"apenas se você mora em condições muito silenciosas., Não é ótimo ou melhor para iniciantes, mas bom-eu uso um telefone de gama média do orçamento e o microfone Boya é melhor do que no microfone de telefone construído. Grave-o no formato WAV, é bom. Você p"&amp;"recisa usar software/aplicativos para puxar o melhor disso, como Audacity ou algum outro aplicativo de edição. você está conectando-o à câmera em um tripé. No geral, é decente para iniciantes. Vejo que os telefones sofisticados têm bons recursos de gravaç"&amp;"ão, mas se você tiver um telefone orçamentário, este é o negócio. O microfone parece muito bem construído, ele suporta telefones e câmeras. Existem alguns telefones que não suportam o microfone externo, verifique antes de comprar como um do meu telefone n"&amp;"ão a apoia. Eles afirmam que o cancelamento de ruído, no entanto, não notei uma grande diferença que ele também captura uma grande quantidade de ruído, apenas o cancelamento é porque de preenchimento de espuma ao redor do microfone. Eu não conseguia obser"&amp;"var o cancelamento de ruído, pelo menos, ao gravar no telefone. O pacote geral está bem agrupado, a qualidade do fio é decente, no entanto, a qualidade do dongle é excelente, mesmo o pequeno clipe para segurar o microfone parece sólido., Fios é por muito "&amp;"tempo, mas Bom se a qualidade do fio melhorar no futuro, então 5 estrelas minhas, mas agora 4 estrelas bom som baixo preço 1 estrela - para qualidade de fio, mas em todos um bom produto. ☆☆☆☆, acho que é bom para o ensino on -line como eu ... mas sim, alg"&amp;"uns problemas como comprimento muito longo do cabo, quero dizer, alguém pode precisar, mas deve ser opcional ... ou preço destacável do próprio microfone não é muito Claro que preciso de um microfone de qualidade para atualizar ..., não espere cancelament"&amp;"o de noice sob esse orçamento, mas a qualidade da gravação de áudio é muito boa., bom produto, decente")</f>
        <v>Nota:@ está pronto para ir microfone, que não precisa de nenhuma placa de som e pode ser conectado e usado diretamente mesmo com smartphones. tem um cabo muito longo, que mede até 20 pés, então observe isso.@ Ele não tem absolutamente nenhum isolamento de ruído e os fones de ouvido normais do smartphone fazem melhor o trabalho de redução de ruído em comparação com eles em condições de estoque, mas com edição simples esse microfone funciona bem (verifique o revisão abaixo para configurações detalhadas) Existem literalmente milhares de revisões neste produto, mas nenhum explicou as melhores configurações possíveis para ele quando usado com smartphone com software Audacity, ou mesmo em geral. Por isso, corri o risco de encomendá -lo e acabou sendo um pesadelo imediatamente, pois a saída de som era pior do que os fones de ouvido do meu smartphone. Então, fui procurar as melhores configurações na Amazon e outras fontes, mas em vão. Felizmente, eu mesmo em experimentos encontrei a solução e agora está funcionando muito bem. Primeiro, estou mencionando todos os prós e consumindo as configurações que encontrei e depois listando essas configurações, profissionais: ------- 1. A qualidade construída do microfone e cabo completos é bom para o preço fornecido. O comprimento do cabo é insano (20 pés).* Pessoalmente, não achei útil, pois o uso no meu smartphone, que fica a apenas alguns metros abaixo nos bolsos, mas para alguns usuários pode ser muito útil se estiver usando em configuração da plataforma com a câmera. Possui jack universal de 3,5 mm, que é útil. É fácil de usar, basta conectar o dispositivo, que não precisa de cartão de som ou dispositivo externo para funcionar. Tem suporte para vários dispositivos diretamente, desde smartphones a DSLRs e computadores. Ele vem com bolsa de transporte, que é muito útil, pois é uma bagunça com cabos tão longos.CONS: -------- 1. O maior golpe é a qualidade do som imediatamente. Sua qualidade de lixo e até ouvidos normais não suportam a coleção de ruído de fundo, então esqueça os audiófilos. Os fones de ouvido normais do meu smartphone registram uma qualidade de som muito melhor em comparação com isso. O comprimento do cabo é demais para mim e acho que para muitos usuários. Eu acho que deveria haver uma opção múltipla no comprimento para escolher, pois manter o cabo de 20 pés embrulhado e pendurado ou no bolso enquanto a gravação não é confortável.3. Ele vem com uma célula de botão para gravar som para diferentes dispositivos que não o smartphone e não há como saber se a bateria está morta ou qual é o seu nível de carregamento. A única maneira de verificar é conectá -lo a um gravador digital ou computador e teste. Portanto, se você o estiver carregando com gravador, que não possui recurso de reprodução ou se estiver com pressa e em caso de bateria morta para gravar todo o som, apenas uma maneira de descobrir que seus esforços estão em vão será quando você se sentar confortavelmente sentar Para editá -lo e confiar em mim, é muito frustrante! Estou mencionando, pois esse cenário já aconteceu comigo uma vez, por isso estou muito cauteloso com as baterias agora e usá -lo com smartphones ou gravadores digitais.4. Eu acho que o preço deveria ter algumas centenas de dólares a menos, considerando a qualidade do som. ======== Estas são as configurações ao gravar com smartphone ou qualquer outro dispositivo e há muitos ruídos de fundo e você usa o software Audacity, que é gratuito! 1. Abra o software e abra o arquivo de áudio que você gravou com este microfone.2. Selecione o clipe de áudio inteiro e abra "efeitos" e depois "distorção" 3. Inicie a reprodução do clipe de áudio no software, para que você possa ouvir a mudança nos efeitos que está prestes a fazer. Limitador duro "e faça as configurações, pois parece adequado para você. Pegue o "Cursor do nível de recorte até a extremidade extrema à direita ou mais até ouvir uma saída suave e suave.6. Ajuste o cursor" ganho de maquiagem "um pouco, se necessário, eu o mantenho em 49.* Aqui você pode selecionar qual tipo de sempre, que você acha que é adequado para você.7. Agora, basta clicar em "Aplicar" .8. Agora é redução de ruído. Para essa seção curta selecionada de áudio, que não tem sua voz, mas só tem ruídos de fundo que você não deseja. 9. Abra os "efeitos" e depois a "redução de ruído" 10. Clique em "Get Rouir Profile" .11. Agora selecione Clip de áudio inteiro e abra novamente "Efeitos" e depois "Redução de ruído" .12. Finalmente, clique em "OK "E é isso! Agora você está pronto para ir com ruídos suaves e um pouco menores e uma saída de som mais agradável. Após essas etapas, você pode amplificar o som do mesmo software ou de qualquer outro software de usuário final. ----- Pessoalmente, estou muito decepcionado com a qualidade do som, embora o ajuste da audácia o leve ao nível suportável, mas é satisfatório o suficiente. Além disso, o preço parece um pouco mais sobre isso. Eu não recomendaria que estes são alguém que tendo boa qualidade de som, especialmente se você mora em um ambiente barulhento. Compre isso apenas se você mora em condições muito silenciosas., Não é ótimo ou melhor para iniciantes, mas bom-eu uso um telefone de gama média do orçamento e o microfone Boya é melhor do que no microfone de telefone construído. Grave-o no formato WAV, é bom. Você precisa usar software/aplicativos para puxar o melhor disso, como Audacity ou algum outro aplicativo de edição. você está conectando-o à câmera em um tripé. No geral, é decente para iniciantes. Vejo que os telefones sofisticados têm bons recursos de gravação, mas se você tiver um telefone orçamentário, este é o negócio. O microfone parece muito bem construído, ele suporta telefones e câmeras. Existem alguns telefones que não suportam o microfone externo, verifique antes de comprar como um do meu telefone não a apoia. Eles afirmam que o cancelamento de ruído, no entanto, não notei uma grande diferença que ele também captura uma grande quantidade de ruído, apenas o cancelamento é porque de preenchimento de espuma ao redor do microfone. Eu não conseguia observar o cancelamento de ruído, pelo menos, ao gravar no telefone. O pacote geral está bem agrupado, a qualidade do fio é decente, no entanto, a qualidade do dongle é excelente, mesmo o pequeno clipe para segurar o microfone parece sólido., Fios é por muito tempo, mas Bom se a qualidade do fio melhorar no futuro, então 5 estrelas minhas, mas agora 4 estrelas bom som baixo preço 1 estrela - para qualidade de fio, mas em todos um bom produto. ☆☆☆☆, acho que é bom para o ensino on -line como eu ... mas sim, alguns problemas como comprimento muito longo do cabo, quero dizer, alguém pode precisar, mas deve ser opcional ... ou preço destacável do próprio microfone não é muito Claro que preciso de um microfone de qualidade para atualizar ..., não espere cancelamento de noice sob esse orçamento, mas a qualidade da gravação de áudio é muito boa., bom produto, decente</v>
      </c>
    </row>
    <row r="616">
      <c r="A616" s="9" t="s">
        <v>16</v>
      </c>
      <c r="B616" s="29" t="str">
        <f>VLOOKUP(dados!A616, reviews!A:G, 5, FALSE)</f>
        <v>Satisfied,Charging is really fast,Value for money,Product review,Good quality,Good product,Good Product,As of now seems good</v>
      </c>
      <c r="C616" s="29" t="str">
        <f>VLOOKUP(dados!A616, reviews!A:G, 6, FALSE)</f>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v>
      </c>
      <c r="D616" s="29" t="str">
        <f>IFERROR(__xludf.DUMMYFUNCTION("GOOGLETRANSLATE(B616, ""en"", ""pt-br"")"),"Satisfeito, cobrar é muito rápido, valor ao dinheiro, revisão de produtos, boa qualidade, bom produto, bom produto, a partir de agora parece bom")</f>
        <v>Satisfeito, cobrar é muito rápido, valor ao dinheiro, revisão de produtos, boa qualidade, bom produto, bom produto, a partir de agora parece bom</v>
      </c>
      <c r="E616" s="29" t="str">
        <f>IFERROR(__xludf.DUMMYFUNCTION("GOOGLETRANSLATE(C616, ""en"", ""pt-br"")"),"Parece que o carregamento durável é bom que reclama, o carregamento é muito rápido, bom produto., Até agora, satisfeito com a qualidade., Este é um bom produto. A velocidade de carregamento é mais lenta que o cabo original do iPhone, de boa qualidade, rec"&amp;"omendaria https: //m.media-amazon.com/images/w/webp_402378-t1/images/i/81---f1zghl._sy88.jpg , O produto funcionou bem até a data e não estava tendo nenhum problema. A CABLE também é robusta o suficiente ... pediu substituição e a empresa está fazendo o m"&amp;"esmo ..., valor ao dinheiro")</f>
        <v>Parece que o carregamento durável é bom que reclama, o carregamento é muito rápido, bom produto., Até agora, satisfeito com a qualidade., Este é um bom produto. A velocidade de carregamento é mais lenta que o cabo original do iPhone, de boa qualidade, recomendaria https: //m.media-amazon.com/images/w/webp_402378-t1/images/i/81---f1zghl._sy88.jpg , O produto funcionou bem até a data e não estava tendo nenhum problema. A CABLE também é robusta o suficiente ... pediu substituição e a empresa está fazendo o mesmo ..., valor ao dinheiro</v>
      </c>
    </row>
    <row r="617">
      <c r="A617" s="9" t="s">
        <v>2430</v>
      </c>
      <c r="B617" s="29" t="str">
        <f>VLOOKUP(dados!A617, reviews!A:G, 5, FALSE)</f>
        <v>That's a nice one,Best services.,V good less price than that of market,As described,Value for money,Best battery cells out there,Quality yu,Good</v>
      </c>
      <c r="C617" s="29" t="str">
        <f>VLOOKUP(dados!A617, reviews!A:G, 6, FALSE)</f>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v>
      </c>
      <c r="D617" s="29" t="str">
        <f>IFERROR(__xludf.DUMMYFUNCTION("GOOGLETRANSLATE(B617, ""en"", ""pt-br"")"),"Essa é uma boa, os melhores serviços., V Bom menos preço do que o do mercado, como descrito, valor pelo dinheiro, melhores células de bateria por aí, qualidade yu, bom")</f>
        <v>Essa é uma boa, os melhores serviços., V Bom menos preço do que o do mercado, como descrito, valor pelo dinheiro, melhores células de bateria por aí, qualidade yu, bom</v>
      </c>
      <c r="E617" s="29" t="str">
        <f>IFERROR(__xludf.DUMMYFUNCTION("GOOGLETRANSLATE(C617, ""en"", ""pt-br"")"),"Bom, tentado no mouse remoto e encontrado funcionando bem., Bom produto, bons serviços., V bom, conforme descrito Duracell bateria bom, para controles remotos AC, a vida neles é excelente, usa -os para meus controladores para jogos e Estes são os melhores"&amp;". Dura muito e faz seu trabalho. O que mais você precisa., Boa qualidade, adorei o produto")</f>
        <v>Bom, tentado no mouse remoto e encontrado funcionando bem., Bom produto, bons serviços., V bom, conforme descrito Duracell bateria bom, para controles remotos AC, a vida neles é excelente, usa -os para meus controladores para jogos e Estes são os melhores. Dura muito e faz seu trabalho. O que mais você precisa., Boa qualidade, adorei o produto</v>
      </c>
    </row>
    <row r="618">
      <c r="A618" s="9" t="s">
        <v>2437</v>
      </c>
      <c r="B618" s="29" t="str">
        <f>VLOOKUP(dados!A618, reviews!A:G, 5, FALSE)</f>
        <v>Nice ball pen,Good product,Average,Nice Pen,It's a good product,Smooth,It's writing like flowing silk.,good produced</v>
      </c>
      <c r="C618" s="29" t="str">
        <f>VLOOKUP(dados!A618, reviews!A:G, 6, FALSE)</f>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v>
      </c>
      <c r="D618" s="29" t="str">
        <f>IFERROR(__xludf.DUMMYFUNCTION("GOOGLETRANSLATE(B618, ""en"", ""pt-br"")"),"Ceninha de bola agradável, bom produto, média, caneta agradável, é um bom produto, suave, está escrevendo como seda fluida., Boa produzida")</f>
        <v>Ceninha de bola agradável, bom produto, média, caneta agradável, é um bom produto, suave, está escrevendo como seda fluida., Boa produzida</v>
      </c>
      <c r="E618" s="29" t="str">
        <f>IFERROR(__xludf.DUMMYFUNCTION("GOOGLETRANSLATE(C618, ""en"", ""pt-br"")"),"Pen de bola muito agradável, obrigado Amazon, fácil de segurar, mas não resistente à água. Pode dizer que as crianças gostam das cores e gostam muito de escrever com ele, o produto é bom e meu filho gosta ....., adorei o produto, cor muito suave e adequad"&amp;"a do produto InkMust Go, é Escrevendo como seda fluida., Compre ......")</f>
        <v>Pen de bola muito agradável, obrigado Amazon, fácil de segurar, mas não resistente à água. Pode dizer que as crianças gostam das cores e gostam muito de escrever com ele, o produto é bom e meu filho gosta ....., adorei o produto, cor muito suave e adequada do produto InkMust Go, é Escrevendo como seda fluida., Compre ......</v>
      </c>
    </row>
    <row r="619">
      <c r="A619" s="9" t="s">
        <v>2447</v>
      </c>
      <c r="B619" s="29" t="str">
        <f>VLOOKUP(dados!A619, reviews!A:G, 5, FALSE)</f>
        <v>Good Quality adhesive, easy to use,Good,good product,Good product,Ok on walls,Very good,Good to use,Very nice.</v>
      </c>
      <c r="C619" s="29" t="str">
        <f>VLOOKUP(dados!A619, reviews!A:G, 6, FALSE)</f>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v>
      </c>
      <c r="D619" s="29" t="str">
        <f>IFERROR(__xludf.DUMMYFUNCTION("GOOGLETRANSLATE(B619, ""en"", ""pt-br"")"),"Adesivo de boa qualidade, fácil de usar, bom, bom produto, bom produto, ok nas paredes, muito bom, bom de usar, muito bom.")</f>
        <v>Adesivo de boa qualidade, fácil de usar, bom, bom produto, bom produto, ok nas paredes, muito bom, bom de usar, muito bom.</v>
      </c>
      <c r="E619" s="29" t="str">
        <f>IFERROR(__xludf.DUMMYFUNCTION("GOOGLETRANSLATE(C619, ""en"", ""pt-br"")"),"A qualidade do adesivo é muito boa. Eu o usei para enfiar a tela fotográfica na parede e funcionou bem., Boa kwality, eu não digo a este produto totalmente bom. Mas acredito que este item 75 % bom., Bom produto, é bom nas paredes, mas não em trabalhos de "&amp;"madeira., Gosta bem .. mantém uma quantidade razoável de peso .., boa e útil, muito agradável.")</f>
        <v>A qualidade do adesivo é muito boa. Eu o usei para enfiar a tela fotográfica na parede e funcionou bem., Boa kwality, eu não digo a este produto totalmente bom. Mas acredito que este item 75 % bom., Bom produto, é bom nas paredes, mas não em trabalhos de madeira., Gosta bem .. mantém uma quantidade razoável de peso .., boa e útil, muito agradável.</v>
      </c>
    </row>
    <row r="620">
      <c r="A620" s="9" t="s">
        <v>2456</v>
      </c>
      <c r="B620" s="29" t="str">
        <f>VLOOKUP(dados!A620, reviews!A:G, 5, FALSE)</f>
        <v>Mediocre,Best in Budget and Beast in Quality,Best quality this product,Ear phone With Jack,Nice,good,Good sound quality,Value for money!</v>
      </c>
      <c r="C620" s="29" t="str">
        <f>VLOOKUP(dados!A620, reviews!A:G, 6, FALSE)</f>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v>
      </c>
      <c r="D620" s="29" t="str">
        <f>IFERROR(__xludf.DUMMYFUNCTION("GOOGLETRANSLATE(B620, ""en"", ""pt-br"")"),"Medíocre, melhor em orçamento e besta em qualidade, melhor qualidade Este produto, telefone de ouvido com jack, bom, boa, boa qualidade, valor, valor para dinheiro!")</f>
        <v>Medíocre, melhor em orçamento e besta em qualidade, melhor qualidade Este produto, telefone de ouvido com jack, bom, boa, boa qualidade, valor, valor para dinheiro!</v>
      </c>
      <c r="E620" s="29" t="str">
        <f>IFERROR(__xludf.DUMMYFUNCTION("GOOGLETRANSLATE(C620, ""en"", ""pt-br"")"),"Produto danificado recebido pela primeira vez, o vendedor é muito bom e o substituiu rapidamente por um novo. Vá para Bassheads 242 se você estiver gastando tanto. Eles estão cobrando mais pelo gabinete de metal e pelo cabo trançado. O Jack Angulado é uma"&amp;" vantagem, mas a qualidade do som é tão bem. Infinity Zip 100 e seus próprios Bassheads 242 são muito melhores para o som. Gostaria de começar dizendo que não sou um audiófilo, portanto, minha revisão será menos sobre a qualidade do áudio do produto e mai"&amp;"s sobre toda a experiência em relação a o produto. Primeiro, esta é a minha segunda vez comprando o produto e você adivinhou, é bom o suficiente para comprá -lo pela terceira vez, se necessário! Após a unboxing, somos recebidos pela presença de três pares"&amp;" de fones de ouvido extras. Há também um par de barbatanas de ouvido no pacote que contém os fones de ouvido extras, essas barbatanas de ouvido são usadas para manter os fones de ouvido confortavelmente em seus ouvidos durante períodos extenuantes de uso,"&amp;" onde há uma chance de muito movimento. Mais sobre isso mais tarde. É muito durável, especialmente a parte do plugue que se conecta ao seu telefone, muitas vezes meus telefones ouvidos param de funcionar porque a parte do plugue se mora e causa problemas "&amp;"no funcionamento dos telefones da orelha. Este não é o caso disso. O próprio fio é feito de borracha/silício. Parece bom na mão e a única coisa em que posso pensar que poderia ser melhorada aqui é trançar o fio, mas até agora o fio não mostrou nenhuma for"&amp;"ma de desgaste comum com a maioria dos outros fios do telefone. Outra coisa a enfatizar é que todo o cabo está acabado, isso genuinamente diminui o número de instâncias em que me pego tentando desembaraçar o fio. Esta é realmente uma das melhores caracter"&amp;"ísticas deste par de fones de ouvido. Lembre -se de que eu disse algo sobre os telefones ouvidos que estão sendo feitos completamente de metal? Bem, ele continua até o microfone e o divisor esquerdo e direito. Ambas as peças parecem muito premium por caus"&amp;"a da sensação de metal frio contra a pele. Não sei sobre você, mas a atenção a pequenos detalhes como esse sempre traz sorrisos para o meu rosto. Deve -se notar que a peça do microfone é um tipo de botão único universal e, portanto, não pode controlar o v"&amp;"olume, pessoalmente esse problema não me afetou muito, mas os compradores podem ser potenciais que podem achar Para viés individual, portanto, posso lhe dizer minha experiência pessoal. Na minha opinião, sinto que a qualidade é média, não vai explodir a m"&amp;"ente de ninguém, mas proporcionará a maior parte do tempo. Uma queixa comum que ouvi da maioria dos meus chamadores que eles acham difícil me ouvir quando há uma quantidade significativa de ruído de fundo ou vento que fará com que o microfone, esses são p"&amp;"roblemas comuns, mesmo com o preço dos telefones ouvido significativamente mais alto do que o barco Bassheads 152Finalmente a parte mais importante da revisão, a qualidade do som dos telefones da orelha. Como eu disse anteriormente, não vou entrar nos det"&amp;"alhes técnicos. Sou um amante de baixo e foi isso que me levou a comprar esse par em primeiro lugar. Na minha opinião, descobri que o baixo é realmente bom, mas não é mais alimentado para o consumidor médio, como como as versões extras do Bass da linha So"&amp;"ny de tendência de fones de ouvido. O volume fica suficientemente alto e, mais frequentemente, eu o uso em menos da metade do volume total ao ouvir música. A clareza dos barcos Bassheads 152 está acima do par e facilmente melhora os telefones da orelha na"&amp;" categoria de preços de 2000 INR, essa é uma outra razão pela qual eu amo tanto esse par. Um ponto a ser lembrado, pois toda a cobertura dos telefones da orelha é feita de metal, é significativamente mais pesado que outros telefones da orelha. Isso se tor"&amp;"na uma espada de dois gumes, por um lado, o metal faz com que os telefones da orelha pareçam muito premium, mas também a torna significativamente mais pesada do que outros fones de ouvido feitos de plástico. Isso faz com que ele caia facilmente dos seus o"&amp;"uvidos se as barbatanas fornecidas não forem usadas. O achado diferente dos encontrados em que digamos que os telefones de orelha Bose mais novos não são tão confortáveis ​​e podem prejudicar seus ouvidos se usados ​​por um tempo prolongado. Preto e azul."&amp;" Eu me vi optando pela variante negra, ambos os tempos que isso pode ser uma opinião pessoal, mas acho que é o melhor dos três. Dito isto, vejo a maioria dos consumidores corporativos optando pelo preto, pois é uma cor neutra. Isso deixa de fora o vermelh"&amp;"o, por razões desconhecidas, a variante vermelha é vendida a uma taxa mais baixa na maioria dos sites, talvez devido à escassez de vendas; portanto, se você estiver com pouco dinheiro e apenas deseja um ótimo par de telefones de ouvido, então pegue -os en"&amp;"quanto eles durarem .Pros: 1) sem metal Build2) Excelente qualidade de fio e moda 3) Durável4) acima da média Sound QualityCons: 1) Construção de metal nos fones de ouvido Trendência para torná -los pesados ​​e, assim, cair do seu ouvido facilmente 2) as "&amp;"barbatanas fornecidas são desconfortáveis ​​para se desgastar Um tempo prolongado 3) A peça de clipe fornecida é removível e tende a se perder com facilidade, espero que todos que o leiam considerassem útil e possam tomar uma decisão educada de comprar ou"&amp;" não comprar o Bassheads 220. Todas as sugestões são bem -vindas. Qualidade Eu gosto da qualidade do fone de ouvido de barco, apenas a desvantagem que notei se isso não pode ser usado em telefones USB, o macaco de 3,5 mm é fornecido para que possa ser usa"&amp;"do apenas nos telefones Jack., Bom, bom, usei este fone de ouvido para viajar. Muito Lite e fácil de transportar no bolso. colorida. A qualidade do som é boa. O fio é fino, então me sinto cauteloso ao retirá -lo de bolsa ou bolso., GD One! A única coisa é"&amp;" que as capas/mangas são lançadas facilmente, se não o GD. No entanto, são fornecidas capas/mangas adicionais.")</f>
        <v>Produto danificado recebido pela primeira vez, o vendedor é muito bom e o substituiu rapidamente por um novo. Vá para Bassheads 242 se você estiver gastando tanto. Eles estão cobrando mais pelo gabinete de metal e pelo cabo trançado. O Jack Angulado é uma vantagem, mas a qualidade do som é tão bem. Infinity Zip 100 e seus próprios Bassheads 242 são muito melhores para o som. Gostaria de começar dizendo que não sou um audiófilo, portanto, minha revisão será menos sobre a qualidade do áudio do produto e mais sobre toda a experiência em relação a o produto. Primeiro, esta é a minha segunda vez comprando o produto e você adivinhou, é bom o suficiente para comprá -lo pela terceira vez, se necessário! Após a unboxing, somos recebidos pela presença de três pares de fones de ouvido extras. Há também um par de barbatanas de ouvido no pacote que contém os fones de ouvido extras, essas barbatanas de ouvido são usadas para manter os fones de ouvido confortavelmente em seus ouvidos durante períodos extenuantes de uso, onde há uma chance de muito movimento. Mais sobre isso mais tarde. É muito durável, especialmente a parte do plugue que se conecta ao seu telefone, muitas vezes meus telefones ouvidos param de funcionar porque a parte do plugue se mora e causa problemas no funcionamento dos telefones da orelha. Este não é o caso disso. O próprio fio é feito de borracha/silício. Parece bom na mão e a única coisa em que posso pensar que poderia ser melhorada aqui é trançar o fio, mas até agora o fio não mostrou nenhuma forma de desgaste comum com a maioria dos outros fios do telefone. Outra coisa a enfatizar é que todo o cabo está acabado, isso genuinamente diminui o número de instâncias em que me pego tentando desembaraçar o fio. Esta é realmente uma das melhores características deste par de fones de ouvido. Lembre -se de que eu disse algo sobre os telefones ouvidos que estão sendo feitos completamente de metal? Bem, ele continua até o microfone e o divisor esquerdo e direito. Ambas as peças parecem muito premium por causa da sensação de metal frio contra a pele. Não sei sobre você, mas a atenção a pequenos detalhes como esse sempre traz sorrisos para o meu rosto. Deve -se notar que a peça do microfone é um tipo de botão único universal e, portanto, não pode controlar o volume, pessoalmente esse problema não me afetou muito, mas os compradores podem ser potenciais que podem achar Para viés individual, portanto, posso lhe dizer minha experiência pessoal. Na minha opinião, sinto que a qualidade é média, não vai explodir a mente de ninguém, mas proporcionará a maior parte do tempo. Uma queixa comum que ouvi da maioria dos meus chamadores que eles acham difícil me ouvir quando há uma quantidade significativa de ruído de fundo ou vento que fará com que o microfone, esses são problemas comuns, mesmo com o preço dos telefones ouvido significativamente mais alto do que o barco Bassheads 152Finalmente a parte mais importante da revisão, a qualidade do som dos telefones da orelha. Como eu disse anteriormente, não vou entrar nos detalhes técnicos. Sou um amante de baixo e foi isso que me levou a comprar esse par em primeiro lugar. Na minha opinião, descobri que o baixo é realmente bom, mas não é mais alimentado para o consumidor médio, como como as versões extras do Bass da linha Sony de tendência de fones de ouvido. O volume fica suficientemente alto e, mais frequentemente, eu o uso em menos da metade do volume total ao ouvir música. A clareza dos barcos Bassheads 152 está acima do par e facilmente melhora os telefones da orelha na categoria de preços de 2000 INR, essa é uma outra razão pela qual eu amo tanto esse par. Um ponto a ser lembrado, pois toda a cobertura dos telefones da orelha é feita de metal, é significativamente mais pesado que outros telefones da orelha. Isso se torna uma espada de dois gumes, por um lado, o metal faz com que os telefones da orelha pareçam muito premium, mas também a torna significativamente mais pesada do que outros fones de ouvido feitos de plástico. Isso faz com que ele caia facilmente dos seus ouvidos se as barbatanas fornecidas não forem usadas. O achado diferente dos encontrados em que digamos que os telefones de orelha Bose mais novos não são tão confortáveis ​​e podem prejudicar seus ouvidos se usados ​​por um tempo prolongado. Preto e azul. Eu me vi optando pela variante negra, ambos os tempos que isso pode ser uma opinião pessoal, mas acho que é o melhor dos três. Dito isto, vejo a maioria dos consumidores corporativos optando pelo preto, pois é uma cor neutra. Isso deixa de fora o vermelho, por razões desconhecidas, a variante vermelha é vendida a uma taxa mais baixa na maioria dos sites, talvez devido à escassez de vendas; portanto, se você estiver com pouco dinheiro e apenas deseja um ótimo par de telefones de ouvido, então pegue -os enquanto eles durarem .Pros: 1) sem metal Build2) Excelente qualidade de fio e moda 3) Durável4) acima da média Sound QualityCons: 1) Construção de metal nos fones de ouvido Trendência para torná -los pesados ​​e, assim, cair do seu ouvido facilmente 2) as barbatanas fornecidas são desconfortáveis ​​para se desgastar Um tempo prolongado 3) A peça de clipe fornecida é removível e tende a se perder com facilidade, espero que todos que o leiam considerassem útil e possam tomar uma decisão educada de comprar ou não comprar o Bassheads 220. Todas as sugestões são bem -vindas. Qualidade Eu gosto da qualidade do fone de ouvido de barco, apenas a desvantagem que notei se isso não pode ser usado em telefones USB, o macaco de 3,5 mm é fornecido para que possa ser usado apenas nos telefones Jack., Bom, bom, usei este fone de ouvido para viajar. Muito Lite e fácil de transportar no bolso. colorida. A qualidade do som é boa. O fio é fino, então me sinto cauteloso ao retirá -lo de bolsa ou bolso., GD One! A única coisa é que as capas/mangas são lançadas facilmente, se não o GD. No entanto, são fornecidas capas/mangas adicionais.</v>
      </c>
    </row>
    <row r="621">
      <c r="A621" s="9" t="s">
        <v>1568</v>
      </c>
      <c r="B621" s="29" t="str">
        <f>VLOOKUP(dados!A621, reviews!A:G, 5, FALSE)</f>
        <v>Nice watch but some cons,Great device for the budget !! And amazing amazon service!!,Good watch in this price,Watch faces could have been better,Amoled Screen &amp; Touch, Average Wrist Band.</v>
      </c>
      <c r="C621" s="29" t="str">
        <f>VLOOKUP(dados!A621, reviews!A:G, 6, FALSE)</f>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v>
      </c>
      <c r="D621" s="29" t="str">
        <f>IFERROR(__xludf.DUMMYFUNCTION("GOOGLETRANSLATE(B621, ""en"", ""pt-br"")"),"Bom relógio, mas alguns contras, ótimo dispositivo para o orçamento !! E o incrível serviço da Amazon !!, bom relógio neste preço, os rostos do relógio poderiam ter sido melhores, tela e toque de amold, faixa de pulso comum.")</f>
        <v>Bom relógio, mas alguns contras, ótimo dispositivo para o orçamento !! E o incrível serviço da Amazon !!, bom relógio neste preço, os rostos do relógio poderiam ter sido melhores, tela e toque de amold, faixa de pulso comum.</v>
      </c>
      <c r="E621" s="29" t="str">
        <f>IFERROR(__xludf.DUMMYFUNCTION("GOOGLETRANSLATE(C621, ""en"", ""pt-br"")"),"Hoje só eu recebi este relógio em primeira instância, ele ganhou meu coração ... Eu estava usando um dia inteiro e encontrei alguns prós e contras desta exibição WatchPros# AMOLED é muito brilhante e agradável# look and design é premium# bluetooth Chamar "&amp;"é incrível, o alto -falante é alto e claro. Até minha voz está alcançando a festa oposta com muita clareza enquanto liga com o relógio. Armazenamento interno, embora seja apenas 128 MB, mas suficiente para armazenar cerca de 10 músicas aprox. Claro por qu"&amp;"e aconteceu, pois eu verifiquei apenas por um dia# as impressões digitais são claramente visíveis no vidro da tela. Anexei a foto para ele# Health Tracker está perto de precisos, mas nunca depende do smartwatch nessa faixa de preço. BP com este relógio e "&amp;"com a máquina BP Ambos os resultados são diferentes ... 70-80% apenas precisa ..# Ai Voice Assistant não é muito útil, pois só funciona para o celular quando pressiono o botão de assistente de voz no relógio .. como se se Eu dou o comando para definir ala"&amp;"rme no relógio, defina um alarme no celular, então basicamente apenas um botão para acordar o assistente do Google para o celular. Orador .. que é bastante irritante ... isso deve estar correto por atualizações de firmware que eu o comprei por Rs.3420/- i"&amp;"ncluindo oferta bancária. Para essa faixa de preço, em geral, é um relógio bom e premium. Do lado esquerdo .. mas rapidamente recebeu a substituição no dia seguinte .... a substituição foi boa ... A Amazon prestou ótima serviço e entregue a substituição e"&amp;"m apenas 16 horas ... Tão ótimo trabalho Amazon ... também moro em Bangalore. . Portanto, a experiência pode variar de um lugar para outro. Refrondo leituras UIFAirly Excverty o suficiente em toda a qualidade da qualidade da BP e Spo2Call é ótima para o p"&amp;"reço .. bons alto -falantes e bom microfone ... você pode controlar o Spotify e o Soundcloud Music também do relógio .e use TWS para ouvir o Spotify enquanto controla o relógio ... e é perfeito ... a tela é ótima. Chega ... A qualidade de construção é boa"&amp;", mas não parece muito premium. Parece um relógio abaixo de 5k ... para que você não possa enganar ninguém que este seja um Apple Watch 😂 Strap não é muito longo, pois todas as mencionadas pela revisão .. A cinta é boa o suficiente ... não muito confortá"&amp;"vel ... eu pedi uma pulseira de metal da Amazon para o meu relógio e é incrível ... Ui parece muito melhor pessoalmente do que as críticas .. UI é suave e parece boa ... não como Bom como Realme Watch 3 Pro .. mas ainda é bom para o preço. No geral, é um "&amp;"bom relógio pelo preço de cerca de 3,5k -3.9kanymore e não vale a pena o Priquerealme Watch 3Pro é o melhor por esse preço .. então Se você conseguir isso em estoque e abaixo de 4K, obtenha o RealMe Watch 3 Pro ... ou mais para este segmento de preços Fir"&amp;"ebolt Visionário é o melhor relógio em geral em comparação com todos os outros relógios sob 4KConsCall quando recebidos no relógio não permanece no TWS, ele troca para assistir por algum motivo ... o que é oneSeSeps é um pouco impreciso e lê etapas, mesmo"&amp;" que não esteja andando ... então não confie na vida útil da contratem Durante 5 dias. A faixa BLUTOOTH não é muito boa .. e varia de relógio para assistir .. e também telefone para telefone. Recebo uma faixa decente de Bluetooth de cerca de 20 pés. Mas i"&amp;"sso é mais de fato do que um golpe. ., Escrevo esta resenha após uma semana de uso deste relógio, BP, BPM, SPO2 Running e Sleep Rastrening Funções estão funcionando bem, o Watch Speaker também é alto e claro para você e os outros chamadores. O único golpe"&amp;" é quando você deseja ouvir músicas através de um relógio de um celular, seu Bluetooth se desconecta automaticamente repetidamente, pois esse fundo não é útil para mim, então ignore -o, no geral, é um bom relógio., Tudo é absolutamente greta nisso SmartWa"&amp;"tch.A mas essas coisas poderiam ter sido melhores:. Assista Faces-você deve ter a opção de adicionar até 3-4 rostos de relógio imediatamente do aplicativo, em vez de um de cada vez e 10 pré-instalados. UI do aplicativo poderia ter sido melhor. Modo DND au"&amp;"sente. Nenhuma opção de alternar o Bluetooth (sempre ativado), antes da revisão, gostaria de apreciar essa ótima estratégia para derramar críticas honestas dos usuários, dando -lhes voucher de bookmyshow. de relógio premium. A banda do relógio é médio e n"&amp;"ão parece premium e eu pedi separadamente uma banda de metal. Estou esperando a melhoria do aplicativo móvel da Fireboltt, pois não acho bom o suficiente se comparar com o aplicativo de barcos para seus relógios (como possuo um smartwatch de barco). O Vis"&amp;"ionário Rest é uma boa compra e vale o dinheiro. A única coisa que fisicamente não é atraente é a qualidade média da banda.")</f>
        <v>Hoje só eu recebi este relógio em primeira instância, ele ganhou meu coração ... Eu estava usando um dia inteiro e encontrei alguns prós e contras desta exibição WatchPros# AMOLED é muito brilhante e agradável# look and design é premium# bluetooth Chamar é incrível, o alto -falante é alto e claro. Até minha voz está alcançando a festa oposta com muita clareza enquanto liga com o relógio. Armazenamento interno, embora seja apenas 128 MB, mas suficiente para armazenar cerca de 10 músicas aprox. Claro por que aconteceu, pois eu verifiquei apenas por um dia# as impressões digitais são claramente visíveis no vidro da tela. Anexei a foto para ele# Health Tracker está perto de precisos, mas nunca depende do smartwatch nessa faixa de preço. BP com este relógio e com a máquina BP Ambos os resultados são diferentes ... 70-80% apenas precisa ..# Ai Voice Assistant não é muito útil, pois só funciona para o celular quando pressiono o botão de assistente de voz no relógio .. como se se Eu dou o comando para definir alarme no relógio, defina um alarme no celular, então basicamente apenas um botão para acordar o assistente do Google para o celular. Orador .. que é bastante irritante ... isso deve estar correto por atualizações de firmware que eu o comprei por Rs.3420/- incluindo oferta bancária. Para essa faixa de preço, em geral, é um relógio bom e premium. Do lado esquerdo .. mas rapidamente recebeu a substituição no dia seguinte .... a substituição foi boa ... A Amazon prestou ótima serviço e entregue a substituição em apenas 16 horas ... Tão ótimo trabalho Amazon ... também moro em Bangalore. . Portanto, a experiência pode variar de um lugar para outro. Refrondo leituras UIFAirly Excverty o suficiente em toda a qualidade da qualidade da BP e Spo2Call é ótima para o preço .. bons alto -falantes e bom microfone ... você pode controlar o Spotify e o Soundcloud Music também do relógio .e use TWS para ouvir o Spotify enquanto controla o relógio ... e é perfeito ... a tela é ótima. Chega ... A qualidade de construção é boa, mas não parece muito premium. Parece um relógio abaixo de 5k ... para que você não possa enganar ninguém que este seja um Apple Watch 😂 Strap não é muito longo, pois todas as mencionadas pela revisão .. A cinta é boa o suficiente ... não muito confortável ... eu pedi uma pulseira de metal da Amazon para o meu relógio e é incrível ... Ui parece muito melhor pessoalmente do que as críticas .. UI é suave e parece boa ... não como Bom como Realme Watch 3 Pro .. mas ainda é bom para o preço. No geral, é um bom relógio pelo preço de cerca de 3,5k -3.9kanymore e não vale a pena o Priquerealme Watch 3Pro é o melhor por esse preço .. então Se você conseguir isso em estoque e abaixo de 4K, obtenha o RealMe Watch 3 Pro ... ou mais para este segmento de preços Firebolt Visionário é o melhor relógio em geral em comparação com todos os outros relógios sob 4KConsCall quando recebidos no relógio não permanece no TWS, ele troca para assistir por algum motivo ... o que é oneSeSeps é um pouco impreciso e lê etapas, mesmo que não esteja andando ... então não confie na vida útil da contratem Durante 5 dias. A faixa BLUTOOTH não é muito boa .. e varia de relógio para assistir .. e também telefone para telefone. Recebo uma faixa decente de Bluetooth de cerca de 20 pés. Mas isso é mais de fato do que um golpe. ., Escrevo esta resenha após uma semana de uso deste relógio, BP, BPM, SPO2 Running e Sleep Rastrening Funções estão funcionando bem, o Watch Speaker também é alto e claro para você e os outros chamadores. O único golpe é quando você deseja ouvir músicas através de um relógio de um celular, seu Bluetooth se desconecta automaticamente repetidamente, pois esse fundo não é útil para mim, então ignore -o, no geral, é um bom relógio., Tudo é absolutamente greta nisso SmartWatch.A mas essas coisas poderiam ter sido melhores:. Assista Faces-você deve ter a opção de adicionar até 3-4 rostos de relógio imediatamente do aplicativo, em vez de um de cada vez e 10 pré-instalados. UI do aplicativo poderia ter sido melhor. Modo DND ausente. Nenhuma opção de alternar o Bluetooth (sempre ativado), antes da revisão, gostaria de apreciar essa ótima estratégia para derramar críticas honestas dos usuários, dando -lhes voucher de bookmyshow. de relógio premium. A banda do relógio é médio e não parece premium e eu pedi separadamente uma banda de metal. Estou esperando a melhoria do aplicativo móvel da Fireboltt, pois não acho bom o suficiente se comparar com o aplicativo de barcos para seus relógios (como possuo um smartwatch de barco). O Visionário Rest é uma boa compra e vale o dinheiro. A única coisa que fisicamente não é atraente é a qualidade média da banda.</v>
      </c>
    </row>
    <row r="622">
      <c r="A622" s="9" t="s">
        <v>2461</v>
      </c>
      <c r="B622" s="29" t="str">
        <f>VLOOKUP(dados!A622, reviews!A:G, 5, FALSE)</f>
        <v>Boats are the best.,Just awesome,it is good in this range .....,Great product in the price range,Awesome product,Nice,Perfect,Quality</v>
      </c>
      <c r="C622" s="29" t="str">
        <f>VLOOKUP(dados!A622, reviews!A:G, 6, FALSE)</f>
        <v>The sound quality is amazing but you have to be very careful while using it as the wire from the earplugs to the controller seems very delicate. One negative point is that the noise cancellation sucks.,Great bass and noice overall awesome and build quality is very slick,👍,It's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  for thi renge</v>
      </c>
      <c r="D622" s="29" t="str">
        <f>IFERROR(__xludf.DUMMYFUNCTION("GOOGLETRANSLATE(B622, ""en"", ""pt-br"")"),"Os barcos são os melhores., Simplesmente incrível, é bom nesse intervalo ....., ótimo produto na faixa de preço, produto incrível, bom, perfeito, qualidade")</f>
        <v>Os barcos são os melhores., Simplesmente incrível, é bom nesse intervalo ....., ótimo produto na faixa de preço, produto incrível, bom, perfeito, qualidade</v>
      </c>
      <c r="E622" s="29" t="str">
        <f>IFERROR(__xludf.DUMMYFUNCTION("GOOGLETRANSLATE(C622, ""en"", ""pt-br"")"),"A qualidade do som é incrível, mas você precisa ter muito cuidado ao usá -lo como o fio dos tampões para o controlador parece muito delicado. Um ponto negativo é que o cancelamento do ruído é uma merda., Grande grave e noice geral incrível e a qualidade d"&amp;"e construção é muito escorregadia, 👍, obviamente não é o melhor fone de ouvido por aí, mas certamente faz o trabalho pelo preço, você não vai perder Porém, muito um pouco de compra de baixo, valor ao dinheiro. Qualidade de construção decente e aparência."&amp;" Melhor produto nessa faixa de preço., Bom ... valor do produto, eu gosto disso, é a melhor qualidade e boa 👍 para thi renge")</f>
        <v>A qualidade do som é incrível, mas você precisa ter muito cuidado ao usá -lo como o fio dos tampões para o controlador parece muito delicado. Um ponto negativo é que o cancelamento do ruído é uma merda., Grande grave e noice geral incrível e a qualidade de construção é muito escorregadia, 👍, obviamente não é o melhor fone de ouvido por aí, mas certamente faz o trabalho pelo preço, você não vai perder Porém, muito um pouco de compra de baixo, valor ao dinheiro. Qualidade de construção decente e aparência. Melhor produto nessa faixa de preço., Bom ... valor do produto, eu gosto disso, é a melhor qualidade e boa 👍 para thi renge</v>
      </c>
    </row>
    <row r="623">
      <c r="A623" s="9" t="s">
        <v>2465</v>
      </c>
      <c r="B623" s="29" t="str">
        <f>VLOOKUP(dados!A623, reviews!A:G, 5, FALSE)</f>
        <v>Best for general use,Works well for basic usage,Good product in the budget,Ok product. Not so great.,Good,Good one to have,Great Product,Good.</v>
      </c>
      <c r="C623" s="29" t="str">
        <f>VLOOKUP(dados!A623, reviews!A:G, 6, FALSE)</f>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v>
      </c>
      <c r="D623" s="29" t="str">
        <f>IFERROR(__xludf.DUMMYFUNCTION("GOOGLETRANSLATE(B623, ""en"", ""pt-br"")"),"Melhor para uso geral, funciona bem para uso básico, bom produto no orçamento, produto OK. Não é tão bom., Bom, bom ter, ótimo produto, bom.")</f>
        <v>Melhor para uso geral, funciona bem para uso básico, bom produto no orçamento, produto OK. Não é tão bom., Bom, bom ter, ótimo produto, bom.</v>
      </c>
      <c r="E623" s="29" t="str">
        <f>IFERROR(__xludf.DUMMYFUNCTION("GOOGLETRANSLATE(C623, ""en"", ""pt-br"")"),"Escrevendo isso depois de usá -lo por dois meses -PROs -1. Botão sem barulho2. Soft Press3. Lightweight4. Boa construção de qualidade5. Botão não easeável SIGN6. Instalação fácil da bateria7. Boa faixa de suporte8. Todo o botão funciona corretamente9. Tod"&amp;"os os 104 botões estão disponíveis10. Indicador de bateria baixa (o indicador não brilha quando você instala a nova bateria. Ele brilha apenas quando a bateria está baixa.) Contras -1. Sem Num-Lock Light2. Sem caps-bloqueio Light3. Nenhuma luz de bloqueio"&amp;" de rolagem funciona bem para o meu uso básico. As chaves viajam é suave e fina, e o Mose Click and Wheel não é tão suave, mas isso é bom, pois esse é o intervalo de partida. Perhap O próximo é um pouco mais caro, acho que pode ser o que eu poderia ter te"&amp;"ntado. O teclado é excelente. O mouse também é bom. No entanto, a luz LED do mouse não está funcionando para a peça que recebemos. Matíveis para dar uma classificação de 5 estrelas por causa dessa falha., Vem com baterias Duracell para que você possa cone"&amp;"ctá -lo imediatamente e reproduzi -lo. Você tem que manter o receptor muito perto do teclado e do mouse, mas o mouse mostra constantemente o atraso e os ignoram Durante o movimento., a combinação boa e sem fio do teclado e do mouse tornou minha mesa limpa"&amp;" e excelente produto da Dell, usando por um longo tempo e é muito confortável para o trabalho de longa hora., bom produto, mas os principais espaços são maiores que o teclado PC.")</f>
        <v>Escrevendo isso depois de usá -lo por dois meses -PROs -1. Botão sem barulho2. Soft Press3. Lightweight4. Boa construção de qualidade5. Botão não easeável SIGN6. Instalação fácil da bateria7. Boa faixa de suporte8. Todo o botão funciona corretamente9. Todos os 104 botões estão disponíveis10. Indicador de bateria baixa (o indicador não brilha quando você instala a nova bateria. Ele brilha apenas quando a bateria está baixa.) Contras -1. Sem Num-Lock Light2. Sem caps-bloqueio Light3. Nenhuma luz de bloqueio de rolagem funciona bem para o meu uso básico. As chaves viajam é suave e fina, e o Mose Click and Wheel não é tão suave, mas isso é bom, pois esse é o intervalo de partida. Perhap O próximo é um pouco mais caro, acho que pode ser o que eu poderia ter tentado. O teclado é excelente. O mouse também é bom. No entanto, a luz LED do mouse não está funcionando para a peça que recebemos. Matíveis para dar uma classificação de 5 estrelas por causa dessa falha., Vem com baterias Duracell para que você possa conectá -lo imediatamente e reproduzi -lo. Você tem que manter o receptor muito perto do teclado e do mouse, mas o mouse mostra constantemente o atraso e os ignoram Durante o movimento., a combinação boa e sem fio do teclado e do mouse tornou minha mesa limpa e excelente produto da Dell, usando por um longo tempo e é muito confortável para o trabalho de longa hora., bom produto, mas os principais espaços são maiores que o teclado PC.</v>
      </c>
    </row>
    <row r="624">
      <c r="A624" s="9" t="s">
        <v>26</v>
      </c>
      <c r="B624" s="29" t="str">
        <f>VLOOKUP(dados!A624, reviews!A:G, 5, FALSE)</f>
        <v>A Good Braided Cable for Your Type C Device,Good quality product from ambrane,Super cable,As,Good quality,Good product,its good,Good quality for the price but one issue with my unit</v>
      </c>
      <c r="C624" s="29" t="str">
        <f>VLOOKUP(dados!A624, reviews!A:G, 6, FALSE)</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c r="D624" s="29" t="str">
        <f>IFERROR(__xludf.DUMMYFUNCTION("GOOGLETRANSLATE(B624, ""en"", ""pt-br"")"),"Um bom cabo trançado para o seu dispositivo Tipo C, produto de boa qualidade da Ambrane, Super Cable, como, boa qualidade, bom produto, é boa, boa qualidade para o preço, mas um problema com minha unidade")</f>
        <v>Um bom cabo trançado para o seu dispositivo Tipo C, produto de boa qualidade da Ambrane, Super Cable, como, boa qualidade, bom produto, é boa, boa qualidade para o preço, mas um problema com minha unidade</v>
      </c>
      <c r="E624" s="29" t="str">
        <f>IFERROR(__xludf.DUMMYFUNCTION("GOOGLETRANSLATE(C624, ""en"", ""pt-br"")"),"Encomendei este cabo para conectar meu telefone ao Android Auto of Car. O cabo é realmente forte e as portas de conexão são muito bem feitas. Eu já tenho um cabo micro USB da Ambrane e ainda está em boa forma. Conectei meu telefone ao carro usando o cabo "&amp;"e ele foi conectado bem e sem problemas. Eu também o conectei à porta de carregamento e sim, ele tem suporte de carregamento rápido. A qualidade de TI é boa nesse preço e o principal é que eu nunca pensei que esse cabo seria tão longo que é bom e o poder "&amp;"de carregamento é Muito bom e também suporta carregamento rápido, valor ao dinheiro, com comprimento extra👍, bom, funcionando bem, a qualidade do produto é boa, boa, muito boa, comprada para o telefone antigo da minha filha. e solicitado para substituiçã"&amp;"o. Verifiquei novamente e havia uma pasta/fungo de cor verde dentro do conector micro USB. Limpei com um alcoólatra e comecei a trabalhar novamente. Chequei a ampere de velocidade de carregamento obteve cerca de 1400mA -1500mA - não é ruim, veio com um ca"&amp;"bo trançado de 1,5 m de comprimento, bastante impressionante pelo preço. Não posso culpar o fabricante. Mas os problemas de qualidade por O distribuidor, eles podem ter armazenado em um lugar muito úmido.")</f>
        <v>Encomendei este cabo para conectar meu telefone ao Android Auto of Car. O cabo é realmente forte e as portas de conexão são muito bem feitas. Eu já tenho um cabo micro USB da Ambrane e ainda está em boa forma. Conectei meu telefone ao carro usando o cabo e ele foi conectado bem e sem problemas. Eu também o conectei à porta de carregamento e sim, ele tem suporte de carregamento rápido. A qualidade de TI é boa nesse preço e o principal é que eu nunca pensei que esse cabo seria tão longo que é bom e o poder de carregamento é Muito bom e também suporta carregamento rápido, valor ao dinheiro, com comprimento extra👍, bom, funcionando bem, a qualidade do produto é boa, boa, muito boa, comprada para o telefone antigo da minha filha. e solicitado para substituição. Verifiquei novamente e havia uma pasta/fungo de cor verde dentro do conector micro USB. Limpei com um alcoólatra e comecei a trabalhar novamente. Chequei a ampere de velocidade de carregamento obteve cerca de 1400mA -1500mA - não é ruim, veio com um cabo trançado de 1,5 m de comprimento, bastante impressionante pelo preço. Não posso culpar o fabricante. Mas os problemas de qualidade por O distribuidor, eles podem ter armazenado em um lugar muito úmido.</v>
      </c>
    </row>
    <row r="625">
      <c r="A625" s="9" t="s">
        <v>30</v>
      </c>
      <c r="B625" s="29" t="str">
        <f>VLOOKUP(dados!A625, reviews!A:G, 5, FALSE)</f>
        <v>Good speed for earlier versions,Good Product,Working good,Good for the price,Good,Worth for money,Working nice,it's a really nice product</v>
      </c>
      <c r="C625" s="29" t="str">
        <f>VLOOKUP(dados!A625, reviews!A:G, 6, FALSE)</f>
        <v>Not quite durable and sturdy,https://m.media-amazon.com/images/W/WEBP_402378-T1/images/I/71rIggrbUCL._SY88.jpg,Working good,https://m.media-amazon.com/images/W/WEBP_402378-T1/images/I/61bKp9YO6wL._SY88.jpg,Product,Very nice product,Working well,It's a really nice product</v>
      </c>
      <c r="D625" s="29" t="str">
        <f>IFERROR(__xludf.DUMMYFUNCTION("GOOGLETRANSLATE(B625, ""en"", ""pt-br"")"),"Boa velocidade para versões anteriores, bom produto, funcionando bem, bom para o preço, bom, valor por dinheiro, funcionando bem, é um produto muito bom")</f>
        <v>Boa velocidade para versões anteriores, bom produto, funcionando bem, bom para o preço, bom, valor por dinheiro, funcionando bem, é um produto muito bom</v>
      </c>
      <c r="E625" s="29" t="str">
        <f>IFERROR(__xludf.DUMMYFUNCTION("GOOGLETRANSLATE(C625, ""en"", ""pt-br"")"),"Não é muito durável e resistente, https: //m.media-amazon.com/images/w/webp_402378-t1/images/i/71riggrbucl._sy88.jpg.working Good, https: //m.media-amazon.com.com /images/w/webp_402378-t1/images/i/61bkp9yo6wl._sy88.jpg.product, um produto legal, funcionan"&amp;"do bem, é um produto muito bom")</f>
        <v>Não é muito durável e resistente, https: //m.media-amazon.com/images/w/webp_402378-t1/images/i/71riggrbucl._sy88.jpg.working Good, https: //m.media-amazon.com.com /images/w/webp_402378-t1/images/i/61bkp9yo6wl._sy88.jpg.product, um produto legal, funcionando bem, é um produto muito bom</v>
      </c>
    </row>
    <row r="626">
      <c r="A626" s="9" t="s">
        <v>1572</v>
      </c>
      <c r="B626" s="29" t="str">
        <f>VLOOKUP(dados!A626, reviews!A:G, 5, FALSE)</f>
        <v>Some improvement required,Not best for tracking sleep, calories burnt of heart rate.,Noise,Noise watch is good,NOISE,Noises,Bluetooth calling,Noise</v>
      </c>
      <c r="C626" s="29" t="str">
        <f>VLOOKUP(dados!A626, reviews!A:G, 6, FALSE)</f>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1½ hour every night when I am not also the heart rate is generally higher than what it actually is and the calories burnt are lower, the pedometer is more or less accurate,Nice one. Only Bp monitor is missing.,I like this product,I liked the watch very much,I m happy,Good features,Good</v>
      </c>
      <c r="D626" s="29" t="str">
        <f>IFERROR(__xludf.DUMMYFUNCTION("GOOGLETRANSLATE(B626, ""en"", ""pt-br"")"),"Alguma melhoria necessária, não é melhor para rastrear o sono, calorias queimadas de freqüência cardíaca., Ruído, relógio de ruído é bom, ruído, ruídos, chamadas bluetooth, ruído")</f>
        <v>Alguma melhoria necessária, não é melhor para rastrear o sono, calorias queimadas de freqüência cardíaca., Ruído, relógio de ruído é bom, ruído, ruídos, chamadas bluetooth, ruído</v>
      </c>
      <c r="E626" s="29" t="str">
        <f>IFERROR(__xludf.DUMMYFUNCTION("GOOGLETRANSLATE(C626, ""en"", ""pt-br"")"),"1. Adicione a Galeria de App quando fizermos a troca da direita para a esquerda na tela inicial. Porque a troca direita para esquerda ou a troca da esquerda para a direita tem as mesmas páginas. Ele deve tocar em vez de vibrar em alarme ou você pode dar -"&amp;"lhe opcional depende do usuário.3. A temperatura não sincroniza rapidamente, tenho que ir no aplicativo de ruído de novo e de novo e fazer isso em ambientes climáticos para sincronizar parece Jugad. Todas essas coisas podem ser corrigidas a partir de atua"&amp;"lizações, para que, por favor, tente fazê -lo, o relógio parece legal e funciona muito bem, mas os sensores não são os mais precisos. Isso mostra que estou subindo 1 a 1 ½ horas todas as noites, quando também não sou a frequência cardíaca geralmente é mai"&amp;"or do que é realmente e as calorias queimadas são mais baixas, o pedômetro é mais ou menos preciso, agradável. Somente o monitor da BP está faltando., Gosto deste produto, gostei muito do relógio, estou feliz, bons recursos, bom")</f>
        <v>1. Adicione a Galeria de App quando fizermos a troca da direita para a esquerda na tela inicial. Porque a troca direita para esquerda ou a troca da esquerda para a direita tem as mesmas páginas. Ele deve tocar em vez de vibrar em alarme ou você pode dar -lhe opcional depende do usuário.3. A temperatura não sincroniza rapidamente, tenho que ir no aplicativo de ruído de novo e de novo e fazer isso em ambientes climáticos para sincronizar parece Jugad. Todas essas coisas podem ser corrigidas a partir de atualizações, para que, por favor, tente fazê -lo, o relógio parece legal e funciona muito bem, mas os sensores não são os mais precisos. Isso mostra que estou subindo 1 a 1 ½ horas todas as noites, quando também não sou a frequência cardíaca geralmente é maior do que é realmente e as calorias queimadas são mais baixas, o pedômetro é mais ou menos preciso, agradável. Somente o monitor da BP está faltando., Gosto deste produto, gostei muito do relógio, estou feliz, bons recursos, bom</v>
      </c>
    </row>
    <row r="627">
      <c r="A627" s="9" t="s">
        <v>2474</v>
      </c>
      <c r="B627" s="29" t="str">
        <f>VLOOKUP(dados!A627, reviews!A:G, 5, FALSE)</f>
        <v>Good,gud,Hard disk,Good product,Serve the purpose,Seagate portable 1TB External Hard disc,Good,Good use</v>
      </c>
      <c r="C627" s="29" t="str">
        <f>VLOOKUP(dados!A627, reviews!A:G, 6, FALSE)</f>
        <v>Good one.,gud,Hard disk is good but data cable quality poor,Finalised this product after a lot of research. It works well. Go for it.,Serve the purpose,Good one,Nice product,Still at work.</v>
      </c>
      <c r="D627" s="29" t="str">
        <f>IFERROR(__xludf.DUMMYFUNCTION("GOOGLETRANSLATE(B627, ""en"", ""pt-br"")"),"Bom, Gud, disco rígido, bom produto, serve o propósito, Seagate portátil 1 TB DISCOURO DIFÍCIL, BOM, BOM Uso")</f>
        <v>Bom, Gud, disco rígido, bom produto, serve o propósito, Seagate portátil 1 TB DISCOURO DIFÍCIL, BOM, BOM Uso</v>
      </c>
      <c r="E627" s="29" t="str">
        <f>IFERROR(__xludf.DUMMYFUNCTION("GOOGLETRANSLATE(C627, ""en"", ""pt-br"")"),"Bom., Gud, o disco rígido é bom, mas a qualidade do cabo de dados ruim, finalizou este produto após muita pesquisa. Isso funciona bem. Vá em frente., Sirva o propósito, bom, bom produto, ainda no trabalho.")</f>
        <v>Bom., Gud, o disco rígido é bom, mas a qualidade do cabo de dados ruim, finalizou este produto após muita pesquisa. Isso funciona bem. Vá em frente., Sirva o propósito, bom, bom produto, ainda no trabalho.</v>
      </c>
    </row>
    <row r="628">
      <c r="A628" s="9" t="s">
        <v>2480</v>
      </c>
      <c r="B628" s="29" t="str">
        <f>VLOOKUP(dados!A628, reviews!A:G, 5, FALSE)</f>
        <v>Value for money, good wuality,Reliable and easy to use 👌,Good,AVARAGE PRODUCT,VGA quality!!,No mic is available in the product,Basic functions ok,Good when used in day light</v>
      </c>
      <c r="C628" s="29" t="str">
        <f>VLOOKUP(dados!A628, reviews!A:G, 6, FALSE)</f>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v>
      </c>
      <c r="D628" s="29" t="str">
        <f>IFERROR(__xludf.DUMMYFUNCTION("GOOGLETRANSLATE(B628, ""en"", ""pt-br"")"),"Valor por dinheiro, boa wualidade, confiável e fácil de usar 👌, bom, produto avarage, qualidade VGA !!, nenhum microfone está disponível no produto, funções básicas OK, bom quando usado na luz diurna")</f>
        <v>Valor por dinheiro, boa wualidade, confiável e fácil de usar 👌, bom, produto avarage, qualidade VGA !!, nenhum microfone está disponível no produto, funções básicas OK, bom quando usado na luz diurna</v>
      </c>
      <c r="E628" s="29" t="str">
        <f>IFERROR(__xludf.DUMMYFUNCTION("GOOGLETRANSLATE(C628, ""en"", ""pt-br"")"),"O vídeo é um leve zoom, o que é ótimo para o trabalho de escritório, pois você deseja que ele se concentre no rosto, e não no resto do fundo. No entanto, há um leve tom de sépia (temperatura quente) na qualidade da imagem/, portanto, reduziu 1 estrela. Re"&amp;"almente econômico!, O produto me ajudou nas minhas aulas ao vivo, sim, este produto é um produto médio. A qualidade da imagem está ok, ok e também Mike está funcionando ok, ok, o chamador ouve sua voz normalmente. Mas é bom usar para o escritório ou casa "&amp;"para chamadas do Skype ou reuniões de zoom., A qualidade da imagem é uma porcaria !! TBH, sem microfone, configuração rápida, sem necessidade de downloads, qualidade construída sem reclamações, qualidade de imagem perto da média, a qualidade do microfone "&amp;"OK, pode ser mais barato, é bom à luz do dia, se você tiver janela para a luz solar quando o usar funcionar melhor. À noite, começa a ficar de atraso (você precisa de muita iluminação durante a noite que possa prejudicar seus olhos e começar a dor de cabe"&amp;"ça), dei 4 aC de preços, mas de 3 estrelas para a qualidade da câmera. (BCZ não é bom à noite)")</f>
        <v>O vídeo é um leve zoom, o que é ótimo para o trabalho de escritório, pois você deseja que ele se concentre no rosto, e não no resto do fundo. No entanto, há um leve tom de sépia (temperatura quente) na qualidade da imagem/, portanto, reduziu 1 estrela. Realmente econômico!, O produto me ajudou nas minhas aulas ao vivo, sim, este produto é um produto médio. A qualidade da imagem está ok, ok e também Mike está funcionando ok, ok, o chamador ouve sua voz normalmente. Mas é bom usar para o escritório ou casa para chamadas do Skype ou reuniões de zoom., A qualidade da imagem é uma porcaria !! TBH, sem microfone, configuração rápida, sem necessidade de downloads, qualidade construída sem reclamações, qualidade de imagem perto da média, a qualidade do microfone OK, pode ser mais barato, é bom à luz do dia, se você tiver janela para a luz solar quando o usar funcionar melhor. À noite, começa a ficar de atraso (você precisa de muita iluminação durante a noite que possa prejudicar seus olhos e começar a dor de cabeça), dei 4 aC de preços, mas de 3 estrelas para a qualidade da câmera. (BCZ não é bom à noite)</v>
      </c>
    </row>
    <row r="629">
      <c r="A629" s="9" t="s">
        <v>2487</v>
      </c>
      <c r="B629" s="29" t="str">
        <f>VLOOKUP(dados!A629, reviews!A:G, 5, FALSE)</f>
        <v>Useful for simple use,Great product,Good,Good but not satisfying 🙂,Good product,Good product at this price.,Not for gaming,Good product.</v>
      </c>
      <c r="C629" s="29" t="str">
        <f>VLOOKUP(dados!A629, reviews!A:G, 6, FALSE)</f>
        <v>I have used it for week now on daily basis. It's a good product.1.For normal use It's great. You can use it with ease.2. For game 🎮  also it is usable but it's littel bit on heavy side Its unnoticeable if you are not that habitable to play games.3 sleep mode is a good feature which helps to save battery 🔋.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v>
      </c>
      <c r="D629" s="29" t="str">
        <f>IFERROR(__xludf.DUMMYFUNCTION("GOOGLETRANSLATE(B629, ""en"", ""pt-br"")"),"Útil para uso simples, ótimo produto, bom, bom, mas não satisfatório 🙂, bom produto, bom produto a esse preço., Não para jogos, bom produto.")</f>
        <v>Útil para uso simples, ótimo produto, bom, bom, mas não satisfatório 🙂, bom produto, bom produto a esse preço., Não para jogos, bom produto.</v>
      </c>
      <c r="E629" s="29" t="str">
        <f>IFERROR(__xludf.DUMMYFUNCTION("GOOGLETRANSLATE(C629, ""en"", ""pt-br"")"),"Eu o usei há uma semana agora diariamente. É um bom produto.1.Para o uso normal, é ótimo. Você pode usá -lo com facilidade. Para o jogo 🎮 Também é utilizável, mas é um pouco mais pesado, é imperceptível se você não for tão habitável para jogar. 3 O modo "&amp;"de suspensão é um bom recurso que ajuda a salvar a bateria 🔋. E você não precisa se preocupar em matar o interruptor sempre que deixar o PC., Bom produto, valor pelo dinheiro, este mouse é muito barulhento e pequeno também. Eu devolvei esse mouse porque "&amp;"recebi um produto melhor com o teclado com teclado que me satisfaz. Além disso, esse pacote de mouse não contém bateria. Então, você deve se importar e pensar duas vezes antes de comprar este produto., Nice Produto até agora, ele está funcionando bem e bo"&amp;"m produto a esse preço. Mas depois de cair, é quebrado., Bom para uso básico, não para jogos., Gosto deste produto.")</f>
        <v>Eu o usei há uma semana agora diariamente. É um bom produto.1.Para o uso normal, é ótimo. Você pode usá -lo com facilidade. Para o jogo 🎮 Também é utilizável, mas é um pouco mais pesado, é imperceptível se você não for tão habitável para jogar. 3 O modo de suspensão é um bom recurso que ajuda a salvar a bateria 🔋. E você não precisa se preocupar em matar o interruptor sempre que deixar o PC., Bom produto, valor pelo dinheiro, este mouse é muito barulhento e pequeno também. Eu devolvei esse mouse porque recebi um produto melhor com o teclado com teclado que me satisfaz. Além disso, esse pacote de mouse não contém bateria. Então, você deve se importar e pensar duas vezes antes de comprar este produto., Nice Produto até agora, ele está funcionando bem e bom produto a esse preço. Mas depois de cair, é quebrado., Bom para uso básico, não para jogos., Gosto deste produto.</v>
      </c>
    </row>
    <row r="630">
      <c r="A630" s="9" t="s">
        <v>34</v>
      </c>
      <c r="B630" s="29" t="str">
        <f>VLOOKUP(dados!A630, reviews!A:G, 5, FALSE)</f>
        <v>Good product,Good one,Nice,Really nice product,Very first time change,Good,Fine product but could be better,Very nice it's charging like jet</v>
      </c>
      <c r="C630" s="29" t="str">
        <f>VLOOKUP(dados!A630, reviews!A:G, 6, FALSE)</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c r="D630" s="29" t="str">
        <f>IFERROR(__xludf.DUMMYFUNCTION("GOOGLETRANSLATE(B630, ""en"", ""pt-br"")"),"Bom produto, bom, bom, muito bom produto, mudança de primeira vez, bom, bom produto, mas pode ser melhor, muito bom, está cobrando como jato")</f>
        <v>Bom produto, bom, bom, muito bom produto, mudança de primeira vez, bom, bom produto, mas pode ser melhor, muito bom, está cobrando como jato</v>
      </c>
      <c r="E630" s="29" t="str">
        <f>IFERROR(__xludf.DUMMYFUNCTION("GOOGLETRANSLATE(C630, ""en"", ""pt-br"")"),"Bom produto, fio longo, carrega bom, legal, comprei este cabo para um produto digno de Rs.339 por esse preço, testei em vários adaptadores de carregador 33W e 18W, ele também suporta carregamento rápido. Isso a um bom preço à venda na Amazon e o produto é"&amp;" útil na garantia, mas para a garantia você precisa ir muito longe, não é prático por esse custo e meu micro para o conector do tipo C parou de funcionar após alguns dias., Gosto deste produto")</f>
        <v>Bom produto, fio longo, carrega bom, legal, comprei este cabo para um produto digno de Rs.339 por esse preço, testei em vários adaptadores de carregador 33W e 18W, ele também suporta carregamento rápido. Isso a um bom preço à venda na Amazon e o produto é útil na garantia, mas para a garantia você precisa ir muito longe, não é prático por esse custo e meu micro para o conector do tipo C parou de funcionar após alguns dias., Gosto deste produto</v>
      </c>
    </row>
    <row r="631">
      <c r="A631" s="9" t="s">
        <v>2492</v>
      </c>
      <c r="B631" s="29" t="str">
        <f>VLOOKUP(dados!A631, reviews!A:G, 5, FALSE)</f>
        <v>Worth Buying !,Good one for the offered price,Good one in that budget,Good one.,best at that price.,good,Ok,Very good product</v>
      </c>
      <c r="C631" s="29" t="str">
        <f>VLOOKUP(dados!A631, reviews!A:G, 6, FALSE)</f>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v>
      </c>
      <c r="D631" s="29" t="str">
        <f>IFERROR(__xludf.DUMMYFUNCTION("GOOGLETRANSLATE(B631, ""en"", ""pt-br"")"),"Vale a pena comprar!, Bom para o preço oferecido, bom nesse orçamento, bom., Melhor nesse preço., Bom, ok, muito bom produto")</f>
        <v>Vale a pena comprar!, Bom para o preço oferecido, bom nesse orçamento, bom., Melhor nesse preço., Bom, ok, muito bom produto</v>
      </c>
      <c r="E631" s="29" t="str">
        <f>IFERROR(__xludf.DUMMYFUNCTION("GOOGLETRANSLATE(C631, ""en"", ""pt-br"")"),"Estou usando este produto dos últimos 12 dias e está funcionando muito bem. Ele entra automaticamente no modo de economia de energia com em 1M20SEC quando não estiver em uso. - Sim. Ok para uso bruto, onde podemos evitar o uso do teclado do laptop. Econom"&amp;"ize a duração da bateria., Bom, para o espaço que estou usando, é bom. Uma das chaves foi lançada e então eu tenho que substituir. Agora funcionando bem. Mas não é confiável BCOS se você não é cuidadoso ...... Quando o próximo sair não pode dizer, então é"&amp;" inútil., O teclado é excelente, mas a qualidade do mouse está abaixo da média ... mas a esse preço é uma escolha perfeita. , bom, ok, muito bom produto")</f>
        <v>Estou usando este produto dos últimos 12 dias e está funcionando muito bem. Ele entra automaticamente no modo de economia de energia com em 1M20SEC quando não estiver em uso. - Sim. Ok para uso bruto, onde podemos evitar o uso do teclado do laptop. Economize a duração da bateria., Bom, para o espaço que estou usando, é bom. Uma das chaves foi lançada e então eu tenho que substituir. Agora funcionando bem. Mas não é confiável BCOS se você não é cuidadoso ...... Quando o próximo sair não pode dizer, então é inútil., O teclado é excelente, mas a qualidade do mouse está abaixo da média ... mas a esse preço é uma escolha perfeita. , bom, ok, muito bom produto</v>
      </c>
    </row>
    <row r="632">
      <c r="A632" s="9" t="s">
        <v>2496</v>
      </c>
      <c r="B632" s="29" t="str">
        <f>VLOOKUP(dados!A632, reviews!A:G, 5, FALSE)</f>
        <v>Very Good for Beginners,Light weight &amp; sturdy,Product is good and light weight.,Excellent,Easy to use and light weight to carry,Superb tripod, I'm happy🙂,good product,Ok Good</v>
      </c>
      <c r="C632" s="29" t="str">
        <f>VLOOKUP(dados!A632, reviews!A:G, 6, FALSE)</f>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it👍,like the stability and mobile holder,Simply Superb this one for phones &amp; cameras</v>
      </c>
      <c r="D632" s="29" t="str">
        <f>IFERROR(__xludf.DUMMYFUNCTION("GOOGLETRANSLATE(B632, ""en"", ""pt-br"")"),"Muito bom para iniciantes, leve e resistente, o produto é bom e leve., Excelente, fácil de usar e leve para carregar, excelente tripé, estou feliz")</f>
        <v>Muito bom para iniciantes, leve e resistente, o produto é bom e leve., Excelente, fácil de usar e leve para carregar, excelente tripé, estou feliz</v>
      </c>
      <c r="E632" s="29" t="str">
        <f>IFERROR(__xludf.DUMMYFUNCTION("GOOGLETRANSLATE(C632, ""en"", ""pt-br"")"),"Recentemente, comprei um tripé on -line na Amazon e estou muito satisfeito com a compra. O produto chegou rapidamente e foi bem embalado, facilitando a configuração. A construção é sólida e resistente, permitindo -me usar minha câmera com confiança sem me"&amp;"do de balançar ou agitar. Além disso, o preço era extremamente acessível em comparação com produtos semelhantes em outros sites. No geral, eu recomendo este produto para quem procura um tripé barato, mas confiável!, O produto é bom como esperado, resisten"&amp;"te, leve e bom para iniciantes, o produto é bom e leve., Gosto muito do produto do produto Foi incrível pelo preço acessível é muito útil e útil para iniciantes, é muito fácil de usar e leve peso para transportar. Ótima ferramenta para clicar em fotos em "&amp;"um feriado cênico., Sua estabilidade é perfeita. Os iniciantes podem começar com It👍, como a estabilidade e o suporte móvel, simplesmente excelente este para telefones e câmeras")</f>
        <v>Recentemente, comprei um tripé on -line na Amazon e estou muito satisfeito com a compra. O produto chegou rapidamente e foi bem embalado, facilitando a configuração. A construção é sólida e resistente, permitindo -me usar minha câmera com confiança sem medo de balançar ou agitar. Além disso, o preço era extremamente acessível em comparação com produtos semelhantes em outros sites. No geral, eu recomendo este produto para quem procura um tripé barato, mas confiável!, O produto é bom como esperado, resistente, leve e bom para iniciantes, o produto é bom e leve., Gosto muito do produto do produto Foi incrível pelo preço acessível é muito útil e útil para iniciantes, é muito fácil de usar e leve peso para transportar. Ótima ferramenta para clicar em fotos em um feriado cênico., Sua estabilidade é perfeita. Os iniciantes podem começar com It👍, como a estabilidade e o suporte móvel, simplesmente excelente este para telefones e câmeras</v>
      </c>
    </row>
    <row r="633">
      <c r="A633" s="9" t="s">
        <v>2503</v>
      </c>
      <c r="B633" s="29" t="str">
        <f>VLOOKUP(dados!A633, reviews!A:G, 5, FALSE)</f>
        <v>Best to use wid like any phone.....it has great range,Good in this budget,Good,Very good for music lovers,Nice product,Boult audio airbass z20 review,Good product impressive,Worth of buying</v>
      </c>
      <c r="C633" s="29" t="str">
        <f>VLOOKUP(dados!A633, reviews!A:G, 6, FALSE)</f>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v>
      </c>
      <c r="D633" s="29" t="str">
        <f>IFERROR(__xludf.DUMMYFUNCTION("GOOGLETRANSLATE(B633, ""en"", ""pt-br"")"),"Melhor usar wid como qualquer telefone ..... ele tem um grande alcance, bom nesse orçamento, bom, muito bom para amantes da música, bom produto, Boult Audio Airbass Z20 Review, bom produto impressionante, vale a pena comprar")</f>
        <v>Melhor usar wid como qualquer telefone ..... ele tem um grande alcance, bom nesse orçamento, bom, muito bom para amantes da música, bom produto, Boult Audio Airbass Z20 Review, bom produto impressionante, vale a pena comprar</v>
      </c>
      <c r="E633" s="29" t="str">
        <f>IFERROR(__xludf.DUMMYFUNCTION("GOOGLETRANSLATE(C633, ""en"", ""pt-br"")"),"Tudo é bom, como eu usei como muitos earbudss e este que achei que é bastante mutável ... como se eu não tivesse a boa qualidade de alcance, pois no meu dispositivo nunca cncts com todos os dispositivos sem fio .... . Mas ele se conectou com meu dispositi"&amp;"vo e funciona, depois de usar o Bluetooth em torno de uma semana, experimento que a qualidade da chamada é média, mas você pode usar isso para ouvir música se não for amante da base., A qualidade do baixo é boa pode ser melhor. , No geral, é bom, mas há p"&amp;"equena dessubência durante a condução com o alcance, um produto agradável e bom. Gostei, o som é bom, mas qualidade normal, bom produto impressionante, som e baixo é bom e valor para o dinheiro")</f>
        <v>Tudo é bom, como eu usei como muitos earbudss e este que achei que é bastante mutável ... como se eu não tivesse a boa qualidade de alcance, pois no meu dispositivo nunca cncts com todos os dispositivos sem fio .... . Mas ele se conectou com meu dispositivo e funciona, depois de usar o Bluetooth em torno de uma semana, experimento que a qualidade da chamada é média, mas você pode usar isso para ouvir música se não for amante da base., A qualidade do baixo é boa pode ser melhor. , No geral, é bom, mas há pequena dessubência durante a condução com o alcance, um produto agradável e bom. Gostei, o som é bom, mas qualidade normal, bom produto impressionante, som e baixo é bom e valor para o dinheiro</v>
      </c>
    </row>
    <row r="634">
      <c r="A634" s="9" t="s">
        <v>38</v>
      </c>
      <c r="B634" s="29" t="str">
        <f>VLOOKUP(dados!A634, reviews!A:G, 5, FALSE)</f>
        <v>As good as original,Decent,Good one for secondary use,Best quality,GOOD,Amazing product at a mind blowing price!,Nice Quality,Good product</v>
      </c>
      <c r="C634" s="29" t="str">
        <f>VLOOKUP(dados!A634, reviews!A:G, 6, FALSE)</f>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wasn’t sure if it would work well with my iPhone 12 or whether it would impact my iPhone’s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doesn’t tangle easily and can withstand day-to-day usage.L-Shaped pin:This is very innovative by Portronics and it makes sure the cable doesn’t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v>
      </c>
      <c r="D634" s="29" t="str">
        <f>IFERROR(__xludf.DUMMYFUNCTION("GOOGLETRANSLATE(B634, ""en"", ""pt-br"")"),"Tão bom quanto original, decente, bom para uso secundário, melhor qualidade, bom e incrível produto a um preço de sopro mental!, Boa qualidade, bom produto")</f>
        <v>Tão bom quanto original, decente, bom para uso secundário, melhor qualidade, bom e incrível produto a um preço de sopro mental!, Boa qualidade, bom produto</v>
      </c>
      <c r="E634" s="29" t="str">
        <f>IFERROR(__xludf.DUMMYFUNCTION("GOOGLETRANSLATE(C634, ""en"", ""pt-br"")"),"Comprei isso em vez da Apple original, faz o trabalho por 150rs, não tão rápido quanto o Apple Charger, mas é uma boa opção se você quiser um produto barato e bom, comprou -o para iPad Pro 10.5 e está funcionando perfeitamente, a qualidade de construção é"&amp;" OK, não é Como se eu fosse pendurar minhas roupas e eu quero um cabo muito forte, mesmo uma parada de cabo trançado para funcionar depois de um ano, eu usei o Cabo Stradesado Anker e Apple Store, todos eles param de funcionar depois de um ano, então, por"&amp;" favor, não Compre cabos de ponta apenas para isso, em vez disso, escolha um este e, mesmo que pare de trabalhar com um ano, você perde apenas 150rs se compara a 2000rs.Update ------------------------ ----------- ,,É bom. Não tenho certeza sobre a durabil"&amp;"idade, pois a área do pino parece um pouco frágil, não suporta o Apple CarPlayso ficou um pouco decepcionado com o que outro do que esse cabo é composto de muito boa qualidade, melhor comprar, 100% não Padful, escrevendo esta resenha postagem de 10 meses "&amp;"e 3 ordens do mesmo produto. A retratação de Konnect L Lightning Cable funciona como mágica com o tijolo de carregamento da Apple original. Veja o preço do cabo que eu hesitei inicialmente com a compra e era tão baixo quanto ₹ 99/- com as ofertas e, assim"&amp;", eu não fui É certo se funcionaria bem com o meu iPhone 12 ou se isso afetaria a saúde da bateria do meu iPhone, porque todas as outras marcas de cabo de raios estavam custando mais de ₹ 350/- como Wayona, Amazon Basics, etc.Earlier, eu estava usando o W"&amp;"ayona Brand Lightning cabo com eventualmente desgastado e parou de funcionar. Velocidade de carregamento: carrega meu iPhone rápido o suficiente quase semelhante em comparação com o nível original do cabo quando usado com o adaptador de potência Apple ori"&amp;"ginal de 12W. Profundação e durabilidade: Cabo trançado de ótima qualidade e não se enrola facilmente e pode suportar Uso do dia-a-dia. : Eu usei esse cabo apenas com o tijolo de carregamento de maçã original e extremamente satisfeito com seu desempenho.,"&amp;" Melhor do que espero o produto que gosto dessa qualidade e pretendo comprar o mesmo tipo de cabo vêm com USB C para o cabo de iluminação para fins de emergência que muito eu amo este cabo. Compre para este cabo apenas emergency usa apenas desde o bom, bo"&amp;"m produto e valor para o dinheiro")</f>
        <v>Comprei isso em vez da Apple original, faz o trabalho por 150rs, não tão rápido quanto o Apple Charger, mas é uma boa opção se você quiser um produto barato e bom, comprou -o para iPad Pro 10.5 e está funcionando perfeitamente, a qualidade de construção é OK, não é Como se eu fosse pendurar minhas roupas e eu quero um cabo muito forte, mesmo uma parada de cabo trançado para funcionar depois de um ano, eu usei o Cabo Stradesado Anker e Apple Store, todos eles param de funcionar depois de um ano, então, por favor, não Compre cabos de ponta apenas para isso, em vez disso, escolha um este e, mesmo que pare de trabalhar com um ano, você perde apenas 150rs se compara a 2000rs.Update ------------------------ ----------- ,,É bom. Não tenho certeza sobre a durabilidade, pois a área do pino parece um pouco frágil, não suporta o Apple CarPlayso ficou um pouco decepcionado com o que outro do que esse cabo é composto de muito boa qualidade, melhor comprar, 100% não Padful, escrevendo esta resenha postagem de 10 meses e 3 ordens do mesmo produto. A retratação de Konnect L Lightning Cable funciona como mágica com o tijolo de carregamento da Apple original. Veja o preço do cabo que eu hesitei inicialmente com a compra e era tão baixo quanto ₹ 99/- com as ofertas e, assim, eu não fui É certo se funcionaria bem com o meu iPhone 12 ou se isso afetaria a saúde da bateria do meu iPhone, porque todas as outras marcas de cabo de raios estavam custando mais de ₹ 350/- como Wayona, Amazon Basics, etc.Earlier, eu estava usando o Wayona Brand Lightning cabo com eventualmente desgastado e parou de funcionar. Velocidade de carregamento: carrega meu iPhone rápido o suficiente quase semelhante em comparação com o nível original do cabo quando usado com o adaptador de potência Apple original de 12W. Profundação e durabilidade: Cabo trançado de ótima qualidade e não se enrola facilmente e pode suportar Uso do dia-a-dia. : Eu usei esse cabo apenas com o tijolo de carregamento de maçã original e extremamente satisfeito com seu desempenho., Melhor do que espero o produto que gosto dessa qualidade e pretendo comprar o mesmo tipo de cabo vêm com USB C para o cabo de iluminação para fins de emergência que muito eu amo este cabo. Compre para este cabo apenas emergency usa apenas desde o bom, bom produto e valor para o dinheiro</v>
      </c>
    </row>
    <row r="635">
      <c r="A635" s="9" t="s">
        <v>2508</v>
      </c>
      <c r="B635" s="29" t="str">
        <f>VLOOKUP(dados!A635, reviews!A:G, 5, FALSE)</f>
        <v>Great pendrive,Value for money,Good,Kaafi slow hai, heating issue bhi hai,Good and fast drive,It is best pendrive at this prize.,Satisfactory with a bit heating issue.,Average</v>
      </c>
      <c r="C635" s="29" t="str">
        <f>VLOOKUP(dados!A635, reviews!A:G, 6, FALSE)</f>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v>
      </c>
      <c r="D635" s="29" t="str">
        <f>IFERROR(__xludf.DUMMYFUNCTION("GOOGLETRANSLATE(B635, ""en"", ""pt-br"")"),"Ótimo pendrive, valor ao dinheiro, bom, kaafi lento hai, problema de aquecimento bhi hai, bom e rápido drive, é melhor pêndrive neste prêmio., Satisfatório com um pouco de aquecimento., Média")</f>
        <v>Ótimo pendrive, valor ao dinheiro, bom, kaafi lento hai, problema de aquecimento bhi hai, bom e rápido drive, é melhor pêndrive neste prêmio., Satisfatório com um pouco de aquecimento., Média</v>
      </c>
      <c r="E635" s="29" t="str">
        <f>IFERROR(__xludf.DUMMYFUNCTION("GOOGLETRANSLATE(C635, ""en"", ""pt-br"")"),"Inicialmente, o Pendrive que recebi estava ficando muito quente quando inserido e, sem fazer nada, mas depois me inscrevi para o Exchange e, na segunda vez, recebi um Pendrive, fica um pouco quente e é muito melhor que a primeira vez. Liguei para o Sandis"&amp;"k para o primeiro Pendrive e eles me pediram substituição, então eu fiz e a segunda vez que tenho um bom Pendrive. Vá em frente., Melhor qualidade e valor pelo dinheiro, trabalhando bem, 60 % Good40 % BadHeating muito rápido por causa do corpo de metal, e"&amp;"u acho, uma espécie de qualidade lenta é boa, pois é o metal, a qualidade de construção é ótima, mas causa problema de aquecimento Ao transferir arquivos por períodos mais longos, de outra forma, o desempenho é esperado, é melhor o Pendrive neste prêmio e"&amp;" a velocidade é boa. Eu sugiro que você possa comprar sem preocupação, a qualidade da unidade de caneta é absolutamente boa como o esperado, mas sim, como outros clientes mencionados nos comentários sobre a questão do aquecimento. Sim, ele aquece, mas ape"&amp;"nas quando está realmente em uso ... significa enquanto transfere ou O uso hardcore do Pendrive, mas quando deixado ocioso é completamente normal. Esqueci o Pendrive anexado até a tarde, mas era completamente normal. Nenhum problema de aquecimento depois "&amp;"que a transferência foi feita., Média")</f>
        <v>Inicialmente, o Pendrive que recebi estava ficando muito quente quando inserido e, sem fazer nada, mas depois me inscrevi para o Exchange e, na segunda vez, recebi um Pendrive, fica um pouco quente e é muito melhor que a primeira vez. Liguei para o Sandisk para o primeiro Pendrive e eles me pediram substituição, então eu fiz e a segunda vez que tenho um bom Pendrive. Vá em frente., Melhor qualidade e valor pelo dinheiro, trabalhando bem, 60 % Good40 % BadHeating muito rápido por causa do corpo de metal, eu acho, uma espécie de qualidade lenta é boa, pois é o metal, a qualidade de construção é ótima, mas causa problema de aquecimento Ao transferir arquivos por períodos mais longos, de outra forma, o desempenho é esperado, é melhor o Pendrive neste prêmio e a velocidade é boa. Eu sugiro que você possa comprar sem preocupação, a qualidade da unidade de caneta é absolutamente boa como o esperado, mas sim, como outros clientes mencionados nos comentários sobre a questão do aquecimento. Sim, ele aquece, mas apenas quando está realmente em uso ... significa enquanto transfere ou O uso hardcore do Pendrive, mas quando deixado ocioso é completamente normal. Esqueci o Pendrive anexado até a tarde, mas era completamente normal. Nenhum problema de aquecimento depois que a transferência foi feita., Média</v>
      </c>
    </row>
    <row r="636">
      <c r="A636" s="9" t="s">
        <v>1635</v>
      </c>
      <c r="B636" s="29" t="str">
        <f>VLOOKUP(dados!A636, reviews!A:G, 5, FALSE)</f>
        <v>Best Budget watch,MERA WAQT BADAL KE RAKH DIYA!!,Nice product and user friendly compare to other smart watch,Nice watch...,Vikas,Nice,Not worth it,Grt</v>
      </c>
      <c r="C636" s="29" t="str">
        <f>VLOOKUP(dados!A636, reviews!A:G, 6, FALSE)</f>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v>
      </c>
      <c r="D636" s="29" t="str">
        <f>IFERROR(__xludf.DUMMYFUNCTION("GOOGLETRANSLATE(B636, ""en"", ""pt-br"")"),"Melhor relógio de orçamento, Mera Waqt Badal Ke Rakh Diya !!, bom produto e amigável para usar outro relógio inteligente, bom relógio ..., vikas, bom, não vale a pena, grt")</f>
        <v>Melhor relógio de orçamento, Mera Waqt Badal Ke Rakh Diya !!, bom produto e amigável para usar outro relógio inteligente, bom relógio ..., vikas, bom, não vale a pena, grt</v>
      </c>
      <c r="E636" s="29" t="str">
        <f>IFERROR(__xludf.DUMMYFUNCTION("GOOGLETRANSLATE(C636, ""en"", ""pt-br"")"),",Uau!!! Apenas Uau!!! Como um belo produto como esse pode existir a um preço tão acessível?! Quero dizer, estou simplesmente impressionado com este relógio. Kya dikhti hai yaar aur kya waqt dikhati hai yaar. Yeh Ghadi Tik-Tik Toh Nahin Chalti, mas isso fe"&amp;"z minha vida rastrear a THEK-THEEK, com certeza desde o dia em que está comigo. Eu amo este relógio. A precisão, a cor (preta), o peso, a aparância etc. são tão incríveis. Dá 4 estrelas porque seu aplicativo móvel é uma merda de verdade. A conectividade m"&amp;"óvel tem muito a ser improvisada. Poderia ter sido até o Agar Ghadi Banane Pe Itna Kharcha Kar Hi Diya Hai Toh :(, bom produto e um uso fácil de usar com outro relógio inteligente., Bom relógio, barulho é melhor ... É um produto muito útil, eu gosto, Após"&amp;" 6 meses a cobrança não está funcionando, o bom produto HV usou este produto desde 1 ano")</f>
        <v>,Uau!!! Apenas Uau!!! Como um belo produto como esse pode existir a um preço tão acessível?! Quero dizer, estou simplesmente impressionado com este relógio. Kya dikhti hai yaar aur kya waqt dikhati hai yaar. Yeh Ghadi Tik-Tik Toh Nahin Chalti, mas isso fez minha vida rastrear a THEK-THEEK, com certeza desde o dia em que está comigo. Eu amo este relógio. A precisão, a cor (preta), o peso, a aparância etc. são tão incríveis. Dá 4 estrelas porque seu aplicativo móvel é uma merda de verdade. A conectividade móvel tem muito a ser improvisada. Poderia ter sido até o Agar Ghadi Banane Pe Itna Kharcha Kar Hi Diya Hai Toh :(, bom produto e um uso fácil de usar com outro relógio inteligente., Bom relógio, barulho é melhor ... É um produto muito útil, eu gosto, Após 6 meses a cobrança não está funcionando, o bom produto HV usou este produto desde 1 ano</v>
      </c>
    </row>
    <row r="637">
      <c r="A637" s="9" t="s">
        <v>1639</v>
      </c>
      <c r="B637" s="29" t="str">
        <f>VLOOKUP(dados!A637, reviews!A:G, 5, FALSE)</f>
        <v>Value for Money,After 1 month usage review,Good product,Product is good and light weight.,Good product,Nice product.Bluetooth option Is good,Can go for it, not much stable but a decent product,Seems to be a good product by first use</v>
      </c>
      <c r="C637" s="29" t="str">
        <f>VLOOKUP(dados!A637, reviews!A:G, 6, FALSE)</f>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v>
      </c>
      <c r="D637" s="29" t="str">
        <f>IFERROR(__xludf.DUMMYFUNCTION("GOOGLETRANSLATE(B637, ""en"", ""pt-br"")"),"Valor pelo dinheiro, após 1 mês de revisão de uso, bom produto, produto é bom e leve., Bom produto, bom produto. A opção Bluetooth é boa, pode seguir em frente, não muito estável, mas um produto decente, parece ser um bom Produto por primeiro uso")</f>
        <v>Valor pelo dinheiro, após 1 mês de revisão de uso, bom produto, produto é bom e leve., Bom produto, bom produto. A opção Bluetooth é boa, pode seguir em frente, não muito estável, mas um produto decente, parece ser um bom Produto por primeiro uso</v>
      </c>
      <c r="E637" s="29" t="str">
        <f>IFERROR(__xludf.DUMMYFUNCTION("GOOGLETRANSLATE(C637, ""en"", ""pt-br"")"),"O bastão de selfie é composto de plástico de qualidade barato. No entanto, a estrutura construída do bastão de selfie é estável e até o suporte do tripé fornecerá amplo suporte para fazer um lapso de tempo de vídeo ou uma selfie de retrato. Recompensado a"&amp;" todos os blogueiros de vídeo que acabaram Iniciou seus canais no YouTube ou em qualquer outro sites. É bom, mas eu sempre tinha medo de que fosse cair do estande. O titular é mal -humorado, não pode segurá -lo mais apertado. Precisa de outra pessoa ajuda"&amp;" para inserir o telefone no estande ou precisar sentar e esticar o porta -telefone para inserir o telefone. Talvez não valha 399 ₹. Deixe -me saber se você tiver outras dúvidas, é amigável, o produto é bom e leve. ,Bom produto")</f>
        <v>O bastão de selfie é composto de plástico de qualidade barato. No entanto, a estrutura construída do bastão de selfie é estável e até o suporte do tripé fornecerá amplo suporte para fazer um lapso de tempo de vídeo ou uma selfie de retrato. Recompensado a todos os blogueiros de vídeo que acabaram Iniciou seus canais no YouTube ou em qualquer outro sites. É bom, mas eu sempre tinha medo de que fosse cair do estande. O titular é mal -humorado, não pode segurá -lo mais apertado. Precisa de outra pessoa ajuda para inserir o telefone no estande ou precisar sentar e esticar o porta -telefone para inserir o telefone. Talvez não valha 399 ₹. Deixe -me saber se você tiver outras dúvidas, é amigável, o produto é bom e leve. ,Bom produto</v>
      </c>
    </row>
    <row r="638">
      <c r="A638" s="9" t="s">
        <v>2514</v>
      </c>
      <c r="B638" s="29" t="str">
        <f>VLOOKUP(dados!A638, reviews!A:G, 5, FALSE)</f>
        <v>First day impressions: A BEAST!,A decent all rounder.,All good but multiple pairing is awful,Good Product by BoAt,Good Product (but Not well-finished) at a Fair Price of 1599</v>
      </c>
      <c r="C638" s="29" t="str">
        <f>VLOOKUP(dados!A638, reviews!A:G, 6, FALSE)</f>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 Nice Sound Quality while using Crystal Bionic Sound, but it's average on normal mode which feels a little more bassy and losses clarity at certain points.• Great Build Quality• It's ANC &amp; Ambience mode is good in this price range.• It's quite Comfortable to wear for long sessions as per my ear fitting.•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 It's range is very low considering Bluetooth v5.2, I even have BoAt neckband with v5.0 which has better range. Even a single wall coming in between 3-4ms can block the sound output.• Its battery life is average which needs charge every day if you use it for roughly 8-10 hours everyday with Bionic Crystal Mode/ANC enabled.• While using Dual Pairing sometimes there are sound drops and lags in between. And the sound gets high pitched and starts lagging sometimes if you switch quickly between devices. (This happened on the Replacement unit I received, maybe it's not the case with your unit).•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v>
      </c>
      <c r="D638" s="29" t="str">
        <f>IFERROR(__xludf.DUMMYFUNCTION("GOOGLETRANSLATE(B638, ""en"", ""pt-br"")"),"Impressões do primeiro dia: uma besta!, Um decente.")</f>
        <v>Impressões do primeiro dia: uma besta!, Um decente.</v>
      </c>
      <c r="E638" s="29" t="str">
        <f>IFERROR(__xludf.DUMMYFUNCTION("GOOGLETRANSLATE(C638, ""en"", ""pt-br"")"),"Enquanto eu navegava em vários fones de ouvido nesse intervalo em um intervalo de trabalho não tão ocupado, me deparei com esse produto cheio de recursos. Parecia interessante - e tinha algo chamado Dirac Opteo nele + ANC. Por isso, pensei em dar um tiro."&amp;" Primeiro dia de impressões - isso me impressionou! Lista exaustiva de impressões: 1. Dirac Opteo: som equilibrado com baixo forte! Sim, e não Bass Boming. É tão bom e estou bastante surpreso que parece algo que você esperaria a um preço mais alto. 1.1 So"&amp;"nderstage: Assim que o fone de ouvido for ligado, ele inicia no 'modo de economia de bateria'. Depois de ativar o modo Dirac Opteo, você pode literalmente sentir o espaço se abrindo. Todos os instrumentos parecem individuais e parecem separados. Os vaga -"&amp;"lumes (de Owl City) parecem adoráveis ​​e todas as cordas oscilam no centro, enquanto os vários zaps e zumbidos o cercam. É realmente ótimo para o preço! 1.2 Treble e Mids: Limpo e claro. O baixo não os domina e parece certo. Os vocais saem claramente e t"&amp;"odos os instrumentos não interferem com ele (dirige para casa por Steven Wilson parece ótimo!). 1.3 Bass: Punhoso e apertado. Eu amo como isso fracassa em 'Bonfire' (por Fache Party) e como ela reverbera em 'recusar o quê' (de DJ Snake). 'Disparar o suor'"&amp;" (de Skrillex, Zedd) parecia apertado e eu descobri o quão bem produzido é! Amantes de baixo apertado, este é o seu produto! 2. Volume: fica muito alto. Tão alto que não consigo ouvi -lo na configuração mais alta. Mas se é isso que você gosta, você deve s"&amp;"aber que os máximos ficam bastante estridentes com o cenário, mas o baixo ainda está bem limpo e alto! 3. ANC: O ANC está presente, mas não vai abafar tudo. É um ótimo complemento, mas se você está procurando um fone de ouvido para emitir todos os sons ao"&amp;" seu redor zero, isso não fará isso. Se você precisar abafar algum barulho enquanto ouve suas músicas, isso fará o truque! 3.1 Modo de som ambiente: o oposto do ANC, ele puxa o ruído externo para permitir que você tenha uma conversa. Novamente, você não p"&amp;"ode explodir músicas em alto volume e ainda ter uma conversa, mas pode ouvir com volume mais baixo (quase 25% de volume) e ouvir coisas ao seu redor. Se o som ambiente também aumentasse à medida que eu aumentava o volume, teria sido incrível. Chamando: fe"&amp;"z algumas ligações. Com não ruído, a outra pessoa disse que eu parecia ótimo! Fiz algumas ligações em uma mercearia local (estava bem alto) e o outro lado não teve nenhum problema me ouvir. Botões: o posicionamento do botão é fácil e eu não senti nenhum p"&amp;"roblema se acostumar com os controles. O manual simples explica tudo em 2 minutos, então leia uma vez e pronto. 5.1 Para observar: o som é o melhor no modo Dirac Opteo. Toda vez que você liga, você deve pressionar o botão multi -função para ativá -lo. Eu "&amp;"adoraria tê -lo por padrão. Além disso, toda vez que eu o ligo, ele toca uma música de 3-4 segundos, o que poderia ter sido mais curto. (Imagine ouvi -lo toda vez que você liga. Conectividade: uma vez que eu o conectei ao meu telefone pela primeira vez, e"&amp;"le se conecta ao meu telefone dentro de 1-2 segundos depois de ativar os fones de ouvido.7. Bateria: parece durar muito! Eu os uso há cerca de 4,5 horas e caiu cerca de 20%. Não posso dizer mais nada ainda. 7.1 Quando você tira os dois fones de ouvido dos"&amp;" seus ouvidos, ele não faz uma pausa automática como alguns dos concorrentes. Irritado por isso ter sido perdido, teria economizado muito mais bateria se fizessem isso. Qualidade de construção: eu tenho uma versão preta. É feito com plástico de boa qualid"&amp;"ade e não parecia pesado no meu pescoço. Não tem metal em lugar algum, e é bastante simples. Eu acho que parece decente. Exercício: Precisa testar! Atualizará mais tarde. No resumo, uma recomendação fácil. Se você pode ignorar os pequenos problemas, há um"&amp;" ótimo dispositivo de som, compactado e duradouro aqui a um ótimo preço! 10/10 Definitivamente recomendaria!, Primeiro eu fiquei muito cético em relação à qualidade da construção, mas tenho que dizer que tem um material bastante robusto e botões decentes "&amp;"de qualidade, o baixo é bom, os vocais são muito mais claros no modo Bionic, o ANC está trabalhando para um Definitivamente, o grau cancelará o ruído do seu ventilador de celing, mas não, exceto mais do que isso, nenhum problema com o Call ENX está trabal"&amp;"hando até o nome, a bateria é suficiente em torno de 12 a 14 horas se você misturar os modos. Band de pescoço decente, macaco de todos e rei de ninguém., Todas as outras coisas, como qualidade de som, o backup da bateria são muito boas, mas o emparelhamen"&amp;"to de vários dispositivos é implementado muito mal. Se eu me conectar com o laptop e tentar me conectar ao telefone ao mesmo tempo. Não funciona muitas vezes. Se os fones de ouvido estiverem conectados ao laptop e você fechar o laptop sem desligá -lo, voc"&amp;"ê não poderá se conectar com o telefone novamente, a menos e até se desconectar com o laptop. Este é um grande bug. Por favor, conserte isso., Este barco 330 ANC NeckBand é muito bom, mas precisa de melhorias e correções. . • Grande qualidade de construçã"&amp;"o • Seu modo de ANC e ambiente é bom nessa faixa de preço. • É bastante confortável de usar para sessões longas, conforme meu encaixe de ouvido. Um pequeno problema com o emparelhamento duplo, por exemplo, ao receber uma chamada em um dispositivo, o áudio"&amp;"/vídeo sendo reproduzido em outro dispositivo não pausa (você precisa fazer uma pausa manualmente), em vez disso, não haverá saída de som nesse dispositivo. É um pequeno problema, mas teria sido ótimo se o vídeo fosse pausado ao receber uma chamada em out"&amp;"ro dispositivo, pois isso está disponível no Boat Rockerz 335 e em algumas bandas de pescoço de barco diferentes. .2, eu até tenho fita de barco com v5.0, que tem melhor alcance. Mesmo uma única parede que entra entre 3-4ms pode bloquear a saída de som. •"&amp;" A duração da bateria é média, que precisa de carga todos os dias, se você a usar por aproximadamente 8 a 10 horas todos os dias com o modo de cristal biônico/ANC ativado. • Ao usar duplo Emparelhando às vezes há quedas de som e atrasos no meio. E o som f"&amp;"ica alto e começa a ficar ficando às vezes se você alternar rapidamente entre os dispositivos. (Isso aconteceu na unidade de substituição que recebi, talvez não seja o caso da sua unidade). • Às vezes, nenhum som é recebido ao reproduzir áudio de ambos os"&amp;" dispositivos. (Não sei se está errado com minha unidade ou em todas as unidades.) No geral, esta é uma faixa de pescoço boa e considerável sob 2k se você quiser uma boa qualidade de som rica em graves, Modo de ANC/ambiente e descendência da bateria. Mas "&amp;"se seus requisitos Principalmente é um par duplo, então isso não é para você. Enquanto comprei isso, considerando o recurso duplo mais importante. Mas não é realmente perfeito entre os dispositivos, mas ainda é o melhor recurso disponível nessa faixa de p"&amp;"reço ou até menos de 5k, mas precisa de melhorias e correções para torná -lo mais perfeito e eficiente. Outro problema com o par de duplas é que a mídia não faz '' T é pausado no primeiro dispositivo se houver uma chamada no segundo, que já está lá nas po"&amp;"ucas outras faixas de pescoço do barco, mas não há recurso de pausa de mídia nelas. (Por exemplo, se o áudio estiver sendo reproduzido em 2 dispositivos, o áudio do primeiro dispositivo será pausado se o áudio for reproduzido no segundo dispositivo e vice"&amp;"-versa). Então, experimente por si mesmo. Porque é a minha experiência pessoal com a faixa do pescoço, talvez você tenha uma experiência melhor. Muito obrigado pela leitura. Boas compras!, Comprei este depois de usar o Rockerz 255 Pro por mais de 2 anos. "&amp;"Comparando isso com isso, aquele era ergonomicamente melhor, senti confortável nos ouvidos. O cancelamento de ruído está bem, não muito grande, não é tão ruim. A qualidade do som é definitivamente ótima e excelente com o recurso de som biônico. Parabéns n"&amp;"essa parte. A qualidade do baixo é bastante boa nesse preço. Detém cobrança pelo tempo que anunciou. A natureza volumosa geral da faixa do pescoço o afasta e, em seguida, o acabamento também é ruim em torno dos botões de controle, fazendo com que pareça m"&amp;"uito brega e barato (pelo menos na descolada cinza que eu comprei porque custava o preço mais baixo) .Clusão: bom produto em um Preço justo, isto é, nada muito grande, mas nada de ruim também.")</f>
        <v>Enquanto eu navegava em vários fones de ouvido nesse intervalo em um intervalo de trabalho não tão ocupado, me deparei com esse produto cheio de recursos. Parecia interessante - e tinha algo chamado Dirac Opteo nele + ANC. Por isso, pensei em dar um tiro. Primeiro dia de impressões - isso me impressionou! Lista exaustiva de impressões: 1. Dirac Opteo: som equilibrado com baixo forte! Sim, e não Bass Boming. É tão bom e estou bastante surpreso que parece algo que você esperaria a um preço mais alto. 1.1 Sonderstage: Assim que o fone de ouvido for ligado, ele inicia no 'modo de economia de bateria'. Depois de ativar o modo Dirac Opteo, você pode literalmente sentir o espaço se abrindo. Todos os instrumentos parecem individuais e parecem separados. Os vaga -lumes (de Owl City) parecem adoráveis ​​e todas as cordas oscilam no centro, enquanto os vários zaps e zumbidos o cercam. É realmente ótimo para o preço! 1.2 Treble e Mids: Limpo e claro. O baixo não os domina e parece certo. Os vocais saem claramente e todos os instrumentos não interferem com ele (dirige para casa por Steven Wilson parece ótimo!). 1.3 Bass: Punhoso e apertado. Eu amo como isso fracassa em 'Bonfire' (por Fache Party) e como ela reverbera em 'recusar o quê' (de DJ Snake). 'Disparar o suor' (de Skrillex, Zedd) parecia apertado e eu descobri o quão bem produzido é! Amantes de baixo apertado, este é o seu produto! 2. Volume: fica muito alto. Tão alto que não consigo ouvi -lo na configuração mais alta. Mas se é isso que você gosta, você deve saber que os máximos ficam bastante estridentes com o cenário, mas o baixo ainda está bem limpo e alto! 3. ANC: O ANC está presente, mas não vai abafar tudo. É um ótimo complemento, mas se você está procurando um fone de ouvido para emitir todos os sons ao seu redor zero, isso não fará isso. Se você precisar abafar algum barulho enquanto ouve suas músicas, isso fará o truque! 3.1 Modo de som ambiente: o oposto do ANC, ele puxa o ruído externo para permitir que você tenha uma conversa. Novamente, você não pode explodir músicas em alto volume e ainda ter uma conversa, mas pode ouvir com volume mais baixo (quase 25% de volume) e ouvir coisas ao seu redor. Se o som ambiente também aumentasse à medida que eu aumentava o volume, teria sido incrível. Chamando: fez algumas ligações. Com não ruído, a outra pessoa disse que eu parecia ótimo! Fiz algumas ligações em uma mercearia local (estava bem alto) e o outro lado não teve nenhum problema me ouvir. Botões: o posicionamento do botão é fácil e eu não senti nenhum problema se acostumar com os controles. O manual simples explica tudo em 2 minutos, então leia uma vez e pronto. 5.1 Para observar: o som é o melhor no modo Dirac Opteo. Toda vez que você liga, você deve pressionar o botão multi -função para ativá -lo. Eu adoraria tê -lo por padrão. Além disso, toda vez que eu o ligo, ele toca uma música de 3-4 segundos, o que poderia ter sido mais curto. (Imagine ouvi -lo toda vez que você liga. Conectividade: uma vez que eu o conectei ao meu telefone pela primeira vez, ele se conecta ao meu telefone dentro de 1-2 segundos depois de ativar os fones de ouvido.7. Bateria: parece durar muito! Eu os uso há cerca de 4,5 horas e caiu cerca de 20%. Não posso dizer mais nada ainda. 7.1 Quando você tira os dois fones de ouvido dos seus ouvidos, ele não faz uma pausa automática como alguns dos concorrentes. Irritado por isso ter sido perdido, teria economizado muito mais bateria se fizessem isso. Qualidade de construção: eu tenho uma versão preta. É feito com plástico de boa qualidade e não parecia pesado no meu pescoço. Não tem metal em lugar algum, e é bastante simples. Eu acho que parece decente. Exercício: Precisa testar! Atualizará mais tarde. No resumo, uma recomendação fácil. Se você pode ignorar os pequenos problemas, há um ótimo dispositivo de som, compactado e duradouro aqui a um ótimo preço! 10/10 Definitivamente recomendaria!, Primeiro eu fiquei muito cético em relação à qualidade da construção, mas tenho que dizer que tem um material bastante robusto e botões decentes de qualidade, o baixo é bom, os vocais são muito mais claros no modo Bionic, o ANC está trabalhando para um Definitivamente, o grau cancelará o ruído do seu ventilador de celing, mas não, exceto mais do que isso, nenhum problema com o Call ENX está trabalhando até o nome, a bateria é suficiente em torno de 12 a 14 horas se você misturar os modos. Band de pescoço decente, macaco de todos e rei de ninguém., Todas as outras coisas, como qualidade de som, o backup da bateria são muito boas, mas o emparelhamento de vários dispositivos é implementado muito mal. Se eu me conectar com o laptop e tentar me conectar ao telefone ao mesmo tempo. Não funciona muitas vezes. Se os fones de ouvido estiverem conectados ao laptop e você fechar o laptop sem desligá -lo, você não poderá se conectar com o telefone novamente, a menos e até se desconectar com o laptop. Este é um grande bug. Por favor, conserte isso., Este barco 330 ANC NeckBand é muito bom, mas precisa de melhorias e correções. . • Grande qualidade de construção • Seu modo de ANC e ambiente é bom nessa faixa de preço. • É bastante confortável de usar para sessões longas, conforme meu encaixe de ouvido. Um pequeno problema com o emparelhamento duplo, por exemplo, ao receber uma chamada em um dispositivo, o áudio/vídeo sendo reproduzido em outro dispositivo não pausa (você precisa fazer uma pausa manualmente), em vez disso, não haverá saída de som nesse dispositivo. É um pequeno problema, mas teria sido ótimo se o vídeo fosse pausado ao receber uma chamada em outro dispositivo, pois isso está disponível no Boat Rockerz 335 e em algumas bandas de pescoço de barco diferentes. .2, eu até tenho fita de barco com v5.0, que tem melhor alcance. Mesmo uma única parede que entra entre 3-4ms pode bloquear a saída de som. • A duração da bateria é média, que precisa de carga todos os dias, se você a usar por aproximadamente 8 a 10 horas todos os dias com o modo de cristal biônico/ANC ativado. • Ao usar duplo Emparelhando às vezes há quedas de som e atrasos no meio. E o som fica alto e começa a ficar ficando às vezes se você alternar rapidamente entre os dispositivos. (Isso aconteceu na unidade de substituição que recebi, talvez não seja o caso da sua unidade). • Às vezes, nenhum som é recebido ao reproduzir áudio de ambos os dispositivos. (Não sei se está errado com minha unidade ou em todas as unidades.) No geral, esta é uma faixa de pescoço boa e considerável sob 2k se você quiser uma boa qualidade de som rica em graves, Modo de ANC/ambiente e descendência da bateria. Mas se seus requisitos Principalmente é um par duplo, então isso não é para você. Enquanto comprei isso, considerando o recurso duplo mais importante. Mas não é realmente perfeito entre os dispositivos, mas ainda é o melhor recurso disponível nessa faixa de preço ou até menos de 5k, mas precisa de melhorias e correções para torná -lo mais perfeito e eficiente. Outro problema com o par de duplas é que a mídia não faz '' T é pausado no primeiro dispositivo se houver uma chamada no segundo, que já está lá nas poucas outras faixas de pescoço do barco, mas não há recurso de pausa de mídia nelas. (Por exemplo, se o áudio estiver sendo reproduzido em 2 dispositivos, o áudio do primeiro dispositivo será pausado se o áudio for reproduzido no segundo dispositivo e vice-versa). Então, experimente por si mesmo. Porque é a minha experiência pessoal com a faixa do pescoço, talvez você tenha uma experiência melhor. Muito obrigado pela leitura. Boas compras!, Comprei este depois de usar o Rockerz 255 Pro por mais de 2 anos. Comparando isso com isso, aquele era ergonomicamente melhor, senti confortável nos ouvidos. O cancelamento de ruído está bem, não muito grande, não é tão ruim. A qualidade do som é definitivamente ótima e excelente com o recurso de som biônico. Parabéns nessa parte. A qualidade do baixo é bastante boa nesse preço. Detém cobrança pelo tempo que anunciou. A natureza volumosa geral da faixa do pescoço o afasta e, em seguida, o acabamento também é ruim em torno dos botões de controle, fazendo com que pareça muito brega e barato (pelo menos na descolada cinza que eu comprei porque custava o preço mais baixo) .Clusão: bom produto em um Preço justo, isto é, nada muito grande, mas nada de ruim também.</v>
      </c>
    </row>
    <row r="639">
      <c r="A639" s="9" t="s">
        <v>2518</v>
      </c>
      <c r="B639" s="29" t="str">
        <f>VLOOKUP(dados!A639, reviews!A:G, 5, FALSE)</f>
        <v>Nice,Good and light calculator,Cheap buttons,Good calculator,Good product thanks Amazon,Super dealing,Function,Ok</v>
      </c>
      <c r="C639" s="29" t="str">
        <f>VLOOKUP(dados!A639, reviews!A:G, 6, FALSE)</f>
        <v>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👌,All function under one segment.so i like it.I sey for all engineering student u purchase only this because this is the best for your problem.this is a solution understand.,Very good</v>
      </c>
      <c r="D639" s="29" t="str">
        <f>IFERROR(__xludf.DUMMYFUNCTION("GOOGLETRANSLATE(B639, ""en"", ""pt-br"")"),"Calculadora legal, boa e de luz, botões baratos, boa calculadora, bom produto, obrigado Amazon, Super negociação, função, OK")</f>
        <v>Calculadora legal, boa e de luz, botões baratos, boa calculadora, bom produto, obrigado Amazon, Super negociação, função, OK</v>
      </c>
      <c r="E639" s="29" t="str">
        <f>IFERROR(__xludf.DUMMYFUNCTION("GOOGLETRANSLATE(C639, ""en"", ""pt-br"")"),"É muito fácil de usar., Bom e fácil de usar., No geral, a construção é boa, mas a qualidade do botão é muito ruim. Se você tem ₹ 200 a mais, sugiro que você vá com ""FX-991 ES Classic"", é uma escolha muito melhor do que essa., Bom productRoComled ao entr"&amp;"ar na faculdade, como a Amazon Experiência muito boa, excelente 👌, toda a função sob um segmento . Então eu gosto.")</f>
        <v>É muito fácil de usar., Bom e fácil de usar., No geral, a construção é boa, mas a qualidade do botão é muito ruim. Se você tem ₹ 200 a mais, sugiro que você vá com "FX-991 ES Classic", é uma escolha muito melhor do que essa., Bom productRoComled ao entrar na faculdade, como a Amazon Experiência muito boa, excelente 👌, toda a função sob um segmento . Então eu gosto.</v>
      </c>
    </row>
    <row r="640">
      <c r="A640" s="9" t="s">
        <v>2526</v>
      </c>
      <c r="B640" s="29" t="str">
        <f>VLOOKUP(dados!A640, reviews!A:G, 5, FALSE)</f>
        <v>Works as advertised,Good product,good,The Product works as described and is super useful,Not good range,Goog item,Does increases range and speed of Internet,ONE TIME INVESTMENT</v>
      </c>
      <c r="C640" s="29" t="str">
        <f>VLOOKUP(dados!A640, reviews!A:G, 6, FALSE)</f>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v>
      </c>
      <c r="D640" s="29" t="str">
        <f>IFERROR(__xludf.DUMMYFUNCTION("GOOGLETRANSLATE(B640, ""en"", ""pt-br"")"),"Funciona como anunciado, bom produto, bom, o produto funciona como descrito e é super útil, não um bom alcance, item do Goog")</f>
        <v>Funciona como anunciado, bom produto, bom, o produto funciona como descrito e é super útil, não um bom alcance, item do Goog</v>
      </c>
      <c r="E640" s="29" t="str">
        <f>IFERROR(__xludf.DUMMYFUNCTION("GOOGLETRANSLATE(C640, ""en"", ""pt-br"")"),"Gostei de fácil configuração. Não gostei de fazer o download e o aplicativo e criar uma conta, um produto incrível. Isso abrange 2 andares mais terraço em uma casa de 1800 pés quadrados. Você pode comprar este produto sem nenhuma preocupação. Eu sugiro qu"&amp;"e você tenha o roteador TP Link também para ser comprado por uma experiência que aparece, o produto é bom, recebi o produto da Amazon em condição primitiva e funciona muito bem como descrito. Estou usando -o no meu primeiro andar, onde tenho um sinal baix"&amp;"o para o meu wifi e fico desconectado quando fecho as portas. O extensor ajuda a resolver o problema e a configuração também foi muito fácil. Um dos únicos pequenos problemas é em tempos muito aleatórios (raramente), isso é desconectado automaticamente, m"&amp;"as pode ser reconectado facilmente, indo a configurações de dispositivo Wi -Fi., Tudo é bom, exceto um alcance!, Bom item, usando na minha casa 2bhk como obter Rede Wi -Fi fraca do roteador e velocidade lenta da Internet. É fácil de configurar e aumenta a"&amp;" faixa e a velocidade tremendamente do que o roteador original. A opção de 5G e 5Gext funciona muito bem. A faixa horizontal é muito boa, pois para a faixa vertical na altura do 1º andar é perfeita e, no 2º andar, é gerenciável. Não aqueça não aquece tant"&amp;"o. Certamente, vá em frente, pouco caro, mas vale a pena., Use o aplicativo Tether, faça a instalação sozinho e aproveite o Wi -Fi. Ajudou a melhorar a conectividade da rede em minha casa. CUSTO-BENEFÍCIO. Procure este produto durante a venda sazonal para"&amp;" um negócio melhor.")</f>
        <v>Gostei de fácil configuração. Não gostei de fazer o download e o aplicativo e criar uma conta, um produto incrível. Isso abrange 2 andares mais terraço em uma casa de 1800 pés quadrados. Você pode comprar este produto sem nenhuma preocupação. Eu sugiro que você tenha o roteador TP Link também para ser comprado por uma experiência que aparece, o produto é bom, recebi o produto da Amazon em condição primitiva e funciona muito bem como descrito. Estou usando -o no meu primeiro andar, onde tenho um sinal baixo para o meu wifi e fico desconectado quando fecho as portas. O extensor ajuda a resolver o problema e a configuração também foi muito fácil. Um dos únicos pequenos problemas é em tempos muito aleatórios (raramente), isso é desconectado automaticamente, mas pode ser reconectado facilmente, indo a configurações de dispositivo Wi -Fi., Tudo é bom, exceto um alcance!, Bom item, usando na minha casa 2bhk como obter Rede Wi -Fi fraca do roteador e velocidade lenta da Internet. É fácil de configurar e aumenta a faixa e a velocidade tremendamente do que o roteador original. A opção de 5G e 5Gext funciona muito bem. A faixa horizontal é muito boa, pois para a faixa vertical na altura do 1º andar é perfeita e, no 2º andar, é gerenciável. Não aqueça não aquece tanto. Certamente, vá em frente, pouco caro, mas vale a pena., Use o aplicativo Tether, faça a instalação sozinho e aproveite o Wi -Fi. Ajudou a melhorar a conectividade da rede em minha casa. CUSTO-BENEFÍCIO. Procure este produto durante a venda sazonal para um negócio melhor.</v>
      </c>
    </row>
    <row r="641">
      <c r="A641" s="9" t="s">
        <v>2532</v>
      </c>
      <c r="B641" s="29" t="str">
        <f>VLOOKUP(dados!A641, reviews!A:G, 5, FALSE)</f>
        <v>Good Sound,Not bad,Some what satisfied with the boat 242--- 4.5/5,Outstanding fantastic,Good purchase,Nice product,Good quality,Best gaming earphone</v>
      </c>
      <c r="C641" s="29" t="str">
        <f>VLOOKUP(dados!A641, reviews!A:G, 6, FALSE)</f>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-niceSound-osm😎Disyan-nice and value for moneyThank you amezon ♥️</v>
      </c>
      <c r="D641" s="29" t="str">
        <f>IFERROR(__xludf.DUMMYFUNCTION("GOOGLETRANSLATE(B641, ""en"", ""pt-br"")"),"Bom som, não é ruim, alguns que estão satisfeitos com o barco 242 --- 4.5/5, excelente fantástico, boa compra, bom produto, boa qualidade, melhor evido para jogos")</f>
        <v>Bom som, não é ruim, alguns que estão satisfeitos com o barco 242 --- 4.5/5, excelente fantástico, boa compra, bom produto, boa qualidade, melhor evido para jogos</v>
      </c>
      <c r="E641" s="29" t="str">
        <f>IFERROR(__xludf.DUMMYFUNCTION("GOOGLETRANSLATE(C641, ""en"", ""pt-br"")"),"O som da música é bom, é muito bom ou eu ainda estou usando quase talvez 2 ou 3 meses, talvez mais, mas eles ainda são bons, o produto está em boa qualidade e confortavelmente consertado em nossos ouvidos, mas a principal questão é quando éramos brotos po"&amp;"r alguns minutos, Ele começará a machucar nossos ouvidos, estou satisfeito com a qualidade do som, 4.7/5ok com o desempenho do cancelamento de ruído. Mas, quando se trata de qualidade de baixo, é um pouco menos do que o barco 225. Não muito baixo, a clare"&amp;"za no baixo é Alguns que faltavam, o peso leve quando comparado ao barco 225. Finalmente, o barco 242 é bom. Sua faixa de preço., Microfone, qualidade do som cristalina clara, baixo também é bom e a qualidade da fiação é muito boa em geral, o fone de ouvi"&amp;"do é muito bom nesse intervalo. Vale a pena me produzir, comprou-os há 2 meses ... nenhum outro reclama até agora ... tudo está indo muito bem ... mas é um pouco caro para 550, bom, bast, jogos-nices-som-osm😎disyan-nice e valor por dinheiro, por exemplo,"&amp;" você amezon ♥ ♥ ♥")</f>
        <v>O som da música é bom, é muito bom ou eu ainda estou usando quase talvez 2 ou 3 meses, talvez mais, mas eles ainda são bons, o produto está em boa qualidade e confortavelmente consertado em nossos ouvidos, mas a principal questão é quando éramos brotos por alguns minutos, Ele começará a machucar nossos ouvidos, estou satisfeito com a qualidade do som, 4.7/5ok com o desempenho do cancelamento de ruído. Mas, quando se trata de qualidade de baixo, é um pouco menos do que o barco 225. Não muito baixo, a clareza no baixo é Alguns que faltavam, o peso leve quando comparado ao barco 225. Finalmente, o barco 242 é bom. Sua faixa de preço., Microfone, qualidade do som cristalina clara, baixo também é bom e a qualidade da fiação é muito boa em geral, o fone de ouvido é muito bom nesse intervalo. Vale a pena me produzir, comprou-os há 2 meses ... nenhum outro reclama até agora ... tudo está indo muito bem ... mas é um pouco caro para 550, bom, bast, jogos-nices-som-osm😎disyan-nice e valor por dinheiro, por exemplo, você amezon ♥ ♥ ♥</v>
      </c>
    </row>
    <row r="642">
      <c r="A642" s="9" t="s">
        <v>2536</v>
      </c>
      <c r="B642" s="29" t="str">
        <f>VLOOKUP(dados!A642, reviews!A:G, 5, FALSE)</f>
        <v>Fantastic Cute Tripod, **Detailed Review**,Worth it purchase...,Good,Good But Could Be More Better.,Camera / phone holder is not stable  🛑 NOT VALUE FOR 💸💰,Good tripod for mobiles, cheap and beginner friendly.,Very good,Satisfactory</v>
      </c>
      <c r="C642" s="29" t="str">
        <f>VLOOKUP(dados!A642, reviews!A:G, 6, FALSE)</f>
        <v>Review written on 09-12-2022It is a nice little tripod for your Phone / mini camera or Gopro. It has Rubber grips, which makes it anti Slip on flat surfaces and feels sturdy in your hand.Here are few Pros and Cons u should know before buying.● PROS▪︎Light weight and easy to assemble.▪︎Very Good for small devices.▪︎Stability is superb.▪︎Comes with Bluetooth remote.▪︎Quality of Rubber and Plastic is great● CONS▪︎Size is quite small, it looks little bigger in the images shown.▪︎ Not at all Suitable for Big DSLR cameras or video cameras.▪︎ I think that the rotaion of the balls can become loose after several months of use. I'LL Update here.●Final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v>
      </c>
      <c r="D642" s="29" t="str">
        <f>IFERROR(__xludf.DUMMYFUNCTION("GOOGLETRANSLATE(B642, ""en"", ""pt-br"")"),"Tripé fofo fantástico, ** Revisão detalhada **, vale a pena comprar ..., bom, bom, mas pode ser mais melhor., O suporte de câmera / telefone não é estável 🛑 Não é valor para 💸💰, bom tripé para celulares, barato e iniciante amigável., muito bom, satisfa"&amp;"tório")</f>
        <v>Tripé fofo fantástico, ** Revisão detalhada **, vale a pena comprar ..., bom, bom, mas pode ser mais melhor., O suporte de câmera / telefone não é estável 🛑 Não é valor para 💸💰, bom tripé para celulares, barato e iniciante amigável., muito bom, satisfatório</v>
      </c>
      <c r="E642" s="29" t="str">
        <f>IFERROR(__xludf.DUMMYFUNCTION("GOOGLETRANSLATE(C642, ""en"", ""pt-br"")"),"A revisão escrita em 12-12-2022it é um belo tripé para sua câmera / mini ou GoPro. Possui alças de borracha, o que o torna anti -deslize em superfícies planas e parece resistente na sua mão. Aqui estão poucos prós e contras que você deve saber antes de co"&amp;"mprar. ● Pros▪︎ Luz o peso e fácil de montar.▪︎ muito bom para dispositivos pequenos.▪︎ A estabilidade é excelente. Pense que a rotação das bolas pode se soltar após vários meses de uso. Atualizarei aqui. ● Veredicto final: pelo preço de ₹ 400, é um bom p"&amp;"roduto, pois é bastante útil quando você vlogou ou deseja tirar fotos em grupo. Ele carregará facilmente seus telefones celulares e câmeras pequenas, mas nem pensa em montar sua câmera profissional, é muito pequena em comparação com as câmeras grandes.GO "&amp;"para isso !! É um ótimo produto., Comprei -o básico para gravar o vídeo de Timeplace, mas quando recebi, fiquei surpreso porque era tão bom em um preço menos e acessível, mas dei 4 estrelas por causa do controle remoto do Bluetooth, pois não conseguiu cli"&amp;"car Fotos e eu até mudamos a bateria, mas ela não funcionou, o produto é muito bom e comparado ao preço. Opinião pessoal: um pouco de qualidade do material com um pouco mais de tamanho poderia ter sido melhorado., Bom, mas pode ser mais melhor. Não é poss"&amp;"ível tomar o peso móvel para ajustar o suporte sempre para um único clique. ,, Este tripé é uma boa compra. Qualidade bastante padrão, devo dizer. O remoto Bluetooth também funciona perfeitamente. Não é muito adequado para câmeras DSLR pesadas. Bom para t"&amp;"elefones celulares e vlogging., Eu estou usando este produto de 1,5 ano sem reclamar, o aprendizado necessário")</f>
        <v>A revisão escrita em 12-12-2022it é um belo tripé para sua câmera / mini ou GoPro. Possui alças de borracha, o que o torna anti -deslize em superfícies planas e parece resistente na sua mão. Aqui estão poucos prós e contras que você deve saber antes de comprar. ● Pros▪︎ Luz o peso e fácil de montar.▪︎ muito bom para dispositivos pequenos.▪︎ A estabilidade é excelente. Pense que a rotação das bolas pode se soltar após vários meses de uso. Atualizarei aqui. ● Veredicto final: pelo preço de ₹ 400, é um bom produto, pois é bastante útil quando você vlogou ou deseja tirar fotos em grupo. Ele carregará facilmente seus telefones celulares e câmeras pequenas, mas nem pensa em montar sua câmera profissional, é muito pequena em comparação com as câmeras grandes.GO para isso !! É um ótimo produto., Comprei -o básico para gravar o vídeo de Timeplace, mas quando recebi, fiquei surpreso porque era tão bom em um preço menos e acessível, mas dei 4 estrelas por causa do controle remoto do Bluetooth, pois não conseguiu clicar Fotos e eu até mudamos a bateria, mas ela não funcionou, o produto é muito bom e comparado ao preço. Opinião pessoal: um pouco de qualidade do material com um pouco mais de tamanho poderia ter sido melhorado., Bom, mas pode ser mais melhor. Não é possível tomar o peso móvel para ajustar o suporte sempre para um único clique. ,, Este tripé é uma boa compra. Qualidade bastante padrão, devo dizer. O remoto Bluetooth também funciona perfeitamente. Não é muito adequado para câmeras DSLR pesadas. Bom para telefones celulares e vlogging., Eu estou usando este produto de 1,5 ano sem reclamar, o aprendizado necessário</v>
      </c>
    </row>
    <row r="643">
      <c r="A643" s="9" t="s">
        <v>1645</v>
      </c>
      <c r="B643" s="29" t="str">
        <f>VLOOKUP(dados!A643, reviews!A:G, 5, FALSE)</f>
        <v>Good deal,Looking is fake product... Storage capacity 58gb.. Menstion64gb.,A nice gadget.,Nice and good,Trusted brand,with adapter!,I liked it's performance and quality.,Good quality,Worth it</v>
      </c>
      <c r="C643" s="29" t="str">
        <f>VLOOKUP(dados!A643, reviews!A:G, 6, FALSE)</f>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size,Best</v>
      </c>
      <c r="D643" s="29" t="str">
        <f>IFERROR(__xludf.DUMMYFUNCTION("GOOGLETRANSLATE(B643, ""en"", ""pt-br"")"),"Bom negócio, procurar um produto falso ... Capacidade de armazenamento 58 GB .. Menstion64GB., Um gadget bonito., Branda agradável e boa e confiável, com adaptador!, Gostei de seu desempenho e qualidade., Boa qualidade, vale a pena")</f>
        <v>Bom negócio, procurar um produto falso ... Capacidade de armazenamento 58 GB .. Menstion64GB., Um gadget bonito., Branda agradável e boa e confiável, com adaptador!, Gostei de seu desempenho e qualidade., Boa qualidade, vale a pena</v>
      </c>
      <c r="E643" s="29" t="str">
        <f>IFERROR(__xludf.DUMMYFUNCTION("GOOGLETRANSLATE(C643, ""en"", ""pt-br"")"),"É um bom negócio obter o cartão SD nesse preço, mas foi ainda menos na Reliance Digital. Mas como eu precisava em 1 dia, é bom encomendar., Produto de aparência ou falso ..., o armazenamento é perfeito, a qualidade do pacote não é boa, a instalação foi fá"&amp;"cil. Finalize esta mina porque é s6lite.free spce mostrado como 119 GB .. já tem apenas dois dias. Não é o problema. Nas duas primeiras vezes, eles entregaram um cartão SD falso com a mesma marca Samsung, mas graças à Amazon por aceitar a solicitação de r"&amp;"etorno. Na terceira vez, recebi este genuíno Samsung Evo Plus SD Card 64 GB. Eu comprei este cartão em Rs. 599. Você também pode obter isso a menos preço durante a temporada de ofertas. O menor preço que eu vi é Rs. 539. O desempenho é quase bom como eu e"&amp;"sperava. A velocidade do escrito é de cerca de 17 a 25 Mbps e a velocidade de leitura é de cerca de 35 a 45 Mbps. Mas não testei muito a velocidade da leitura. Pode ser que você terá melhor velocidade de leitura. O adaptador também é de boa qualidade e te"&amp;"m um bom desempenho.")</f>
        <v>É um bom negócio obter o cartão SD nesse preço, mas foi ainda menos na Reliance Digital. Mas como eu precisava em 1 dia, é bom encomendar., Produto de aparência ou falso ..., o armazenamento é perfeito, a qualidade do pacote não é boa, a instalação foi fácil. Finalize esta mina porque é s6lite.free spce mostrado como 119 GB .. já tem apenas dois dias. Não é o problema. Nas duas primeiras vezes, eles entregaram um cartão SD falso com a mesma marca Samsung, mas graças à Amazon por aceitar a solicitação de retorno. Na terceira vez, recebi este genuíno Samsung Evo Plus SD Card 64 GB. Eu comprei este cartão em Rs. 599. Você também pode obter isso a menos preço durante a temporada de ofertas. O menor preço que eu vi é Rs. 539. O desempenho é quase bom como eu esperava. A velocidade do escrito é de cerca de 17 a 25 Mbps e a velocidade de leitura é de cerca de 35 a 45 Mbps. Mas não testei muito a velocidade da leitura. Pode ser que você terá melhor velocidade de leitura. O adaptador também é de boa qualidade e tem um bom desempenho.</v>
      </c>
    </row>
    <row r="644">
      <c r="A644" s="9" t="s">
        <v>42</v>
      </c>
      <c r="B644" s="29" t="str">
        <f>VLOOKUP(dados!A644, reviews!A:G, 5, FALSE)</f>
        <v>It's pretty good,Average quality,very good and useful usb cable,Good USB cable. My experience was very good it is long lasting,Good,Nice product and useful,-,Sturdy but does not support 33w charging</v>
      </c>
      <c r="C644" s="29" t="str">
        <f>VLOOKUP(dados!A644, reviews!A:G, 6, FALSE)</f>
        <v>It's a good product.,Like,Very good item strong and useful USB cableValue for moneyThanks to amazon and producer,https://m.media-amazon.com/images/I/51112ZRE-1L._SY88.jpg,Good,Nice product and useful product,-,Sturdy but does not support 33w charging</v>
      </c>
      <c r="D644" s="29" t="str">
        <f>IFERROR(__xludf.DUMMYFUNCTION("GOOGLETRANSLATE(B644, ""en"", ""pt-br"")"),"É muito bom, qualidade média, cabo USB muito bom e útil, bom cabo USB. Minha experiência foi muito boa, é duradouro, bom, bom produto e útil,-, resistente, mas não suporta carregamento de 33w")</f>
        <v>É muito bom, qualidade média, cabo USB muito bom e útil, bom cabo USB. Minha experiência foi muito boa, é duradouro, bom, bom produto e útil,-, resistente, mas não suporta carregamento de 33w</v>
      </c>
      <c r="E644" s="29" t="str">
        <f>IFERROR(__xludf.DUMMYFUNCTION("GOOGLETRANSLATE(C644, ""en"", ""pt-br"")"),"É um bom produto., Tipo, um item muito bom forte e útil USB CableValue for Moneythanks para a Amazon e produtor, https: //m.media-amazon.com/images/i/51112zre-1l._sy88.jpg,Good,nice Produto e produto útil,-, resistente, mas não suporta carregamento de 33w")</f>
        <v>É um bom produto., Tipo, um item muito bom forte e útil USB CableValue for Moneythanks para a Amazon e produtor, https: //m.media-amazon.com/images/i/51112zre-1l._sy88.jpg,Good,nice Produto e produto útil,-, resistente, mas não suporta carregamento de 33w</v>
      </c>
    </row>
    <row r="645">
      <c r="A645" s="9" t="s">
        <v>2544</v>
      </c>
      <c r="B645" s="29" t="str">
        <f>VLOOKUP(dados!A645, reviews!A:G, 5, FALSE)</f>
        <v>Best.,Price is high,Trusted and genuine HP ink cartridge.,SENT A PACKET WITH THE SEAL ALREADY OPENED.AND THE CARTRIDGE FOUND TO BE DUPLICATE/FAULTY/USED ONE.,Compatibility,Product is good  but price is to high,Good,Okay</v>
      </c>
      <c r="C645" s="29" t="str">
        <f>VLOOKUP(dados!A645, reviews!A:G, 6, FALSE)</f>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v>
      </c>
      <c r="D645" s="29" t="str">
        <f>IFERROR(__xludf.DUMMYFUNCTION("GOOGLETRANSLATE(B645, ""en"", ""pt-br"")"),"Best., O preço é alto, confiável e genuíno HP Ink Cartidge., Enviou um pacote com o selo já aberto. E o cartucho considerado duplicado/com defeito/usado um., Compatibilidade, o produto é bom, mas o preço é alto, bom ,OK")</f>
        <v>Best., O preço é alto, confiável e genuíno HP Ink Cartidge., Enviou um pacote com o selo já aberto. E o cartucho considerado duplicado/com defeito/usado um., Compatibilidade, o produto é bom, mas o preço é alto, bom ,OK</v>
      </c>
      <c r="E645" s="29" t="str">
        <f>IFERROR(__xludf.DUMMYFUNCTION("GOOGLETRANSLATE(C645, ""en"", ""pt-br"")"),"Melhor Divice do Scanner de Impressão Digital., Fácil de usar, os cartuchos de tinta são fáceis de instalar. Produto genuíno com qualidade de impressão muito fina., Enviou um pacote com o selo já aberto. E o cartucho considerado duplicado/com defeito/usad"&amp;"o. Preço depois disso vender mais e confortáveis ​​clientes, não é ruim, ok")</f>
        <v>Melhor Divice do Scanner de Impressão Digital., Fácil de usar, os cartuchos de tinta são fáceis de instalar. Produto genuíno com qualidade de impressão muito fina., Enviou um pacote com o selo já aberto. E o cartucho considerado duplicado/com defeito/usado. Preço depois disso vender mais e confortáveis ​​clientes, não é ruim, ok</v>
      </c>
    </row>
    <row r="646">
      <c r="A646" s="9" t="s">
        <v>1684</v>
      </c>
      <c r="B646" s="29" t="str">
        <f>VLOOKUP(dados!A646, reviews!A:G, 5, FALSE)</f>
        <v>Nice and soft product,IN PICTURE SHOWS AS 16 NOS BUT IN COVER ONLY 8 NOS,Usefull! Bought 3 packs in Rs 99 each containing 4 pieces,Quality Product at affordable price,It helps to hold the joints. But not from the USB level,Very third grade quality,Only two packs came,Cool Product</v>
      </c>
      <c r="C646" s="29" t="str">
        <f>VLOOKUP(dados!A646, reviews!A:G, 6, FALSE)</f>
        <v>Very nice product and easy to use as well as very soft to cable.,IN PICTURE SHOWS AS 16 NOS BUT IN COVER ONLY 8 NOS,Easy to attach with usb cable. Bought total 12 pieces in Rs99. Loved it ❤️,Quality product,So far ok. Will hold the wire connecting after the USB joints. But couldn't stop it from bending,Don’t even think of buying this by just looking at the cheap price of this product as it has been made by cheap quality plastic which can not protect your cables as it is not at all sturdy so please don’t buy,Only two packs came,The product is cool. Value for money. Love it</v>
      </c>
      <c r="D646" s="29" t="str">
        <f>IFERROR(__xludf.DUMMYFUNCTION("GOOGLETRANSLATE(B646, ""en"", ""pt-br"")"),"Produto agradável e macio, na imagem mostra como 16 nos, mas na capa apenas 8 nos, útil! Comprou 3 pacotes em Rs 99, cada um contendo 4 peças, produto de qualidade a preço acessível, ajuda a manter as juntas. Mas não do nível USB, qualidade da terceira sé"&amp;"rie, apenas dois pacotes vieram, produto legal")</f>
        <v>Produto agradável e macio, na imagem mostra como 16 nos, mas na capa apenas 8 nos, útil! Comprou 3 pacotes em Rs 99, cada um contendo 4 peças, produto de qualidade a preço acessível, ajuda a manter as juntas. Mas não do nível USB, qualidade da terceira série, apenas dois pacotes vieram, produto legal</v>
      </c>
      <c r="E646" s="29" t="str">
        <f>IFERROR(__xludf.DUMMYFUNCTION("GOOGLETRANSLATE(C646, ""en"", ""pt-br"")"),"Produto muito bom e fácil de usar, bem como muito macio ao cabo., Na imagem, é exibido como 16 NOS, mas na capa apenas 8 nos, fácil de anexar com o cabo USB. Comprei o total de 12 peças em Rs99. Adorei ❤️, produto de qualidade, até agora ok. Manterá o fio"&amp;" conectado após as juntas USB. Mas não conseguiu impedir que isso se curva, nem pense em comprá -lo apenas olhando o preço barato deste produto, pois foi feito por plástico de qualidade barato, que não pode proteger seus cabos, pois não é de todo robusto,"&amp;" então Por favor, não compre, apenas dois pacotes vieram, o produto é legal. Custo-benefício. Adoro")</f>
        <v>Produto muito bom e fácil de usar, bem como muito macio ao cabo., Na imagem, é exibido como 16 NOS, mas na capa apenas 8 nos, fácil de anexar com o cabo USB. Comprei o total de 12 peças em Rs99. Adorei ❤️, produto de qualidade, até agora ok. Manterá o fio conectado após as juntas USB. Mas não conseguiu impedir que isso se curva, nem pense em comprá -lo apenas olhando o preço barato deste produto, pois foi feito por plástico de qualidade barato, que não pode proteger seus cabos, pois não é de todo robusto, então Por favor, não compre, apenas dois pacotes vieram, o produto é legal. Custo-benefício. Adoro</v>
      </c>
    </row>
    <row r="647">
      <c r="A647" s="9" t="s">
        <v>2553</v>
      </c>
      <c r="B647" s="29" t="str">
        <f>VLOOKUP(dados!A647, reviews!A:G, 5, FALSE)</f>
        <v>Good,Affordable and best,Check the size !,value for money,Reached too late,Not good for keyboard. Not transparent,Not bad but,Big size</v>
      </c>
      <c r="C647" s="29" t="str">
        <f>VLOOKUP(dados!A647, reviews!A:G, 6, FALSE)</f>
        <v>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v>
      </c>
      <c r="D647" s="29" t="str">
        <f>IFERROR(__xludf.DUMMYFUNCTION("GOOGLETRANSLATE(B647, ""en"", ""pt-br"")"),"Bom, acessível e melhor, verifique o tamanho!, Valor do dinheiro, chegou tarde demais, não é bom para o teclado. Não é transparente, não é ruim, mas, tamanho grande")</f>
        <v>Bom, acessível e melhor, verifique o tamanho!, Valor do dinheiro, chegou tarde demais, não é bom para o teclado. Não é transparente, não é ruim, mas, tamanho grande</v>
      </c>
      <c r="E647" s="29" t="str">
        <f>IFERROR(__xludf.DUMMYFUNCTION("GOOGLETRANSLATE(C647, ""en"", ""pt-br"")"),"Valor por dinheiro, produto GRT, verifique se o tamanho do teclado é adequado para esta capa. Em segundo lugar, tem um mad adhechesive., Obteve o protetor de teclado em 39 Rs. Então, estou satisfeito com o produto. Mas, o tamanho é um pouco grande para o "&amp;"meu teclado de laptop de 15 "", o produto é média, o teclado não é visível., Como você pode ver, estou usando um laptop Dell de 15,6 polegadas e é um pouco maior em Tamanho, mas é bom o suficiente, eu tenho dois deles para 78/- e eles são bons, eles não f"&amp;"icam nada e saem facilmente, mesmo que você tire ar, mas a esse preço o que você pode esperar, é pode ser adequado em laptop de 16 polegadas facilmente")</f>
        <v>Valor por dinheiro, produto GRT, verifique se o tamanho do teclado é adequado para esta capa. Em segundo lugar, tem um mad adhechesive., Obteve o protetor de teclado em 39 Rs. Então, estou satisfeito com o produto. Mas, o tamanho é um pouco grande para o meu teclado de laptop de 15 ", o produto é média, o teclado não é visível., Como você pode ver, estou usando um laptop Dell de 15,6 polegadas e é um pouco maior em Tamanho, mas é bom o suficiente, eu tenho dois deles para 78/- e eles são bons, eles não ficam nada e saem facilmente, mesmo que você tire ar, mas a esse preço o que você pode esperar, é pode ser adequado em laptop de 16 polegadas facilmente</v>
      </c>
    </row>
    <row r="648">
      <c r="A648" s="9" t="s">
        <v>2560</v>
      </c>
      <c r="B648" s="29" t="str">
        <f>VLOOKUP(dados!A648, reviews!A:G, 5, FALSE)</f>
        <v>Speed is not as expected.,SanDisk Ultra 128 GB USB 3.0 Pen Drive,Good,Good,Nice product,Good but....,Nice but slow,some glich happening otherwise good</v>
      </c>
      <c r="C648" s="29" t="str">
        <f>VLOOKUP(dados!A648, reviews!A:G, 6, FALSE)</f>
        <v>Speed is overall good as per its price. But not as good as its claim and as per 3.0.,மூன்று வருடங்களுக்கு முன்பு 16 ஜிபி சண்டிஸ்க் பென் டிரைவ் வாங்கியபோது ,அதில் Reading and writing ன் பொது orange colour பிளின்கிங் லைட் இருந்தது, இப்பொழுது 128ஜிபி-ல் இல்லாதது பின்னடைவை கொடுக்கிறது,https://m.media-amazon.com/images/I/11mPdnwyGSL._SY88.jpg,Good,Nice product,(Fast transfer speed) will only work in usb 3.0 and above portsOtherwise it's awesome,Quality is very good. But transfer speed is slow.,some glich happening otherwise good</v>
      </c>
      <c r="D648" s="29" t="str">
        <f>IFERROR(__xludf.DUMMYFUNCTION("GOOGLETRANSLATE(B648, ""en"", ""pt-br"")"),"A velocidade não é o esperado., Sandisk Ultra 128 GB USB 3.0 Pen Drive, bom, bom, bom produto, bom, mas ...., agradável, mas lento, um pouco de glich")</f>
        <v>A velocidade não é o esperado., Sandisk Ultra 128 GB USB 3.0 Pen Drive, bom, bom, bom produto, bom, mas ...., agradável, mas lento, um pouco de glich</v>
      </c>
      <c r="E648" s="29" t="str">
        <f>IFERROR(__xludf.DUMMYFUNCTION("GOOGLETRANSLATE(C648, ""en"", ""pt-br"")"),"A velocidade é boa em geral, de acordo com seu preço. Mas não tão bom quanto sua reivindicação e de acordo com 3.0., மூன்று முன்பு முன்பு 16 ஜிபி சண்டிஸ்க் பென் டிரைவ் வாங்கியபோது, ​​அதில் Leitura e escrita ன் பொது cor de laranja பிளின்கிங் லைட் இருந்தது,"&amp;" இப்பொழுது 128 ஜிபி-ல் இல்லாதது பின்னடைவை கொடுக்கிறது, https://m.media -amazon.com/images/i/11mpdnwygsl._sy88.jpg,Good,nice Produto (velocidade de transferência rápida) funcionará apenas no USB 3.0 e acima do porto, é incrível, a qualidade é muito boa. Ma"&amp;"s a velocidade de transferência é lenta., Algum glich")</f>
        <v>A velocidade é boa em geral, de acordo com seu preço. Mas não tão bom quanto sua reivindicação e de acordo com 3.0., மூன்று முன்பு முன்பு 16 ஜிபி சண்டிஸ்க் பென் டிரைவ் வாங்கியபோது, ​​அதில் Leitura e escrita ன் பொது cor de laranja பிளின்கிங் லைட் இருந்தது, இப்பொழுது 128 ஜிபி-ல் இல்லாதது பின்னடைவை கொடுக்கிறது, https://m.media -amazon.com/images/i/11mpdnwygsl._sy88.jpg,Good,nice Produto (velocidade de transferência rápida) funcionará apenas no USB 3.0 e acima do porto, é incrível, a qualidade é muito boa. Mas a velocidade de transferência é lenta., Algum glich</v>
      </c>
    </row>
    <row r="649">
      <c r="A649" s="9" t="s">
        <v>2564</v>
      </c>
      <c r="B649" s="29" t="str">
        <f>VLOOKUP(dados!A649, reviews!A:G, 5, FALSE)</f>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v>
      </c>
      <c r="C649" s="29" t="str">
        <f>VLOOKUP(dados!A649, reviews!A:G, 6, FALSE)</f>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v>
      </c>
      <c r="D649" s="29" t="str">
        <f>IFERROR(__xludf.DUMMYFUNCTION("GOOGLETRANSLATE(B649, ""en"", ""pt-br"")"),"O pior suporte ao cliente, a compra mais lamentada, o produto é uma boa qualidade, mas não é uma boa qualidade de som, e depois a embalagem é uma ouvido muito ruim, boa e ausente decepcionante, mas é um bom fone de ouvido., Conectando apenas um dispositiv"&amp;"o, saindo após 3 minutos , Whatsapp que recebe uma chamada não funcionando, um lado não está funcionando nisso, bom, bom")</f>
        <v>O pior suporte ao cliente, a compra mais lamentada, o produto é uma boa qualidade, mas não é uma boa qualidade de som, e depois a embalagem é uma ouvido muito ruim, boa e ausente decepcionante, mas é um bom fone de ouvido., Conectando apenas um dispositivo, saindo após 3 minutos , Whatsapp que recebe uma chamada não funcionando, um lado não está funcionando nisso, bom, bom</v>
      </c>
      <c r="E649" s="29" t="str">
        <f>IFERROR(__xludf.DUMMYFUNCTION("GOOGLETRANSLATE(C649, ""en"", ""pt-br"")"),"ATUALIZAÇÃO: Agora, após esta revisão, eles me disseram para dar a eles uma revisão de 4 estrelas apenas para considerar a reposição da substituição, nem mesmo garantida. Agora vamos ver se eles realmente fazem o prometido. Revisão original: Após 6 meses,"&amp;" ele parou de funcionar, então aumentou um pedido. Mas .. eu tenho que correr isso para eles custam Rs 100, então eles descobriram que era um problema com o PCB que eles mudaram, ok bom, mas eles o substituíram pelo PCB do probass, que é um modelo mais an"&amp;"tigo e com preços mais baixos. Quando eu compartilhei as capturas de tela e pedi a eles uma explicação, eles apenas pediram que fosse correu de volta pagando por seu erro. Sem reembolso, sem suposição de qualidade, sem resposta a e -mails além do script p"&amp;"adrão. Uma das compras mais lamentadas., O produto é uma boa qualidade, mas não é uma boa qualidade de som, e depois a embalagem é muito ruim, acho que as pessoas abrem o produto quando for embalado. Para isso, o pacote é cortado e as coisas são diferente"&amp;"s, acho que essas empresas fazem as pessoas pensarem um pouco ...., os escalões de reposição estavam faltando no pacote que recebi, de modo que foi decepcionante. A qualidade do tom é boa para o preço. é decente. As ouvidas são projetadas excelentemente p"&amp;"ara que os fones de ouvido se encaixem bem. Você pode correr sem problemas. Não se sente abafado. todos. Eu recomendaria ir em frente., Conectando apenas um dispositivo, saindo após 3 minutos, o WhatsApp recebendo chamada não funcionando, o chamador não c"&amp;"onseguiu ouvir a voz do receptor., Eu tenho um problema neste produto ... um lado não está funcionando assim Por favor, olhe para isso, bom, bom")</f>
        <v>ATUALIZAÇÃO: Agora, após esta revisão, eles me disseram para dar a eles uma revisão de 4 estrelas apenas para considerar a reposição da substituição, nem mesmo garantida. Agora vamos ver se eles realmente fazem o prometido. Revisão original: Após 6 meses, ele parou de funcionar, então aumentou um pedido. Mas .. eu tenho que correr isso para eles custam Rs 100, então eles descobriram que era um problema com o PCB que eles mudaram, ok bom, mas eles o substituíram pelo PCB do probass, que é um modelo mais antigo e com preços mais baixos. Quando eu compartilhei as capturas de tela e pedi a eles uma explicação, eles apenas pediram que fosse correu de volta pagando por seu erro. Sem reembolso, sem suposição de qualidade, sem resposta a e -mails além do script padrão. Uma das compras mais lamentadas., O produto é uma boa qualidade, mas não é uma boa qualidade de som, e depois a embalagem é muito ruim, acho que as pessoas abrem o produto quando for embalado. Para isso, o pacote é cortado e as coisas são diferentes, acho que essas empresas fazem as pessoas pensarem um pouco ...., os escalões de reposição estavam faltando no pacote que recebi, de modo que foi decepcionante. A qualidade do tom é boa para o preço. é decente. As ouvidas são projetadas excelentemente para que os fones de ouvido se encaixem bem. Você pode correr sem problemas. Não se sente abafado. todos. Eu recomendaria ir em frente., Conectando apenas um dispositivo, saindo após 3 minutos, o WhatsApp recebendo chamada não funcionando, o chamador não conseguiu ouvir a voz do receptor., Eu tenho um problema neste produto ... um lado não está funcionando assim Por favor, olhe para isso, bom, bom</v>
      </c>
    </row>
    <row r="650">
      <c r="A650" s="9" t="s">
        <v>2568</v>
      </c>
      <c r="B650" s="29" t="str">
        <f>VLOOKUP(dados!A650, reviews!A:G, 5, FALSE)</f>
        <v>It's is working is super,one of the most good product,A good prduct.,Scroller,Fully satisfaction thank you so much,Usage is easy,Good product,Overall the mouse is good.</v>
      </c>
      <c r="C650" s="29" t="str">
        <f>VLOOKUP(dados!A650, reviews!A:G, 6, FALSE)</f>
        <v>Product is good and I like that . Performance is good 😊,its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v>
      </c>
      <c r="D650" s="29" t="str">
        <f>IFERROR(__xludf.DUMMYFUNCTION("GOOGLETRANSLATE(B650, ""en"", ""pt-br"")"),"Está funcionando é super, um dos produtos mais bons, um bom prduct., Scroller, totalmente satisfação, muito obrigado, uso é fácil, bom produto, no geral o mouse é bom.")</f>
        <v>Está funcionando é super, um dos produtos mais bons, um bom prduct., Scroller, totalmente satisfação, muito obrigado, uso é fácil, bom produto, no geral o mouse é bom.</v>
      </c>
      <c r="E650" s="29" t="str">
        <f>IFERROR(__xludf.DUMMYFUNCTION("GOOGLETRANSLATE(C650, ""en"", ""pt-br"")"),"O produto é bom e eu gosto disso. O desempenho é bom 😊, está funcionando bem. Bom produto .... é valioso para essa taxa!, o mouse sem fio está funcionando bem. Há um problema. Aqueles que começam a usar o mouse precisam ligar e devem desligar quando o tr"&amp;"abalho. Se eles esquecerem de desligar (o que pode acontecer com muitos usuários), a bateria pode ser drenada. O fabricante deve encontrar outro método no local do interruptor ON/OFF. O movimento do rolador não é bom, é melhor mouse sem fio BCOZ de mouse "&amp;"útil para o trabalho da minha loja. Trabalho tão suave para laptop ou PC, obrigado e novamente obrigado pelos serviços de entrega da Amazon. Esse mouse sem fio está funcionando muito bem. Muito obrigado, bom produto, funcionou bem ..., é bom e muito útil,"&amp;" o mouse é fácil de usar. Mas eu esperava um mouse um pouco maior nessa faixa de preço.")</f>
        <v>O produto é bom e eu gosto disso. O desempenho é bom 😊, está funcionando bem. Bom produto .... é valioso para essa taxa!, o mouse sem fio está funcionando bem. Há um problema. Aqueles que começam a usar o mouse precisam ligar e devem desligar quando o trabalho. Se eles esquecerem de desligar (o que pode acontecer com muitos usuários), a bateria pode ser drenada. O fabricante deve encontrar outro método no local do interruptor ON/OFF. O movimento do rolador não é bom, é melhor mouse sem fio BCOZ de mouse útil para o trabalho da minha loja. Trabalho tão suave para laptop ou PC, obrigado e novamente obrigado pelos serviços de entrega da Amazon. Esse mouse sem fio está funcionando muito bem. Muito obrigado, bom produto, funcionou bem ..., é bom e muito útil, o mouse é fácil de usar. Mas eu esperava um mouse um pouco maior nessa faixa de preço.</v>
      </c>
    </row>
    <row r="651">
      <c r="A651" s="9" t="s">
        <v>2572</v>
      </c>
      <c r="B651" s="29" t="str">
        <f>VLOOKUP(dados!A651, reviews!A:G, 5, FALSE)</f>
        <v>Really good for the price [6/8 months update], but with a late appearing issue,After 2 months,Right bud is not performing well,Good value for money!,Working as expected,Best at price,Good built quality, functions need improvement,Product is good but battery not as expected</v>
      </c>
      <c r="C651" s="29" t="str">
        <f>VLOOKUP(dados!A651, reviews!A:G, 6, FALSE)</f>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v>
      </c>
      <c r="D651" s="29" t="str">
        <f>IFERROR(__xludf.DUMMYFUNCTION("GOOGLETRANSLATE(B651, ""en"", ""pt-br"")"),"Muito bom para o preço [atualização de 6/8 meses], mas com uma questão de aparecimento tardio, após 2 meses, o Bud Right não está tendo um bom desempenho, boa relação custo Precisa de melhorias, o produto é bom, mas a bateria não é o esperado")</f>
        <v>Muito bom para o preço [atualização de 6/8 meses], mas com uma questão de aparecimento tardio, após 2 meses, o Bud Right não está tendo um bom desempenho, boa relação custo Precisa de melhorias, o produto é bom, mas a bateria não é o esperado</v>
      </c>
      <c r="E651" s="29" t="str">
        <f>IFERROR(__xludf.DUMMYFUNCTION("GOOGLETRANSLATE(C651, ""en"", ""pt-br"")"),"-------------- Atualização após 8 meses -------------- ATUALIZAÇÃO 1: O problema mencionado na revisão mais antiga está se tornando cada vez mais terrível com o tempo . Agora, o ouvido direito é descarregado em hora e meia, enquanto a esquerda continua, r"&amp;"eduzindo uma estrela. Entrará em contato com eles para substituição e atualizar aqui.Update 2: Chamado Centro de Serviço, eles pediram para trazê -lo, mas sou preguiçoso. Eu esperava que eles substituíssem em casa. Prestou mais atenção à questão acima. A "&amp;"situação estável é que, logo após a carga total, o botão direito pode subir até 4 horas, mas a esquerda sempre passa por mais de 30 a 60 minutos, e a diferença é mais se houver um standby de um ou dois dias (quando a esquerda perde suco rapidamente parece"&amp;"), então acho que ainda posso usar os brotos, mas com certas restrições :) vai restaurar com prazer 5 estrelas se o problema permanecer estável para os próximos 3 meses .----------------- Atualização Após 6 meses -------------- sem mudança de qualidade, a"&amp;"inda assim o pacote cobra os brotos como um chefe. Durante esse período, eles já foram mantidos na boca pelo meu sobrinho por mais de meia hora (muito perigoso, felizmente ele não conseguiu engoli -los!), Cheio de saliva e outros enfeites, e em outra ocas"&amp;"ião eu joguei um dos meus fones de ouvido em O chão com força total (razão deprimente não revelada) devido à qual o painel de toque com o logotipo foi destacado, que então eu mencionei novamente. Depois de tudo isso, os brotos ainda estão balançando com a"&amp;" mesma qualidade de som do dia 1. Acho que esses são muito doces! A falta de controle de volume, etc. etc. é todo perdoado. Cliente feliz. Embora a questão do fone de ouvido esquerdo descarregue mais cedo do que o certo persiste. -Usando para os últimos 2"&amp;" meses. Sou um audiófilo e também um instrumentista. Mas eu ainda não tinha usado nenhum TWS, queria mergulhar os dedos dos pés e não queria investir muito, mas também não algo descartável. Assim, se contentou com Boult (sem barco etc. devido à sua assina"&amp;"tura de som altamente adulterada), já que tenho experiência anterior. Eu gosto da minha música apartada na qualidade do estúdio. Mais recentemente, tenho usado fones de ouvido de baixo custo com desempenho impressionante: Oneodio Pro50. Vá em frente e pes"&amp;"quise. É realmente uma jóia para todos aqueles fãs de som purista. Logo fora da caixa, só deixou um funcionando depois de se conectar ao meu iPhone. Talvez um não pareu emparelhado corretamente à esquerda. Fiz isso redefinido conforme sugerido (que também"&amp;" sofreu algum esforço), mas depois disso, ambos começaram a trabalhar e desde então, sem problemas. Estou usando meu telefone e laptop (Linux). É claro que você precisa desconectar um para usar outro. Mas conectividade perfeita agora. Eu posso me moviment"&amp;"ar no meu APT de 1300 pés quadrados e nenhuma perda de conexão, o que é ótimo. A qualidade da calca Precisa falar em um volume médio para deixar a outra parte entender você. Tocar é estranhamente sensível, quero dizer que responde mesmo se eu estiver ajus"&amp;"tando o botão e não tocando na área central, mas surpreendentemente leva um soco decente para tocar/pausar. Eu posso me acostumar com isso. Uma coisa, rastrear Aage Peeche está ok. Mas estes não têm nada que possa controlar o volume. Chateado nisso. Backu"&amp;"p decente. Faz quase 2 meses. Eu uso brotos em média 2-3 horas por dia e tive que cobrar o caso principal apenas 3-4 vezes. Em uma emergência, também o usei para carregar meu iPhone, o que fez muito rapidamente. Fiquei feliz em ver isso. Uma coisa estranh"&amp;"a a perceber é que o fone de ouvido direito sempre descarrega mais rapidamente do que a esquerda, de fato, posso usar o esquerdo de 20 a 30 minutos a mais do que a direita. Mas, de qualquer forma, coloquei os dois no caso quando qualquer um deles começar "&amp;"a reclamar de baixa bateria. Surpreendentemente ótimo baixo baixo (músicas como 'The Humma Song', 'I Wanno Love You' somente bem), mas um pouco falta em outras frequências de baixo ('Lut Gaye' de Jubin não parece tão forte como deveria para uma assinatura"&amp;" plana). No geral, na maioria das vezes, você deve estar bem. Outras frequências: vou revisar isso do ponto de vista da assinatura da qualidade do estúdio. Para os médios, o espectro é inclinado para um pouco de baixo (mas surpreendente ausência de frequê"&amp;"ncias de graves altas muito específicas, como mencionado acima), mas é suportável. Para os máximos, inicialmente senti a presença [um pouco] faltando, que tira esse calor e fidelidade de algumas faixas, mas depois de usá -lo por alguns dias, comecei a me "&amp;"sentir bem nesse aspecto, talvez alguns queimem? Deus sabe. Lembrando também que paguei apenas 1800 dólares por eles! Eu estarei principalmente usando isso enquanto minhas sessões de caminhada e treino, então acho que minha mente não será uma coisa. Em br"&amp;"eve estarei atualizando. No geral, uma compra muito decente com boa qualidade de som, desde que você possa obtê -los por menos de 2k. Saúde!, Ei. .Este item tem uma qualidade construída é como uma pedra ... e também a condição de trabalho e a qualidade do"&amp;" som é maravilhoso, mas apenas um problema é o cancelamento de ruído que não está funcionando corretamente, o que significa que quando estamos em uma área movimentada enquanto gravamos algo Ou uma chamada para outra pessoa Os ruídos indesejados estão cheg"&amp;"ando, eles não podem ouvir adequadamente a nossa voz que é a única desvantagem nessa. Acontece de acordo com o manual, usa isso há um mês. Não é possível reclamar massivamente, a qualidade do som é decente o suficiente (pode não ser bom o suficiente para "&amp;"grandes cabeças de música, pouco graves) e fornece um bom isolamento de ruído. Muito impressionado com a duração da bateria com a caixa de carregamento, e eu a uso todos os dias. Se você pode conseguir um acordo por ~ 1500 dólares, é um negócio fantástico"&amp;". Meu único problema é que não podemos alterar a conexão com 2 dispositivos em 1 clique. Tudo mais é bom., Melhor em preço. e requer algum botão para operação., Função de coleta /rejeição de chamada, a próxima função de reprodução de música não está funci"&amp;"onando em um único toque, o produto é bom, mas a bateria não é o esperado")</f>
        <v>-------------- Atualização após 8 meses -------------- ATUALIZAÇÃO 1: O problema mencionado na revisão mais antiga está se tornando cada vez mais terrível com o tempo . Agora, o ouvido direito é descarregado em hora e meia, enquanto a esquerda continua, reduzindo uma estrela. Entrará em contato com eles para substituição e atualizar aqui.Update 2: Chamado Centro de Serviço, eles pediram para trazê -lo, mas sou preguiçoso. Eu esperava que eles substituíssem em casa. Prestou mais atenção à questão acima. A situação estável é que, logo após a carga total, o botão direito pode subir até 4 horas, mas a esquerda sempre passa por mais de 30 a 60 minutos, e a diferença é mais se houver um standby de um ou dois dias (quando a esquerda perde suco rapidamente parece), então acho que ainda posso usar os brotos, mas com certas restrições :) vai restaurar com prazer 5 estrelas se o problema permanecer estável para os próximos 3 meses .----------------- Atualização Após 6 meses -------------- sem mudança de qualidade, ainda assim o pacote cobra os brotos como um chefe. Durante esse período, eles já foram mantidos na boca pelo meu sobrinho por mais de meia hora (muito perigoso, felizmente ele não conseguiu engoli -los!), Cheio de saliva e outros enfeites, e em outra ocasião eu joguei um dos meus fones de ouvido em O chão com força total (razão deprimente não revelada) devido à qual o painel de toque com o logotipo foi destacado, que então eu mencionei novamente. Depois de tudo isso, os brotos ainda estão balançando com a mesma qualidade de som do dia 1. Acho que esses são muito doces! A falta de controle de volume, etc. etc. é todo perdoado. Cliente feliz. Embora a questão do fone de ouvido esquerdo descarregue mais cedo do que o certo persiste. -Usando para os últimos 2 meses. Sou um audiófilo e também um instrumentista. Mas eu ainda não tinha usado nenhum TWS, queria mergulhar os dedos dos pés e não queria investir muito, mas também não algo descartável. Assim, se contentou com Boult (sem barco etc. devido à sua assinatura de som altamente adulterada), já que tenho experiência anterior. Eu gosto da minha música apartada na qualidade do estúdio. Mais recentemente, tenho usado fones de ouvido de baixo custo com desempenho impressionante: Oneodio Pro50. Vá em frente e pesquise. É realmente uma jóia para todos aqueles fãs de som purista. Logo fora da caixa, só deixou um funcionando depois de se conectar ao meu iPhone. Talvez um não pareu emparelhado corretamente à esquerda. Fiz isso redefinido conforme sugerido (que também sofreu algum esforço), mas depois disso, ambos começaram a trabalhar e desde então, sem problemas. Estou usando meu telefone e laptop (Linux). É claro que você precisa desconectar um para usar outro. Mas conectividade perfeita agora. Eu posso me movimentar no meu APT de 1300 pés quadrados e nenhuma perda de conexão, o que é ótimo. A qualidade da calca Precisa falar em um volume médio para deixar a outra parte entender você. Tocar é estranhamente sensível, quero dizer que responde mesmo se eu estiver ajustando o botão e não tocando na área central, mas surpreendentemente leva um soco decente para tocar/pausar. Eu posso me acostumar com isso. Uma coisa, rastrear Aage Peeche está ok. Mas estes não têm nada que possa controlar o volume. Chateado nisso. Backup decente. Faz quase 2 meses. Eu uso brotos em média 2-3 horas por dia e tive que cobrar o caso principal apenas 3-4 vezes. Em uma emergência, também o usei para carregar meu iPhone, o que fez muito rapidamente. Fiquei feliz em ver isso. Uma coisa estranha a perceber é que o fone de ouvido direito sempre descarrega mais rapidamente do que a esquerda, de fato, posso usar o esquerdo de 20 a 30 minutos a mais do que a direita. Mas, de qualquer forma, coloquei os dois no caso quando qualquer um deles começar a reclamar de baixa bateria. Surpreendentemente ótimo baixo baixo (músicas como 'The Humma Song', 'I Wanno Love You' somente bem), mas um pouco falta em outras frequências de baixo ('Lut Gaye' de Jubin não parece tão forte como deveria para uma assinatura plana). No geral, na maioria das vezes, você deve estar bem. Outras frequências: vou revisar isso do ponto de vista da assinatura da qualidade do estúdio. Para os médios, o espectro é inclinado para um pouco de baixo (mas surpreendente ausência de frequências de graves altas muito específicas, como mencionado acima), mas é suportável. Para os máximos, inicialmente senti a presença [um pouco] faltando, que tira esse calor e fidelidade de algumas faixas, mas depois de usá -lo por alguns dias, comecei a me sentir bem nesse aspecto, talvez alguns queimem? Deus sabe. Lembrando também que paguei apenas 1800 dólares por eles! Eu estarei principalmente usando isso enquanto minhas sessões de caminhada e treino, então acho que minha mente não será uma coisa. Em breve estarei atualizando. No geral, uma compra muito decente com boa qualidade de som, desde que você possa obtê -los por menos de 2k. Saúde!, Ei. .Este item tem uma qualidade construída é como uma pedra ... e também a condição de trabalho e a qualidade do som é maravilhoso, mas apenas um problema é o cancelamento de ruído que não está funcionando corretamente, o que significa que quando estamos em uma área movimentada enquanto gravamos algo Ou uma chamada para outra pessoa Os ruídos indesejados estão chegando, eles não podem ouvir adequadamente a nossa voz que é a única desvantagem nessa. Acontece de acordo com o manual, usa isso há um mês. Não é possível reclamar massivamente, a qualidade do som é decente o suficiente (pode não ser bom o suficiente para grandes cabeças de música, pouco graves) e fornece um bom isolamento de ruído. Muito impressionado com a duração da bateria com a caixa de carregamento, e eu a uso todos os dias. Se você pode conseguir um acordo por ~ 1500 dólares, é um negócio fantástico. Meu único problema é que não podemos alterar a conexão com 2 dispositivos em 1 clique. Tudo mais é bom., Melhor em preço. e requer algum botão para operação., Função de coleta /rejeição de chamada, a próxima função de reprodução de música não está funcionando em um único toque, o produto é bom, mas a bateria não é o esperado</v>
      </c>
    </row>
    <row r="652">
      <c r="A652" s="9" t="s">
        <v>2576</v>
      </c>
      <c r="B652" s="29" t="str">
        <f>VLOOKUP(dados!A652, reviews!A:G, 5, FALSE)</f>
        <v>Value for Money,As usual,Good,Best deal,Very reasonable,Great n cheap,Awesome,Not for camera</v>
      </c>
      <c r="C652" s="29" t="str">
        <f>VLOOKUP(dados!A652, reviews!A:G, 6, FALSE)</f>
        <v>Use Remote Car... Wall Watches... and Other...,Batteries are as usual nice,Good,Mrp 180Got it for 112/-Best deal,Good,Got it on high discounts n works really well compared to other batteries.,Value for money,Dislike</v>
      </c>
      <c r="D652" s="29" t="str">
        <f>IFERROR(__xludf.DUMMYFUNCTION("GOOGLETRANSLATE(B652, ""en"", ""pt-br"")"),"Valor ao dinheiro, como sempre, bom, melhor negócio, muito razoável, ótimo n barato, incrível, não para câmera")</f>
        <v>Valor ao dinheiro, como sempre, bom, melhor negócio, muito razoável, ótimo n barato, incrível, não para câmera</v>
      </c>
      <c r="E652" s="29" t="str">
        <f>IFERROR(__xludf.DUMMYFUNCTION("GOOGLETRANSLATE(C652, ""en"", ""pt-br"")"),"Use carro remoto ... relógios de parede ... e outros ..., as baterias são como sempre agradáveis, boas, MRP 180Got It para 112/-melhor negócio, bom, obtido com altos descontos n funciona muito bem em comparação com outras baterias ., Valor ao dinheiro, nã"&amp;"o gosta")</f>
        <v>Use carro remoto ... relógios de parede ... e outros ..., as baterias são como sempre agradáveis, boas, MRP 180Got It para 112/-melhor negócio, bom, obtido com altos descontos n funciona muito bem em comparação com outras baterias ., Valor ao dinheiro, não gosta</v>
      </c>
    </row>
    <row r="653">
      <c r="A653" s="9" t="s">
        <v>2580</v>
      </c>
      <c r="B653" s="29" t="str">
        <f>VLOOKUP(dados!A653, reviews!A:G, 5, FALSE)</f>
        <v>Nad performance and no customer support. This model is not registered on zeb official web site,Good,Nice ✅,very good product in this price range. Look is beautiful, it's like a small pet.,A Good mouse to have while Playing Doom Eternal.,Over all good mouse for this price,Good,A good mouse</v>
      </c>
      <c r="C653" s="29" t="str">
        <f>VLOOKUP(dados!A653, reviews!A:G, 6, FALSE)</f>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it.👍,A good mouse. Not the best but good enough.,Good,Its good but idk if its only with me but the mouse sometimes becomes unresponsive. Not for long tho just 2 3 seconds. Overall would recommend.,Good mouse little heavyweight</v>
      </c>
      <c r="D653" s="29" t="str">
        <f>IFERROR(__xludf.DUMMYFUNCTION("GOOGLETRANSLATE(B653, ""en"", ""pt-br"")"),"Desempenho do NAD e sem suporte ao cliente. Este modelo não está registrado no site oficial da ZEB, bom, bom ✅, produto muito bom nessa faixa de preço. Olha é lindo, é como um pequeno animal de estimação., Um bom mouse para tocar ao jogar desgraça eternal"&amp;"., Sobre todo o bom mouse por esse preço, bom, um bom mouse")</f>
        <v>Desempenho do NAD e sem suporte ao cliente. Este modelo não está registrado no site oficial da ZEB, bom, bom ✅, produto muito bom nessa faixa de preço. Olha é lindo, é como um pequeno animal de estimação., Um bom mouse para tocar ao jogar desgraça eternal., Sobre todo o bom mouse por esse preço, bom, um bom mouse</v>
      </c>
      <c r="E653" s="29" t="str">
        <f>IFERROR(__xludf.DUMMYFUNCTION("GOOGLETRANSLATE(C653, ""en"", ""pt-br"")"),"Desempenho muito ruim mesmo para trabalho normal. Mesmo esse modelo não é mencionado no site oficial. /I/4170t3s5xwl._sy88.jpg, não estou revisando isso de acordo com a experiência de jogo, mas de acordo com o uso pesado diário. Acho muito útil para mim q"&amp;"ue usa o mouse dia inteiro com muitos cliques de esquerda e direita, arrastar e cair, Scrolls e cliques de rolagem. Não encontrei falhas até agora. Funciona perfeitamente para mim. Sobre a aparência, ele fica bonito quase como um pequeno animal de estimaç"&amp;"ão que pode mudar de cor. Mas pode ser um pouco perturbador se você o estiver usando no escuro. Caso contrário, a melhor coisa é que não precisa de nenhuma dores de cabeça de instalação. Apenas a razão pela qual deduzi uma estrela é porque esse mouse está"&amp;" um pouco superdimensionado para minha mão. Então, pessoas com pequenas mãos terão dificuldades no começo, mas eventualmente, com tempo e uso, você sentirá que encolherá. Eu como zebronia porque confio em seus produtos. Se você estiver pensando em comprá "&amp;"-lo, vá em frente. rato. Não é o melhor, mas bom o suficiente., Bom, é bom, mas Idk se estiver apenas comigo, mas o mouse às vezes se torna sem resposta. Não por muito tempo apenas 2 3 segundos. No geral, recomendaria., Bom mouse, pouco peso pesado")</f>
        <v>Desempenho muito ruim mesmo para trabalho normal. Mesmo esse modelo não é mencionado no site oficial. /I/4170t3s5xwl._sy88.jpg, não estou revisando isso de acordo com a experiência de jogo, mas de acordo com o uso pesado diário. Acho muito útil para mim que usa o mouse dia inteiro com muitos cliques de esquerda e direita, arrastar e cair, Scrolls e cliques de rolagem. Não encontrei falhas até agora. Funciona perfeitamente para mim. Sobre a aparência, ele fica bonito quase como um pequeno animal de estimação que pode mudar de cor. Mas pode ser um pouco perturbador se você o estiver usando no escuro. Caso contrário, a melhor coisa é que não precisa de nenhuma dores de cabeça de instalação. Apenas a razão pela qual deduzi uma estrela é porque esse mouse está um pouco superdimensionado para minha mão. Então, pessoas com pequenas mãos terão dificuldades no começo, mas eventualmente, com tempo e uso, você sentirá que encolherá. Eu como zebronia porque confio em seus produtos. Se você estiver pensando em comprá -lo, vá em frente. rato. Não é o melhor, mas bom o suficiente., Bom, é bom, mas Idk se estiver apenas comigo, mas o mouse às vezes se torna sem resposta. Não por muito tempo apenas 2 3 segundos. No geral, recomendaria., Bom mouse, pouco peso pesado</v>
      </c>
    </row>
    <row r="654">
      <c r="A654" s="9" t="s">
        <v>2587</v>
      </c>
      <c r="B654" s="29" t="str">
        <f>VLOOKUP(dados!A654, reviews!A:G, 5, FALSE)</f>
        <v>It's worth it,Very very nice product at this price.,Very good product,Good,Affordable,shouldnt keep it open for more than 15 minutes,Nice 👍 product...,Good quality</v>
      </c>
      <c r="C654" s="29" t="str">
        <f>VLOOKUP(dados!A654, reviews!A:G, 6, FALSE)</f>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“palettes”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☺️,I Used it on a canvas, i liked how the colors are vibrant and unique,Love 💓 the colours... Easy to use and are waterproof,The quality is good. Good deal at this price</v>
      </c>
      <c r="D654" s="29" t="str">
        <f>IFERROR(__xludf.DUMMYFUNCTION("GOOGLETRANSLATE(B654, ""en"", ""pt-br"")"),"Vale a pena, um produto muito bom a esse preço., Produto muito bom, bom, acessível, não deve mantê -lo aberto por mais de 15 minutos, bom produto 👍 Produto ..., boa qualidade")</f>
        <v>Vale a pena, um produto muito bom a esse preço., Produto muito bom, bom, acessível, não deve mantê -lo aberto por mais de 15 minutos, bom produto 👍 Produto ..., boa qualidade</v>
      </c>
      <c r="E654" s="29" t="str">
        <f>IFERROR(__xludf.DUMMYFUNCTION("GOOGLETRANSLATE(C654, ""en"", ""pt-br"")"),"Vale a pena, a esse preço, o produto é muito bom. E fácil de usar para iniciantes também. As crianças amam e aproveitam enquanto trabalham essas maravilhosas cores acrílicas, ordenei que elas usassem para pintar ornamentos de madeira com minha sobrinha de"&amp;" 11 anos e sua amiga. Fiquei agradavelmente surpreso porque o preço foi bom para o que recebi. Estes são potes de vidro e cheios ao topo :). Conseguimos derramar pequenas gotas na placa de papel “paletas” e restam muita tinta. A tinta misturou -se bem par"&amp;"a fazer cores personalizadas. Essa tinta também funcionaria bem para muitos projetos de artesanato, incluindo pintar imagens de arte em papel, em pedras ou camisetas também., Bom produto, sua qualidade é muito alta e muito boa para crianças, também é real"&amp;"mente barato ☺️, eu usei Em uma tela, gostei de como as cores são vibrantes e únicas, amor 💓 As cores ... fáceis de usar e são à prova d'água, a qualidade é boa. Bom negócio a este preço")</f>
        <v>Vale a pena, a esse preço, o produto é muito bom. E fácil de usar para iniciantes também. As crianças amam e aproveitam enquanto trabalham essas maravilhosas cores acrílicas, ordenei que elas usassem para pintar ornamentos de madeira com minha sobrinha de 11 anos e sua amiga. Fiquei agradavelmente surpreso porque o preço foi bom para o que recebi. Estes são potes de vidro e cheios ao topo :). Conseguimos derramar pequenas gotas na placa de papel “paletas” e restam muita tinta. A tinta misturou -se bem para fazer cores personalizadas. Essa tinta também funcionaria bem para muitos projetos de artesanato, incluindo pintar imagens de arte em papel, em pedras ou camisetas também., Bom produto, sua qualidade é muito alta e muito boa para crianças, também é realmente barato ☺️, eu usei Em uma tela, gostei de como as cores são vibrantes e únicas, amor 💓 As cores ... fáceis de usar e são à prova d'água, a qualidade é boa. Bom negócio a este preço</v>
      </c>
    </row>
    <row r="655">
      <c r="A655" s="9" t="s">
        <v>2594</v>
      </c>
      <c r="B655" s="29" t="str">
        <f>VLOOKUP(dados!A655, reviews!A:G, 5, FALSE)</f>
        <v>Decent quality,Good for the price,Value buy,It's good value,Ok ok quality,It have enough thickness. Good quality,Easy and smooth,Fine</v>
      </c>
      <c r="C655" s="29" t="str">
        <f>VLOOKUP(dados!A655, reviews!A:G, 6, FALSE)</f>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v>
      </c>
      <c r="D655" s="29" t="str">
        <f>IFERROR(__xludf.DUMMYFUNCTION("GOOGLETRANSLATE(B655, ""en"", ""pt-br"")"),"Qualidade decente, boa para o preço, compra de valor, é um bom valor, ok de qualidade ok, ele tem espessura suficiente. Boa qualidade, fácil e suave, bem")</f>
        <v>Qualidade decente, boa para o preço, compra de valor, é um bom valor, ok de qualidade ok, ele tem espessura suficiente. Boa qualidade, fácil e suave, bem</v>
      </c>
      <c r="E655" s="29" t="str">
        <f>IFERROR(__xludf.DUMMYFUNCTION("GOOGLETRANSLATE(C655, ""en"", ""pt-br"")"),"O MousePad é resistente o suficiente não se move muito. A impressão é um pouco difícil. Espere tanta suavidade a esse preço. O produto decente geral realizará seu trabalho, a textura da mão é boa. Pode não ser bom para os jogos, pois parece pouco rápido d"&amp;"epois de usá -lo diretamente na tabela, não tenho certeza se será assim por si ou é a minha experiência. Os cantos devem ser costurados, mas no geral é a melhor qualidade nesse preço. Valor compra, eu gosto, https: //m.media-amazon.com/images/w/webp_40237"&amp;"8-t1/images/i/71dj1upfkml._sy88.jpg,its lisos e frios e o fundo é compensado de borracha O que impede que ele se mova enquanto o mouse se move. Seu ótimo valor para o dinheiro. Fácil e suave, quero devolver meu pedido")</f>
        <v>O MousePad é resistente o suficiente não se move muito. A impressão é um pouco difícil. Espere tanta suavidade a esse preço. O produto decente geral realizará seu trabalho, a textura da mão é boa. Pode não ser bom para os jogos, pois parece pouco rápido depois de usá -lo diretamente na tabela, não tenho certeza se será assim por si ou é a minha experiência. Os cantos devem ser costurados, mas no geral é a melhor qualidade nesse preço. Valor compra, eu gosto, https: //m.media-amazon.com/images/w/webp_402378-t1/images/i/71dj1upfkml._sy88.jpg,its lisos e frios e o fundo é compensado de borracha O que impede que ele se mova enquanto o mouse se move. Seu ótimo valor para o dinheiro. Fácil e suave, quero devolver meu pedido</v>
      </c>
    </row>
    <row r="656">
      <c r="A656" s="9" t="s">
        <v>2600</v>
      </c>
      <c r="B656" s="29" t="str">
        <f>VLOOKUP(dados!A656, reviews!A:G, 5, FALSE)</f>
        <v>Good.No Problem,Good Product,value for money purchase,Nice product,good product,Good,Ok ok product.,Go for it</v>
      </c>
      <c r="C656" s="29" t="str">
        <f>VLOOKUP(dados!A656, reviews!A:G, 6, FALSE)</f>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v>
      </c>
      <c r="D656" s="29" t="str">
        <f>IFERROR(__xludf.DUMMYFUNCTION("GOOGLETRANSLATE(B656, ""en"", ""pt-br"")"),"Bom.Não problema, bom produto, compra de valor para dinheiro, bom produto, bom produto, bom, ok ok produto., Vá em frente")</f>
        <v>Bom.Não problema, bom produto, compra de valor para dinheiro, bom produto, bom produto, bom, ok ok produto., Vá em frente</v>
      </c>
      <c r="E656" s="29" t="str">
        <f>IFERROR(__xludf.DUMMYFUNCTION("GOOGLETRANSLATE(C656, ""en"", ""pt-br"")"),"O caso é difícil e espaçoso. Disco e outros pandrive, cabos etc. Você pode colocar com facilidade. É bom para segurança e armazenamento., Ajude o produto para discos rígidos do tamanho da palma, compra de valor para dinheiro, qualidade é boa. Olhando é bo"&amp;"m. Luz em peso, bom produto nesse segmento de preços, melhor para esse preço, ok ok produto, mas com comparação com o preço de bom produto. Eu recomendo que você compre. É incrível que não estejamos fabricando tal coisa em Índia.")</f>
        <v>O caso é difícil e espaçoso. Disco e outros pandrive, cabos etc. Você pode colocar com facilidade. É bom para segurança e armazenamento., Ajude o produto para discos rígidos do tamanho da palma, compra de valor para dinheiro, qualidade é boa. Olhando é bom. Luz em peso, bom produto nesse segmento de preços, melhor para esse preço, ok ok produto, mas com comparação com o preço de bom produto. Eu recomendo que você compre. É incrível que não estejamos fabricando tal coisa em Índia.</v>
      </c>
    </row>
    <row r="657">
      <c r="A657" s="9" t="s">
        <v>2606</v>
      </c>
      <c r="B657" s="29" t="str">
        <f>VLOOKUP(dados!A657, reviews!A:G, 5, FALSE)</f>
        <v>Noise cancellation is just a hype,Okay,Sound,good quality of sound and battery backup is also good.,Ok,Good product on this prize range,Boult Audio,Ok</v>
      </c>
      <c r="C657" s="29" t="str">
        <f>VLOOKUP(dados!A657, reviews!A:G, 6, FALSE)</f>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v>
      </c>
      <c r="D657" s="29" t="str">
        <f>IFERROR(__xludf.DUMMYFUNCTION("GOOGLETRANSLATE(B657, ""en"", ""pt-br"")"),"O cancelamento de ruído é apenas um hype, ok, som, boa qualidade de som e backup de bateria também é bom., OK, bom produto nessa linha de prêmios, áudio boult, ok")</f>
        <v>O cancelamento de ruído é apenas um hype, ok, som, boa qualidade de som e backup de bateria também é bom., OK, bom produto nessa linha de prêmios, áudio boult, ok</v>
      </c>
      <c r="E657" s="29" t="str">
        <f>IFERROR(__xludf.DUMMYFUNCTION("GOOGLETRANSLATE(C657, ""en"", ""pt-br"")"),"Bom: Qualidade do som - Surpreendente a esse preço, em som acústico/3D construído (Nice), o baixo não é avassalador (bom em ouvidos), detalhes instrumentais, diálogos e música de fundo/conversas também são claras e severas (polegares para cima) Looks Look"&amp;"s está tudo bem, backup da bateria bom do farbad: o cancelamento de ruído é apenas um hype, usado para chamadas internas-não conseguiu bloquear o ruído/buzinas do carro externo, até o interruptor de luz no ruído do desligamento, os ruídos da cozinha/limpe"&amp;"za de pratos eram audíveis Na outra dor no ouvido final, depois de usar por algumas horas, a faixa de conexão Bluetooth é muito baixa, começa a soltar o áudio além de 10 pés de fusão: nenhuma notificação de status da bateria, sem opção automática: bom par"&amp;"a filmes, séries, música, mas não para reuniões de escritório/ ligações telefônicas, está tudo bem, mas a qualidade de construção está bem., a única coisa que eu gostei é uma boa bateria e baixo, a qualidade sonora e a qualidade da base é boa., Voz de boa"&amp;" qualidade, https: //m.media-amazon.com/images/ W/webp_402378-t1/imagens/i/71ku7iGuail._sy88.jpg, bom baixo, ok tremor, muito bom")</f>
        <v>Bom: Qualidade do som - Surpreendente a esse preço, em som acústico/3D construído (Nice), o baixo não é avassalador (bom em ouvidos), detalhes instrumentais, diálogos e música de fundo/conversas também são claras e severas (polegares para cima) Looks Looks está tudo bem, backup da bateria bom do farbad: o cancelamento de ruído é apenas um hype, usado para chamadas internas-não conseguiu bloquear o ruído/buzinas do carro externo, até o interruptor de luz no ruído do desligamento, os ruídos da cozinha/limpeza de pratos eram audíveis Na outra dor no ouvido final, depois de usar por algumas horas, a faixa de conexão Bluetooth é muito baixa, começa a soltar o áudio além de 10 pés de fusão: nenhuma notificação de status da bateria, sem opção automática: bom para filmes, séries, música, mas não para reuniões de escritório/ ligações telefônicas, está tudo bem, mas a qualidade de construção está bem., a única coisa que eu gostei é uma boa bateria e baixo, a qualidade sonora e a qualidade da base é boa., Voz de boa qualidade, https: //m.media-amazon.com/images/ W/webp_402378-t1/imagens/i/71ku7iGuail._sy88.jpg, bom baixo, ok tremor, muito bom</v>
      </c>
    </row>
    <row r="658">
      <c r="A658" s="9" t="s">
        <v>2610</v>
      </c>
      <c r="B658" s="29" t="str">
        <f>VLOOKUP(dados!A658, reviews!A:G, 5, FALSE)</f>
        <v>Superb headphone one of the best,!!!Amazing product!!!,Quality is so so good,No battery🔋 backup and no flexible to use,Very good,A good low budget earphone,Obsem product but sound quality is not best,IT IS GOOD PRODUCT</v>
      </c>
      <c r="C658" s="29" t="str">
        <f>VLOOKUP(dados!A658, reviews!A:G, 6, FALSE)</f>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  Boult Audio BassBuds X1 in-Ear Wired Earphones with 10mm Extra Bass Driver and HD Sound with mic(Black)  Boult Audio BassBuds Loop in-Ear Wired Earphones with 12mm Powerful Driver for Extra Bass with Customizable Ear Loop…Buy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 1,198.00 ₹ 899.00 ₹ 1,199.00 ₹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v>
      </c>
      <c r="D658" s="29" t="str">
        <f>IFERROR(__xludf.DUMMYFUNCTION("GOOGLETRANSLATE(B658, ""en"", ""pt-br"")"),"Excelente fone de ouvido um dos melhores, !!! Produto incrível !!!, a qualidade é tão boa, sem backup de bateria e sem flexível para usar, muito bom, um bom orçamento de baixo orçamento, produto de observa, mas a qualidade do som não é melhor, É um bom pr"&amp;"oduto")</f>
        <v>Excelente fone de ouvido um dos melhores, !!! Produto incrível !!!, a qualidade é tão boa, sem backup de bateria e sem flexível para usar, muito bom, um bom orçamento de baixo orçamento, produto de observa, mas a qualidade do som não é melhor, É um bom produto</v>
      </c>
      <c r="E658" s="29" t="str">
        <f>IFERROR(__xludf.DUMMYFUNCTION("GOOGLETRANSLATE(C658, ""en"", ""pt-br"")"),"Acabei de receber meu Boultcurve. É realmente totalmente inesperado de boa qualidade ... apenas continue não pensamentos sobre a compra dos fones de ouvido! A única coisa que estou esperando é saber que é durabilidade até os dias!. Em 5, eu darei a você 5"&amp;". Packing: a embalagem é perfeita com fones de ouvido colocados com segurança. A embalagem em si parece premium. e 2 pares de pontas extras (pequenas e grandes) .Buttons: o tijolo do lado direito tem os botões. Obtemos 1 botão multifuncional (o meio) que "&amp;"pode ser usado para ligar e desligar. Você também pode comparecer as chamadas e encerram as chamadas pressionando -as. Enquanto tocava música, você pode pausar/reproduzir por pressionamento único. Você pode ajustar o volume pelos 2 botões que são de ambos"&amp;" os lados do botão multi -funcional pressionando. faixas quando a música está sendo tocada. Os poços comparam as perguntas das análises de fabricante de miras sem fio, onde ele tem uma duração de bateria sem fio 12 horas, 50 horas Stand-byonyx Greyonyx Gr"&amp;"eycrimson Redazure Redazure Recursos BLUETOTH 5.0Enjoy LifeS-Freanding e música sem música sem interrupção. Controle de linha3 Comando de voz4 MIC5 IPX5 IPX5 Propertição a água perfeita sem fio, Este fone de ouvido sem fio foi projetado perfeitamente para"&amp;" oferecer conforto o dia inteiro com uma faixa de pescoço flexível, fones de ouvido confortáveis ​​de silício e som impecável é voltado para ser seu companheiro diário. Carregado com bassnoise isolation clancel Extra O distúrbio em segundo plano para expe"&amp;"riência nítida durante as chamadas, com curva de áudio Boult.1 Isolamento de ruído2 3D AcouStics3 Audio de alta fidelidade Confiável por milhões Customers.Features &amp; Detalhes Long Long Life - A Curve é uma potência, oferece tempo de reprodução de até 12 a"&amp;" 15 horas para cada carga. Leva 1-1,5 para ficar totalmente carregado e tem 1-2 dias de espera. Tecnologia magnética do eixo à distância de 20m de transmissão-fones de ouvido em forma oval com bicos angulares em túneis de 60 graus o som diretamente no can"&amp;"al da orelha, fornecendo também o ruído isoladamente a banda flexível-a banda leve e robusta e robusta pode cair confortavelmente no pescoço com o pescoço com supremo Controles de conforto e controles em linha. Veja mais guias e manual de documentos e doc"&amp;"umentos [pdf] freqüentemente compravam juntos a faixa de pescoço Bluetooth, na orelha, os fones de ouvido sem fio com uma vida útil da bateria de 12 horas, carregamento rápido e em… Boult Audio Bassbuds x1 Liberado Fones de ouvido com driver de grave extr"&amp;"a de 10 mm e som HD com microfone (preto) Boult Audio Bassbuds Loop In-orar Wired Phones com 12mm Driver poderoso para graves extras com loop de orelha personalizável… Compre os três: ₹ 1,945.00 Product Image GalleryProduct Image Gallerybout AUDIO Probass"&amp;" Proveass Faixa de pescoço, fones de ouvido sem fio com 12 horas de duração da bateria, carregamento rápido e microfone embutido, fones de ouvido à prova de suor IPX5 (azul) comparam com itens semelhantes Este item Boult Audio Probass Curve Blue ... Boult"&amp;" Audio Probass X1-WL In-E. .. Boult Audio Probass Buster WIR ... OnePlus Bullets sem fio Z Bas ... Classificação 3,8 de 5 Stars51081 REVISÕES 4.1 de 5 estrelas18272 Reviews 3,7 de 5 estrelas2531 REVISTAS 4.2 de 5 estrelas72844 REVISTAS ₹ 1,198,00 ₹ 899.00"&amp;" ₹ 1,1. A entrega gratuita de 1.999,00 anos de entrega grátis cumpriu a entrega grátis, entrega gratuita, a entrega grátis por apario de apario Private Ltd Appario varejo Private Ltd Appario varejo Private Ltd Appario Retail Private Ltdsee Mais detalhes m"&amp;"ais detalhados para considerar a nossa marca. pressionado. Para navegar para fora deste carrossel, use sua chave de atalho para navegar para a próxima ou anterior. Procurar respostas tem uma pergunta? Pesquisar por AnswersQ: Existe alguma garantia ou Nota"&amp;": comprei os fones de ouvido em 28 de julho, os fones de ouvido não são um lado não está funcionando é ... Arunsankineni | 1 ano atrásQ: Boat Rockerz 255 ou Boult Curve .. Qual é o melhor? A: Boat Rockerz 255 Se você estiver procurando música/som. Boult s"&amp;"e você estiver indo para a bateria.Jay Trivedi | 2 anos atrás Q: Dual Connectivitya: Yaaamanoj Kumar Yadav | 2 anos atrás Q: o que é o tamanho do motorista Lua: dnt knwuic | 5 meses Agosee todas as mais de 1000 perguntas respondidas - você também pode gos"&amp;"tar de críticas de Customer3.8 dos 53,8 dos 551.081 Ratings Global FeatureBattery Life4.24.2Sound Quality3.93.9Bluetooth Conectivity33.83.8See Mais veja as revisões mais morais, a melhoridade da bateria da bateria Valor do dinheiro do dinheiro Boul Range "&amp;"parou de funcionar qualidade é boa qualidade de grave de qualidade leve também boa banda de pescoço Bluetooth conectividade boult curva Probass Curva que vale a pena em dinheiro o áudio provavelmente Revisado na Índia em 4 de janeiro de 2019Color: Blackst"&amp;"yle Nome: Curveatualy Este produto é exclusivo do Myntra. O preço do Myntra foi de cerca de 1800 (incluindo impostos). Fones de ouvido de áudio Boult, um pequeno cabo USB para carregar, manual do usuário, cartão de garantia (1 ano de Warry) e 2 pares de p"&amp;"ontas extras (pequenas e grandes). Primeira impressão: os fones de ouvido parecem muito bons e elegantes. A faixa do pescoço é feita de algum tipo suave de plástico que é muito confortável de usar. A peça da orelha é feita de metal e parece boa e dura. As"&amp;" peças da orelha podem ser presas juntas pelos ímãs. O ímã é bom o suficiente para segurá -los apertado. A cor do fone de ouvido parece boa e dá uma aparência meio premium. Participe das chamadas e encerre as chamadas pressionando -as. Enquanto tocando mú"&amp;"sicas que você pode pausar/reproduzir por uma única pressionada. Você pode ajustar o volume pelos 2 botões que são de ambos os lados do botão multi -funcional pressionando. as faixas quando a música está sendo tocada. Conectividade: emparelhar seu boult c"&amp;"om o seu celular é muito fácil ... basta pressionar e segurar o botão liga / desliga no boult até que você sinta a vibração duas vezes. Procure dispositivos e você encontrará 'Boult Audio', basta tocar e você será emparelhado. Além disso, você pode ouvir "&amp;"um áudio que você está sendo conectado. afirma que tem 12 horas de reprodução. comece a vibrar. Eu tenho que lhe dizer, o sistema operacional vibração é realmente forte e pode ser facilmente conhecido, mesmo que você esteja ocupado (como viajar de bicicle"&amp;"ta ou uma rua movimentada), mas lembre -se de que se você estiver recebendo chamadas continuamente, menos o backup da bateria. Qualidade do som: a qualidade do som nesses fones de ouvido é incrível. Os médios são nítidos e claros, os vocais são bons, o ba"&amp;"ixo também é pesado, mas é isso que não é forte. Mas você não pode ajustar o equalizador e ter essa base forte. A chamada A qualidade também é boa devido ao microfone condensador. Esses fones de ouvido têm cancelamento de ruído que funciona bem. O nível d"&amp;"e volume nesses fones de ouvido é realmente alto. Não posso ir além de 80%, tudo bem. Por isso, uso a curva de probass de Boult há mais de um mês e gostaria de resumir meus comentários em pontos de bala para facilitar os compradores em potencial. Eu estav"&amp;"a pensando em comprar um fone de ouvido Bluetooth de qualidade com um ótimo desempenho a um preço acessível por bastante tempo e é aí que minha pesquisa terminou. Eu estava cansado de usar fones de ouvido com fio baratos, pois eles costumavam sair de funç"&amp;"ão ou ser quebrado de vez em quando. Além disso, eu os encontrei ficando enredados a cada segundo, tornando -o realmente inconveniente de lidar, especialmente durante a viagem. É nessa vez que comecei a sentir a necessidade de um fone de ouvido sem fio e "&amp;"comecei minha busca. Demorei um bom tempo (meses) para procurar um bom produto. E foi quando decidi comprar este item. Antes da compra, dediquei o tempo para ler as análises do usuário (que sempre faço antes de fazer qualquer compra ou grande) e me vi con"&amp;"vencido. Finalmente, decidi ir em frente. OK. Portanto, não há mais redação :) Deixe -me ir direto aos pontos -chave: 1. Comprei isso para 999 em venda, então salvo INR 499. (É uma boa economia. Como Warrent Buffet diz: ""Todo centavo economizado é todo c"&amp;"entavo ganho"") 2. Isso tem uma ótima qualidade de som. Não pude compará -lo com nenhum outro produto, porque não tenho nenhum outro fone de ouvido Bluetooth comigo :) Mas isso certamente não vai decepcioná -lo. É muito alto, mesmo com 80% de nível de vol"&amp;"ume. Você simplesmente não pode ouvir nesse nível; Esqueça o volume total. O baixo é ótimo, mas não é excelente para ser honesto, mas também não decepciona. O bom é que o som não distorce, mesmo que você o aumente para 100%. Excelente clareza sonora! 3. N"&amp;"ão sou um tecnocrata, então não sei dizer quais são as características do recurso de cancelamento de ruído, mas você não poderá ouvir nenhum som/ruído externo ou muito mínimo que não seja perceptível. Então, isso é perfeito neste momento. Executa excelent"&amp;"e enquanto atende uma ligação. Você receberá uma voz cristalina quando fizer/ligar usando este dispositivo. Você sentirá como se estivesse fazendo chamadas diretamente do telefone celular. Na verdade, é ainda melhor em momentos em que a voz do outro lado "&amp;"é baixa. Eu realmente amo o chamado sem mãos, porque tenho que receber longas ligações com os clientes no meu trabalho. O backup da bateria é excelente !!! Pode durar de 10 a 11 horas. Eu o testei rigorosamente no uso de áudio e vídeo. E eu quero dizer is"&amp;"so. Eu o testei por quase um mês com a captura de log do dia. Por favor, veja o rastreamento detalhado no final. Ele fica cheio em 2 horas de aprox.6. A linha Bluetooth é boa. Ele cobre uma distância de 10 a 15 pés facilmente. É suficiente se não for bom "&amp;"o suficiente. Meus números podem estar errados. Cuidado! É apenas a minha estimativa difícil. Não testado é rigorosamente. O design parece bom e é muito conveniente de usar. Os fios são ajustáveis ​​conforme a necessidade. Isso é uma coisa legal. Parece l"&amp;"egal quando você o usa em volta do pescoço. Eu escolhi a cor vermelha. Por último mas não menos importante. Ele vem com uma garantia de substituição de 1 ano para que você possa dormir pacificamente enquanto desfruta de sua música favorita :) Julgamento: "&amp;"basta seguir em frente se tiver um orçamento limitado ou não quiser gastar uma fortuna no fone de ouvido Bluetooth. Eu hesitei em gastar algo além de 1000 dólares em um fone de ouvido Bluetooth. Foi minha limitação pessoal. Play17 de maio de 1 hora Aprox "&amp;"no vídeo da noite Play17 de maio 1 hora 20 minutos Aprox na noite Play de vídeo 20 maio 1 hora 30 minutos Aprox na música Play 20 maio 1 hora 30 minutos Aprox no vídeo da noite Morning Song Play21 pode começar 22 minutos Aprox Video Play in the EveningBat"&amp;"tery Deadtotal Battery Horário 11 horas 12 minutos *********************** *********************** De manhã, música tocar 23 de maio de 1 hora aprox no vídeo da noite aprox na manhã, música tocar 27 maio de 1 hora 27 minutos aprox no horário de jogo de ví"&amp;"deo da noite 11 horas 13 minutos ****************************** ************************* 1 de maio de 57 minutos Aprox da manhã Play29 de maio de 1 hora na noite Play de vídeo 30 de maio 1 hora 48 minutos Aprox no jogo da manhã Hora 07 minutos Battery de"&amp;"scarregada ************************************************ ***** 31 de maio 1 hora 12 minutos Aprox no vídeo da noite 1 de junho, 11 minutos Aprox Play Video Play in the Evening05 23 de junho Aprox Play Video Play in Night06 1 de junho 47 minutos Aprox S"&amp;"ong Play de manhã 06 de junho 50 Minutes Aprox Play de vídeo no horário noturno 9 horas 46 minutos *************************************************** 07 8 de junho 8. final10 8 de junho 8.37 Termine 51 minutos de aproximadamente tempo descarregado Time 1"&amp;"0 horas 57 minutos Aprox, você deve comprar um fone de ouvido que eu recomendo para este. Menores de 1000 rúpias Melhor .., sem backup de bateria e sem flexibilidade de usar, eles não são satisfeitos com os recursos fornecidos, estou escrevendo esta resen"&amp;"ha depois de usados ​​em 30 dias o produto é realmente muito bom, qualidade de som, durabilidade, bateria O desempenho também é muito bom, no geral, é um produto justo ... Rs. 899 ... com todos os recursos ... é perfeito para o trajeto diário, pois tem um"&amp;"a duração muito boa da bateria, dura 3 a 4 dias facilmente. Quando se trata da qualidade do som, sinto que não é entregue conforme anunciado o que é óbvio. Seria errado esperar um ótimo som de um produto geral. Você não pode ter tudo de uma vez. Esta é mi"&amp;"nha opinião pessoal, já que sou um entusiasta da música e experimentei músicas de ótimos fones de ouvido e telefones. A qualidade do som não é melhor, gostei deste produto. Já usando alguns dias. A volta da bateria também é muito boa.")</f>
        <v>Acabei de receber meu Boultcurve. É realmente totalmente inesperado de boa qualidade ... apenas continue não pensamentos sobre a compra dos fones de ouvido! A única coisa que estou esperando é saber que é durabilidade até os dias!. Em 5, eu darei a você 5. Packing: a embalagem é perfeita com fones de ouvido colocados com segurança. A embalagem em si parece premium. e 2 pares de pontas extras (pequenas e grandes) .Buttons: o tijolo do lado direito tem os botões. Obtemos 1 botão multifuncional (o meio) que pode ser usado para ligar e desligar. Você também pode comparecer as chamadas e encerram as chamadas pressionando -as. Enquanto tocava música, você pode pausar/reproduzir por pressionamento único. Você pode ajustar o volume pelos 2 botões que são de ambos os lados do botão multi -funcional pressionando. faixas quando a música está sendo tocada. Os poços comparam as perguntas das análises de fabricante de miras sem fio, onde ele tem uma duração de bateria sem fio 12 horas, 50 horas Stand-byonyx Greyonyx Greycrimson Redazure Redazure Recursos BLUETOTH 5.0Enjoy LifeS-Freanding e música sem música sem interrupção. Controle de linha3 Comando de voz4 MIC5 IPX5 IPX5 Propertição a água perfeita sem fio, Este fone de ouvido sem fio foi projetado perfeitamente para oferecer conforto o dia inteiro com uma faixa de pescoço flexível, fones de ouvido confortáveis ​​de silício e som impecável é voltado para ser seu companheiro diário. Carregado com bassnoise isolation clancel Extra O distúrbio em segundo plano para experiência nítida durante as chamadas, com curva de áudio Boult.1 Isolamento de ruído2 3D AcouStics3 Audio de alta fidelidade Confiável por milhões Customers.Features &amp; Detalhes Long Long Life - A Curve é uma potência, oferece tempo de reprodução de até 12 a 15 horas para cada carga. Leva 1-1,5 para ficar totalmente carregado e tem 1-2 dias de espera. Tecnologia magnética do eixo à distância de 20m de transmissão-fones de ouvido em forma oval com bicos angulares em túneis de 60 graus o som diretamente no canal da orelha, fornecendo também o ruído isoladamente a banda flexível-a banda leve e robusta e robusta pode cair confortavelmente no pescoço com o pescoço com supremo Controles de conforto e controles em linha. Veja mais guias e manual de documentos e documentos [pdf] freqüentemente compravam juntos a faixa de pescoço Bluetooth, na orelha, os fones de ouvido sem fio com uma vida útil da bateria de 12 horas, carregamento rápido e em… Boult Audio Bassbuds x1 Liberado Fones de ouvido com driver de grave extra de 10 mm e som HD com microfone (preto) Boult Audio Bassbuds Loop In-orar Wired Phones com 12mm Driver poderoso para graves extras com loop de orelha personalizável… Compre os três: ₹ 1,945.00 Product Image GalleryProduct Image Gallerybout AUDIO Probass Proveass Faixa de pescoço, fones de ouvido sem fio com 12 horas de duração da bateria, carregamento rápido e microfone embutido, fones de ouvido à prova de suor IPX5 (azul) comparam com itens semelhantes Este item Boult Audio Probass Curve Blue ... Boult Audio Probass X1-WL In-E. .. Boult Audio Probass Buster WIR ... OnePlus Bullets sem fio Z Bas ... Classificação 3,8 de 5 Stars51081 REVISÕES 4.1 de 5 estrelas18272 Reviews 3,7 de 5 estrelas2531 REVISTAS 4.2 de 5 estrelas72844 REVISTAS ₹ 1,198,00 ₹ 899.00 ₹ 1,1. A entrega gratuita de 1.999,00 anos de entrega grátis cumpriu a entrega grátis, entrega gratuita, a entrega grátis por apario de apario Private Ltd Appario varejo Private Ltd Appario varejo Private Ltd Appario Retail Private Ltdsee Mais detalhes mais detalhados para considerar a nossa marca. pressionado. Para navegar para fora deste carrossel, use sua chave de atalho para navegar para a próxima ou anterior. Procurar respostas tem uma pergunta? Pesquisar por AnswersQ: Existe alguma garantia ou Nota: comprei os fones de ouvido em 28 de julho, os fones de ouvido não são um lado não está funcionando é ... Arunsankineni | 1 ano atrásQ: Boat Rockerz 255 ou Boult Curve .. Qual é o melhor? A: Boat Rockerz 255 Se você estiver procurando música/som. Boult se você estiver indo para a bateria.Jay Trivedi | 2 anos atrás Q: Dual Connectivitya: Yaaamanoj Kumar Yadav | 2 anos atrás Q: o que é o tamanho do motorista Lua: dnt knwuic | 5 meses Agosee todas as mais de 1000 perguntas respondidas - você também pode gostar de críticas de Customer3.8 dos 53,8 dos 551.081 Ratings Global FeatureBattery Life4.24.2Sound Quality3.93.9Bluetooth Conectivity33.83.8See Mais veja as revisões mais morais, a melhoridade da bateria da bateria Valor do dinheiro do dinheiro Boul Range parou de funcionar qualidade é boa qualidade de grave de qualidade leve também boa banda de pescoço Bluetooth conectividade boult curva Probass Curva que vale a pena em dinheiro o áudio provavelmente Revisado na Índia em 4 de janeiro de 2019Color: Blackstyle Nome: Curveatualy Este produto é exclusivo do Myntra. O preço do Myntra foi de cerca de 1800 (incluindo impostos). Fones de ouvido de áudio Boult, um pequeno cabo USB para carregar, manual do usuário, cartão de garantia (1 ano de Warry) e 2 pares de pontas extras (pequenas e grandes). Primeira impressão: os fones de ouvido parecem muito bons e elegantes. A faixa do pescoço é feita de algum tipo suave de plástico que é muito confortável de usar. A peça da orelha é feita de metal e parece boa e dura. As peças da orelha podem ser presas juntas pelos ímãs. O ímã é bom o suficiente para segurá -los apertado. A cor do fone de ouvido parece boa e dá uma aparência meio premium. Participe das chamadas e encerre as chamadas pressionando -as. Enquanto tocando músicas que você pode pausar/reproduzir por uma única pressionada. Você pode ajustar o volume pelos 2 botões que são de ambos os lados do botão multi -funcional pressionando. as faixas quando a música está sendo tocada. Conectividade: emparelhar seu boult com o seu celular é muito fácil ... basta pressionar e segurar o botão liga / desliga no boult até que você sinta a vibração duas vezes. Procure dispositivos e você encontrará 'Boult Audio', basta tocar e você será emparelhado. Além disso, você pode ouvir um áudio que você está sendo conectado. afirma que tem 12 horas de reprodução. comece a vibrar. Eu tenho que lhe dizer, o sistema operacional vibração é realmente forte e pode ser facilmente conhecido, mesmo que você esteja ocupado (como viajar de bicicleta ou uma rua movimentada), mas lembre -se de que se você estiver recebendo chamadas continuamente, menos o backup da bateria. Qualidade do som: a qualidade do som nesses fones de ouvido é incrível. Os médios são nítidos e claros, os vocais são bons, o baixo também é pesado, mas é isso que não é forte. Mas você não pode ajustar o equalizador e ter essa base forte. A chamada A qualidade também é boa devido ao microfone condensador. Esses fones de ouvido têm cancelamento de ruído que funciona bem. O nível de volume nesses fones de ouvido é realmente alto. Não posso ir além de 80%, tudo bem. Por isso, uso a curva de probass de Boult há mais de um mês e gostaria de resumir meus comentários em pontos de bala para facilitar os compradores em potencial. Eu estava pensando em comprar um fone de ouvido Bluetooth de qualidade com um ótimo desempenho a um preço acessível por bastante tempo e é aí que minha pesquisa terminou. Eu estava cansado de usar fones de ouvido com fio baratos, pois eles costumavam sair de função ou ser quebrado de vez em quando. Além disso, eu os encontrei ficando enredados a cada segundo, tornando -o realmente inconveniente de lidar, especialmente durante a viagem. É nessa vez que comecei a sentir a necessidade de um fone de ouvido sem fio e comecei minha busca. Demorei um bom tempo (meses) para procurar um bom produto. E foi quando decidi comprar este item. Antes da compra, dediquei o tempo para ler as análises do usuário (que sempre faço antes de fazer qualquer compra ou grande) e me vi convencido. Finalmente, decidi ir em frente. OK. Portanto, não há mais redação :) Deixe -me ir direto aos pontos -chave: 1. Comprei isso para 999 em venda, então salvo INR 499. (É uma boa economia. Como Warrent Buffet diz: "Todo centavo economizado é todo centavo ganho") 2. Isso tem uma ótima qualidade de som. Não pude compará -lo com nenhum outro produto, porque não tenho nenhum outro fone de ouvido Bluetooth comigo :) Mas isso certamente não vai decepcioná -lo. É muito alto, mesmo com 80% de nível de volume. Você simplesmente não pode ouvir nesse nível; Esqueça o volume total. O baixo é ótimo, mas não é excelente para ser honesto, mas também não decepciona. O bom é que o som não distorce, mesmo que você o aumente para 100%. Excelente clareza sonora! 3. Não sou um tecnocrata, então não sei dizer quais são as características do recurso de cancelamento de ruído, mas você não poderá ouvir nenhum som/ruído externo ou muito mínimo que não seja perceptível. Então, isso é perfeito neste momento. Executa excelente enquanto atende uma ligação. Você receberá uma voz cristalina quando fizer/ligar usando este dispositivo. Você sentirá como se estivesse fazendo chamadas diretamente do telefone celular. Na verdade, é ainda melhor em momentos em que a voz do outro lado é baixa. Eu realmente amo o chamado sem mãos, porque tenho que receber longas ligações com os clientes no meu trabalho. O backup da bateria é excelente !!! Pode durar de 10 a 11 horas. Eu o testei rigorosamente no uso de áudio e vídeo. E eu quero dizer isso. Eu o testei por quase um mês com a captura de log do dia. Por favor, veja o rastreamento detalhado no final. Ele fica cheio em 2 horas de aprox.6. A linha Bluetooth é boa. Ele cobre uma distância de 10 a 15 pés facilmente. É suficiente se não for bom o suficiente. Meus números podem estar errados. Cuidado! É apenas a minha estimativa difícil. Não testado é rigorosamente. O design parece bom e é muito conveniente de usar. Os fios são ajustáveis ​​conforme a necessidade. Isso é uma coisa legal. Parece legal quando você o usa em volta do pescoço. Eu escolhi a cor vermelha. Por último mas não menos importante. Ele vem com uma garantia de substituição de 1 ano para que você possa dormir pacificamente enquanto desfruta de sua música favorita :) Julgamento: basta seguir em frente se tiver um orçamento limitado ou não quiser gastar uma fortuna no fone de ouvido Bluetooth. Eu hesitei em gastar algo além de 1000 dólares em um fone de ouvido Bluetooth. Foi minha limitação pessoal. Play17 de maio de 1 hora Aprox no vídeo da noite Play17 de maio 1 hora 20 minutos Aprox na noite Play de vídeo 20 maio 1 hora 30 minutos Aprox na música Play 20 maio 1 hora 30 minutos Aprox no vídeo da noite Morning Song Play21 pode começar 22 minutos Aprox Video Play in the EveningBattery Deadtotal Battery Horário 11 horas 12 minutos *********************** *********************** De manhã, música tocar 23 de maio de 1 hora aprox no vídeo da noite aprox na manhã, música tocar 27 maio de 1 hora 27 minutos aprox no horário de jogo de vídeo da noite 11 horas 13 minutos ****************************** ************************* 1 de maio de 57 minutos Aprox da manhã Play29 de maio de 1 hora na noite Play de vídeo 30 de maio 1 hora 48 minutos Aprox no jogo da manhã Hora 07 minutos Battery descarregada ************************************************ ***** 31 de maio 1 hora 12 minutos Aprox no vídeo da noite 1 de junho, 11 minutos Aprox Play Video Play in the Evening05 23 de junho Aprox Play Video Play in Night06 1 de junho 47 minutos Aprox Song Play de manhã 06 de junho 50 Minutes Aprox Play de vídeo no horário noturno 9 horas 46 minutos *************************************************** 07 8 de junho 8. final10 8 de junho 8.37 Termine 51 minutos de aproximadamente tempo descarregado Time 10 horas 57 minutos Aprox, você deve comprar um fone de ouvido que eu recomendo para este. Menores de 1000 rúpias Melhor .., sem backup de bateria e sem flexibilidade de usar, eles não são satisfeitos com os recursos fornecidos, estou escrevendo esta resenha depois de usados ​​em 30 dias o produto é realmente muito bom, qualidade de som, durabilidade, bateria O desempenho também é muito bom, no geral, é um produto justo ... Rs. 899 ... com todos os recursos ... é perfeito para o trajeto diário, pois tem uma duração muito boa da bateria, dura 3 a 4 dias facilmente. Quando se trata da qualidade do som, sinto que não é entregue conforme anunciado o que é óbvio. Seria errado esperar um ótimo som de um produto geral. Você não pode ter tudo de uma vez. Esta é minha opinião pessoal, já que sou um entusiasta da música e experimentei músicas de ótimos fones de ouvido e telefones. A qualidade do som não é melhor, gostei deste produto. Já usando alguns dias. A volta da bateria também é muito boa.</v>
      </c>
    </row>
    <row r="659">
      <c r="A659" s="9" t="s">
        <v>1722</v>
      </c>
      <c r="B659" s="29" t="str">
        <f>VLOOKUP(dados!A659, reviews!A:G, 5, FALSE)</f>
        <v>Decent Product at about right price.,Seems good.,Good Quality &amp; Durable Powerbank in 1k range | Review,This is the second power bank from Ambrane India, i am happy,It’s heavy but good,Good product,Good power bank,The power is bulkier</v>
      </c>
      <c r="C659" s="29" t="str">
        <f>VLOOKUP(dados!A659, reviews!A:G, 6, FALSE)</f>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 INSIDE BOX•••••••••••••••••••→ Powerbank→ MicroUSB cable→ Carry pouch (depends on which package you received, more below)→ User manual/Warranty card→ General leaflet→ Feedback leaflet••••••••••••••••••••••••📝 SOME DETAILS••••••••••••••••••••••••→ Mfg: October 2019→ Charging time: 9 Hrs 50 Min (via 10W charger, low battery indication to full charge)→ Backup: Was able to charge (5-100%) Redmi Note 5 pro's 4000Mah battery ~3.5 times with regular usage in between.••••••••••••➕ PROS••••••••••••1.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 CONS•••••••••••••1. It does not auto-start charging when the device is connected.2. Since it has a touch button instead of push-button, it activates accidentally switching it on every time during handling.3. There is a lot of conversion loss &amp; backup is slightly less for a 20000mAh power bank.▶ Cons are significant enough to reduce 1 star. There is scope for improvement (points 1 &amp; 2) in this product in the same range. So ★★★★ device.••••••••••••••••••••💡 LED STATUS••••••••••••••••••••→ 1st/2nd/3rd/4th LED blinking (while charging power bank): Status of charge in terms of no of LEDs blinking→ 1/2/3/4 LEDs solid white (while charging other devices): Status of remaining battery in terms of no of LEDs→ One blinking (while charging other devices): Low battery→ All 4 LED solid glow: Battery fully charged•••••••••••••••••••••••••••••••••••🔊 AMBRANE BOX DEBATE•••••••••••••••••••••••••••••••••••1.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 This one came with Micro USB cable and a carry pouch.••••••••••••••••••••••••👜 CARRY POUCH••••••••••••••••••••••••→ As per my analysis carry pouch comes with the latest October lot which comes in a bigger box and was unavailable in earlier lot with a small box.→ Carry pouch size was appropriate for power bank and i had no trouble inserting power bank in it. (Some users reported it having a smaller opening but i had no trouble with it and found it to be a proper fit. Neither loose nor tight.→ Its soft nylon meshed pouch and is a nice addon.••••••••••••••••🏆 VERDICT••••••••••••••••▶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 If one can extend the budget by a few hundred, MI power bank will be a better option with a metallic body &amp; better quality overall. I have MI, Honor &amp; Ambrane power bank and their overall rating will be (from low to high) Ambrane → Honor →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don’t last that long when use for charging two device.</v>
      </c>
      <c r="D659" s="29" t="str">
        <f>IFERROR(__xludf.DUMMYFUNCTION("GOOGLETRANSLATE(B659, ""en"", ""pt-br"")"),"Produto decente a um preço certo., Parece bom., Boa qualidade e durável Powerbank na faixa de 1k | Revisão, este é o segundo banco de energia da Ambrane India, estou feliz, é pesado, mas bom, bom produto, bom banco de energia, o poder é mais volumoso")</f>
        <v>Produto decente a um preço certo., Parece bom., Boa qualidade e durável Powerbank na faixa de 1k | Revisão, este é o segundo banco de energia da Ambrane India, estou feliz, é pesado, mas bom, bom produto, bom banco de energia, o poder é mais volumoso</v>
      </c>
      <c r="E659" s="29" t="str">
        <f>IFERROR(__xludf.DUMMYFUNCTION("GOOGLETRANSLATE(C659, ""en"", ""pt-br"")"),"Comprei este banco de poder para usar durante minhas férias com a família. É resistente, mas um pouco mais pesado. Pode carregar três telefones por vez se você usar a porta USB e terceira terceira porte C para carregar. A velocidade de carregamento é boa "&amp;"e apropriada. A única desvantagem que experimentei é o peso do próprio banco de poder, sem essa limitação, pode ser um produto realmente incrível de comprar., Um pouco pesado, mas faz o trabalho. Leva muitooooo muito tempo para cobrar. Qualquer que seja a"&amp;" menção na descrição, não está correta no que diz respeito ao carregamento do PowerBank., Eu precisava de um banco de energia extra com uma capacidade maior. Então, desta vez, pensei em experimentar a Ambrane, pois já tenho Honor &amp; Mi Power Banks (10000mA"&amp;"h). Embora não tenha sido uma combinação perfeita para o MI ou a honra, o IIT cumpriu minhas expectativas para a faixa de 1k. ••••••••••••••••• → PowerBank → Cabo microUSB → Carry Bolsa (depende de qual pacote você recebeu, mais abaixo) → Manual do usuári"&amp;"o/cartão de garantia → Folhetos gerais → Folhetos de feedback •••• ••••••••••••••••••••• 📝 Alguns detalhes : Outubro de 2019 → Horário de carregamento: 9 horas 50 min (via carregador de 10W, baixa indicação de bateria para carga total) → Backup: consegui"&amp;"u carregar (5-100%) Redmi Note 5 Bateria de 4000mAs do Pro PRO ~ 3,5 vezes com uso regular entre . •••••••••••• ➕ Pros ••••••••••••• 1. Banco de energia de alta capacidade com entrada dupla (micro USB ou USB C) .2. Saída dupla por meio de 2 portas USB.3. "&amp;"Não é um dispositivo rápido de carga/carga rápida, mas possui uma saída de 5V/2.4A (12W), que é boa o suficiente.4. Botão de toque para verificações de energia ou ligue -o para o dispositivo de carregamento. Ele vem com uma bolsa de transporte. (Mais abai"&amp;"xo nesta parte) .6. Fator de forma compacta e design resistente com corpo ABS. Não é iniciado automaticamente quando o dispositivo está conectado. Como possui um botão de toque em vez de botão, ele ativa acidentalmente alternando-o sempre durante o manuse"&amp;"io. Há muita perda e backup de conversão é um pouco menor para um banco de energia de 20000mAh. ▶ Os contras são significativos o suficiente para reduzir 1 estrela. Há escopo para melhorias (pontos 1 e 2) neste produto no mesmo intervalo. Então ★★★★ Dispo"&amp;"sitivo. → 1º/2º/3º/4º LED piscando (enquanto cobra o banco de energia): status de carga em termos de número de LEDs piscando → 1/2/3/4 LEDs White Solid (enquanto carregava outros dispositivos): status da bateria restante em Termos do NO dos LEDs → Um pisc"&amp;"ar (enquanto carregava outros dispositivos): Bateria baixa → Todos os 4 brilho sólido LED: bateria totalmente carregada ••••••••••••••••••••••••••••••••••••••••••••••••••••••••••••••••••••••••••••••••••••••••••••••••••••••••••••••••••••••••••••• 🔊 Caixa "&amp;"de Ambrane Debate • 1. Quando recebi esse banco de energia, ele veio em uma pequena caixa (aproximadamente 12x9x3cm, MFG: agosto de 2019) com tudo forçado no espaço congestionado. O problema que eu tive neste foi que ele veio com selo aberto e sem embrulh"&amp;"o poli em torno da caixa de produtos como se fosse um produto usado ou fosse adulterado no meio. Então, foi cético em relação à autenticidade do produto e pediu uma substituição imediatamente. → Este tinha um cabo USB C, mas sem bolsa de transporte.2. Qua"&amp;"ndo a substituição veio, ele veio em uma caixa maior poli-embrulhada (22x10x4 cm, MFG: outubro de 2019) com uma manga externa e uma caixa principal dentro com uma vedação de holograma. Talvez a Ambrane tenha mudado a embalagem. O selo do holograma aqui es"&amp;"tava intacto, mas também não foi aplicado corretamente para garantir a abertura. Parecia que foi aplicado com uma caixa aberta. Portanto, sua presença era inútil. → Este veio com cabo micro USB e uma bolsa de transporte. •••••••••••••••••••••• → Como minh"&amp;"a bolsa de transporte de análise vem com o último lote de outubro que vem em uma caixa maior e não estava disponível no estacionamento anterior com uma pequena caixa. → O tamanho da bolsa de transporte era apropriado para o Banco de Power e eu não tive pr"&amp;"oblemas para inserir o Banco de Power. (Alguns usuários relataram ter uma abertura menor, mas eu não tive problemas com isso e achei que era um ajuste adequado. Nem solto nem apertado. → sua bolsa de malha de nylon macia e é um belo complemento. •••••••••"&amp;" 🏆 Verdict •••••••••••••••••• Gu no preço não é um mau negócio. É um caminho intermediário b/w de baixa qualidade e alta qualidade Você pode muito bem ir para a Ambrane, pois faz bancos de potência de boa qualidade e duráveis. Descanse, nada é perfeito n"&amp;"este mundo. Somente essa coisa, a política de substituição de 10 dias da Amazon e a garantia de 1 ano da Ambame estão disponíveis. ▶ Se alguém puder estender o orçamento em algumas centenas, o Mi Power Bank será uma opção melhor com um corpo metálico e me"&amp;"lhor qualidade em geral. Eu tenho MI, Honor &amp; Ambrane Power Bank e sua classificação geral será (de baixa a alta) Ambrane → Honra → MI, estou colocando esta revisão após 1 dia de uso. Este é o segundo banco de energia que comprei da Ambrane India Geral Po"&amp;"wer Bank para minha família. Antes disso, comprei o PP-30 30000 MAH Model e também possui Mi 2i 20000 Mah Power Bank foram realmente bons, aqui estou montando todos os prós e contras que sou capaz de encontrar após 1 dia de uso e também um pouco de compar"&amp;"ação. Meu pai usa o Redmi Note 7, minha mãe tem Mi A1 e estou usando o Redmi Note 3Pros:- Dual entrada tipo C e Micro USB Este é o principal e principal motivo de escolher esse banco de poder em vez de Mi ou outras marcas como você não T necessidade de tr"&amp;"ansportar dois cabos se o seu telefone tiver entrada do tipo C, que na minha família 2 de 3 tem o mesmo e fácil de transportar e segurar, pois é muito compacto é o tamanho que devo dizer em comparação com mi ou pp-30- Capacidade sólida e robusta de 20000 "&amp;"Mah com as mesmas baterias de polímero de lítio, elas são mais seguras do que as baterias de íons de lítio, isso eu conheci ao comprar este produto- ₹ 200 Preço mais barato do que o botão Mi-Touch na parte superior para saber o status de energia (este é a"&amp;"lgo único)- Demorou menos de 1 hora para carregar minha nota 3 do Redmi de 13% a 100% no indicador de bateria de 2 células, o que é muito bom e quase equivalente ao meu carregador de parede, a melhor parte do mesmo tempo e velocidade de carregamento no me"&amp;"trô de Delhi - Eu não sei também é profissional ou confronte, os meus outros bancos de poder suportam a tecnologia Qualcomm Quick Charge 3.0, enquanto esse banco de energia suporta apenas uma cobrança rápida a 2,4 amp, mas sinto que isso cobrou meu telefo"&amp;"ne melhor e mais rápido que o MI próprio banco de energia. Sei que um telefone também deve suportar a tecnologia de carga rápida para carregar rápido, mas quando eu uso uma carga rápida no Redmi Note 7 do meu pai (que suporta QC 4.0) do Mi Power Bank ou d"&amp;"o Ambrane PP-30 Power Bank, ele meio que aquece o telefone , também flutua a energia e alterna automaticamente entre carga rápida e carregamento rápido, o que afeta a duração da bateria, por isso é mais seguro carregar o telefone na corrente ideal em 2,4 "&amp;"ampcons:- embalagens muito abafadas, parece que o banco de potência foi Forçado totalmente recheado dentro da caixa- ele tem alguma fita adesiva no topo, eu não sei por quê? O que, quando você o remove, coloca arranhões na parte superior, tome cuidado ao "&amp;"remover a mesma luz da mesma tocha, o PP-30 possui-o- apenas micro cabo dentro da caixa, definitivamente pesado, mas eu sabia disso. Vou recomendar isso, pois possui 2 slots para que possamos carregar dois telefones., Produto agradável, o backup de energi"&amp;"a é bom. Mas o cabo USB fornecido é muito ruim. Parou de funcionar após alguns meses de uso, tudo é bom, mas a bateria não durou tanto quando o uso para carregar dois dispositivos.")</f>
        <v>Comprei este banco de poder para usar durante minhas férias com a família. É resistente, mas um pouco mais pesado. Pode carregar três telefones por vez se você usar a porta USB e terceira terceira porte C para carregar. A velocidade de carregamento é boa e apropriada. A única desvantagem que experimentei é o peso do próprio banco de poder, sem essa limitação, pode ser um produto realmente incrível de comprar., Um pouco pesado, mas faz o trabalho. Leva muitooooo muito tempo para cobrar. Qualquer que seja a menção na descrição, não está correta no que diz respeito ao carregamento do PowerBank., Eu precisava de um banco de energia extra com uma capacidade maior. Então, desta vez, pensei em experimentar a Ambrane, pois já tenho Honor &amp; Mi Power Banks (10000mAh). Embora não tenha sido uma combinação perfeita para o MI ou a honra, o IIT cumpriu minhas expectativas para a faixa de 1k. ••••••••••••••••• → PowerBank → Cabo microUSB → Carry Bolsa (depende de qual pacote você recebeu, mais abaixo) → Manual do usuário/cartão de garantia → Folhetos gerais → Folhetos de feedback •••• ••••••••••••••••••••• 📝 Alguns detalhes : Outubro de 2019 → Horário de carregamento: 9 horas 50 min (via carregador de 10W, baixa indicação de bateria para carga total) → Backup: conseguiu carregar (5-100%) Redmi Note 5 Bateria de 4000mAs do Pro PRO ~ 3,5 vezes com uso regular entre . •••••••••••• ➕ Pros ••••••••••••• 1. Banco de energia de alta capacidade com entrada dupla (micro USB ou USB C) .2. Saída dupla por meio de 2 portas USB.3. Não é um dispositivo rápido de carga/carga rápida, mas possui uma saída de 5V/2.4A (12W), que é boa o suficiente.4. Botão de toque para verificações de energia ou ligue -o para o dispositivo de carregamento. Ele vem com uma bolsa de transporte. (Mais abaixo nesta parte) .6. Fator de forma compacta e design resistente com corpo ABS. Não é iniciado automaticamente quando o dispositivo está conectado. Como possui um botão de toque em vez de botão, ele ativa acidentalmente alternando-o sempre durante o manuseio. Há muita perda e backup de conversão é um pouco menor para um banco de energia de 20000mAh. ▶ Os contras são significativos o suficiente para reduzir 1 estrela. Há escopo para melhorias (pontos 1 e 2) neste produto no mesmo intervalo. Então ★★★★ Dispositivo. → 1º/2º/3º/4º LED piscando (enquanto cobra o banco de energia): status de carga em termos de número de LEDs piscando → 1/2/3/4 LEDs White Solid (enquanto carregava outros dispositivos): status da bateria restante em Termos do NO dos LEDs → Um piscar (enquanto carregava outros dispositivos): Bateria baixa → Todos os 4 brilho sólido LED: bateria totalmente carregada ••••••••••••••••••••••••••••••••••••••••••••••••••••••••••••••••••••••••••••••••••••••••••••••••••••••••••••••••••••••••••••• 🔊 Caixa de Ambrane Debate • 1. Quando recebi esse banco de energia, ele veio em uma pequena caixa (aproximadamente 12x9x3cm, MFG: agosto de 2019) com tudo forçado no espaço congestionado. O problema que eu tive neste foi que ele veio com selo aberto e sem embrulho poli em torno da caixa de produtos como se fosse um produto usado ou fosse adulterado no meio. Então, foi cético em relação à autenticidade do produto e pediu uma substituição imediatamente. → Este tinha um cabo USB C, mas sem bolsa de transporte.2. Quando a substituição veio, ele veio em uma caixa maior poli-embrulhada (22x10x4 cm, MFG: outubro de 2019) com uma manga externa e uma caixa principal dentro com uma vedação de holograma. Talvez a Ambrane tenha mudado a embalagem. O selo do holograma aqui estava intacto, mas também não foi aplicado corretamente para garantir a abertura. Parecia que foi aplicado com uma caixa aberta. Portanto, sua presença era inútil. → Este veio com cabo micro USB e uma bolsa de transporte. •••••••••••••••••••••• → Como minha bolsa de transporte de análise vem com o último lote de outubro que vem em uma caixa maior e não estava disponível no estacionamento anterior com uma pequena caixa. → O tamanho da bolsa de transporte era apropriado para o Banco de Power e eu não tive problemas para inserir o Banco de Power. (Alguns usuários relataram ter uma abertura menor, mas eu não tive problemas com isso e achei que era um ajuste adequado. Nem solto nem apertado. → sua bolsa de malha de nylon macia e é um belo complemento. ••••••••• 🏆 Verdict •••••••••••••••••• Gu no preço não é um mau negócio. É um caminho intermediário b/w de baixa qualidade e alta qualidade Você pode muito bem ir para a Ambrane, pois faz bancos de potência de boa qualidade e duráveis. Descanse, nada é perfeito neste mundo. Somente essa coisa, a política de substituição de 10 dias da Amazon e a garantia de 1 ano da Ambame estão disponíveis. ▶ Se alguém puder estender o orçamento em algumas centenas, o Mi Power Bank será uma opção melhor com um corpo metálico e melhor qualidade em geral. Eu tenho MI, Honor &amp; Ambrane Power Bank e sua classificação geral será (de baixa a alta) Ambrane → Honra → MI, estou colocando esta revisão após 1 dia de uso. Este é o segundo banco de energia que comprei da Ambrane India Geral Power Bank para minha família. Antes disso, comprei o PP-30 30000 MAH Model e também possui Mi 2i 20000 Mah Power Bank foram realmente bons, aqui estou montando todos os prós e contras que sou capaz de encontrar após 1 dia de uso e também um pouco de comparação. Meu pai usa o Redmi Note 7, minha mãe tem Mi A1 e estou usando o Redmi Note 3Pros:- Dual entrada tipo C e Micro USB Este é o principal e principal motivo de escolher esse banco de poder em vez de Mi ou outras marcas como você não T necessidade de transportar dois cabos se o seu telefone tiver entrada do tipo C, que na minha família 2 de 3 tem o mesmo e fácil de transportar e segurar, pois é muito compacto é o tamanho que devo dizer em comparação com mi ou pp-30- Capacidade sólida e robusta de 20000 Mah com as mesmas baterias de polímero de lítio, elas são mais seguras do que as baterias de íons de lítio, isso eu conheci ao comprar este produto- ₹ 200 Preço mais barato do que o botão Mi-Touch na parte superior para saber o status de energia (este é algo único)- Demorou menos de 1 hora para carregar minha nota 3 do Redmi de 13% a 100% no indicador de bateria de 2 células, o que é muito bom e quase equivalente ao meu carregador de parede, a melhor parte do mesmo tempo e velocidade de carregamento no metrô de Delhi - Eu não sei também é profissional ou confronte, os meus outros bancos de poder suportam a tecnologia Qualcomm Quick Charge 3.0, enquanto esse banco de energia suporta apenas uma cobrança rápida a 2,4 amp, mas sinto que isso cobrou meu telefone melhor e mais rápido que o MI próprio banco de energia. Sei que um telefone também deve suportar a tecnologia de carga rápida para carregar rápido, mas quando eu uso uma carga rápida no Redmi Note 7 do meu pai (que suporta QC 4.0) do Mi Power Bank ou do Ambrane PP-30 Power Bank, ele meio que aquece o telefone , também flutua a energia e alterna automaticamente entre carga rápida e carregamento rápido, o que afeta a duração da bateria, por isso é mais seguro carregar o telefone na corrente ideal em 2,4 ampcons:- embalagens muito abafadas, parece que o banco de potência foi Forçado totalmente recheado dentro da caixa- ele tem alguma fita adesiva no topo, eu não sei por quê? O que, quando você o remove, coloca arranhões na parte superior, tome cuidado ao remover a mesma luz da mesma tocha, o PP-30 possui-o- apenas micro cabo dentro da caixa, definitivamente pesado, mas eu sabia disso. Vou recomendar isso, pois possui 2 slots para que possamos carregar dois telefones., Produto agradável, o backup de energia é bom. Mas o cabo USB fornecido é muito ruim. Parou de funcionar após alguns meses de uso, tudo é bom, mas a bateria não durou tanto quando o uso para carregar dois dispositivos.</v>
      </c>
    </row>
    <row r="660">
      <c r="A660" s="9" t="s">
        <v>46</v>
      </c>
      <c r="B660" s="29" t="str">
        <f>VLOOKUP(dados!A660, reviews!A:G, 5, FALSE)</f>
        <v>Long durable.,good,Does not charge Lenovo m8 tab,Best charging cable,good,Boat,Product was good,1.5 m का केबल मेरे लिए बहुत ही लाभदायक है ।</v>
      </c>
      <c r="C660" s="29" t="str">
        <f>VLOOKUP(dados!A660, reviews!A:G, 6, FALSE)</f>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quality,1.5एम का डाटा केबल मेरे लिए बहुत ही लाभदायक है ।  मैं इस केबल को लाइन में चार्ज करते समय फोन बहुत आराम से उपयोग  कर पा रहा हु । आप इस केबल से 15watt का  चार्जर उसे कर सकते है (इससे जड़ा नही) । लोकल बाजार में इसका दाम 150 है ,  अमेजन पे ये केबल मुझे 67 में मिला । गर्व से कहो हम हिंदू है , जय हिंद जय भारत ,</v>
      </c>
      <c r="D660" s="29" t="str">
        <f>IFERROR(__xludf.DUMMYFUNCTION("GOOGLETRANSLATE(B660, ""en"", ""pt-br"")"),"Durável longo., Bom, não carrega a guia Lenovo M8, o melhor cabo de carregamento, bom, barco, produto foi bom, 1,5 m का केबल मेरे लिए बहुत ही लाभदायक है।।।")</f>
        <v>Durável longo., Bom, não carrega a guia Lenovo M8, o melhor cabo de carregamento, bom, barco, produto foi bom, 1,5 m का केबल मेरे लिए बहुत ही लाभदायक है।।।</v>
      </c>
      <c r="E660" s="29" t="str">
        <f>IFERROR(__xludf.DUMMYFUNCTION("GOOGLETRANSLATE(C660, ""en"", ""pt-br"")"),"A qualidade de construção é boa e vem com garantia de 2 anos., Bom produto, comprou para carregar meu celular e guia, mas não funciona para a guia Lenovo M8, pessoal, este cabo é melhor comparar todos sobre proteção de calor, rapidamente Carregamento, mas"&amp;" a chance de chocar o circuito, bom, agradável, de boa qualidade, 1.5 एम का डाटा केबल मेरे लिए बहुत ही लाभदायक है।।।।।।।।। मैं इस केबल को लाइन में चार्ज करते समय फोन बहुत आराम से क कर पा marca फोन आ आ। आप इस केबल से 15watt का चार्जर उसे कक सकते है (इससे ज"&amp;"ड़ा नही)। लोकल बाजार में इसका दाम 150 है, अमेजन पे ये केबल मुझे 67 में मिला। गर्व से कहो हम हिंदू है, जय हिंद जय भारत,")</f>
        <v>A qualidade de construção é boa e vem com garantia de 2 anos., Bom produto, comprou para carregar meu celular e guia, mas não funciona para a guia Lenovo M8, pessoal, este cabo é melhor comparar todos sobre proteção de calor, rapidamente Carregamento, mas a chance de chocar o circuito, bom, agradável, de boa qualidade, 1.5 एम का डाटा केबल मेरे लिए बहुत ही लाभदायक है।।।।।।।।। मैं इस केबल को लाइन में चार्ज करते समय फोन बहुत आराम से क कर पा marca फोन आ आ। आप इस केबल से 15watt का चार्जर उसे कक सकते है (इससे जड़ा नही)। लोकल बाजार में इसका दाम 150 है, अमेजन पे ये केबल मुझे 67 में मिला। गर्व से कहो हम हिंदू है, जय हिंद जय भारत,</v>
      </c>
    </row>
    <row r="661">
      <c r="A661" s="9" t="s">
        <v>2616</v>
      </c>
      <c r="B661" s="29" t="str">
        <f>VLOOKUP(dados!A661, reviews!A:G, 5, FALSE)</f>
        <v>Not bad,Good for engineers.,Good,its great !,Good,200,Good,Superb quality</v>
      </c>
      <c r="C661" s="29" t="str">
        <f>VLOOKUP(dados!A661, reviews!A:G, 6, FALSE)</f>
        <v>Good,I use this to solve my numericals and its good.,Excellent tool for kids in learning,A quality product,Good product,Product is amazing and less weight good use of it and u can go for it,Good,https://m.media-amazon.com/images/I/61uctVLMIjL._SY88.jpg</v>
      </c>
      <c r="D661" s="29" t="str">
        <f>IFERROR(__xludf.DUMMYFUNCTION("GOOGLETRANSLATE(B661, ""en"", ""pt-br"")"),"Nada mal, bom para engenheiros., Bom, é ótimo!, Bom, 200, boa, excelente qualidade")</f>
        <v>Nada mal, bom para engenheiros., Bom, é ótimo!, Bom, 200, boa, excelente qualidade</v>
      </c>
      <c r="E661" s="29" t="str">
        <f>IFERROR(__xludf.DUMMYFUNCTION("GOOGLETRANSLATE(C661, ""en"", ""pt-br"")"),"Bom, eu uso isso para resolver meus numéricos e é bom., Excelente ferramenta para crianças no aprendizado, um produto de qualidade, bom produto, produto é incrível e menos peso bom uso dele e você pode ir em frente, bom, https:/ /m.media-mazon.com/images/"&amp;"i/61uctvlmijl._sy88.jpg")</f>
        <v>Bom, eu uso isso para resolver meus numéricos e é bom., Excelente ferramenta para crianças no aprendizado, um produto de qualidade, bom produto, produto é incrível e menos peso bom uso dele e você pode ir em frente, bom, https:/ /m.media-mazon.com/images/i/61uctvlmijl._sy88.jpg</v>
      </c>
    </row>
    <row r="662">
      <c r="A662" s="9" t="s">
        <v>2620</v>
      </c>
      <c r="B662" s="29" t="str">
        <f>VLOOKUP(dados!A662, reviews!A:G, 5, FALSE)</f>
        <v>Average:/ Works but light is not that attractive.,Photo graphy,Easy to use,Easy to handle,Easily portable,good,Quality and portability,Best Budget Ring Light</v>
      </c>
      <c r="C662" s="29" t="str">
        <f>VLOOKUP(dados!A662, reviews!A:G, 6, FALSE)</f>
        <v>Stand is good. But the light is not that bright. In photos it Feels bright but irl not that use of the light.Also setting up the light and stand takes bit of effort.Quality of stand and parts is average .I bought it for Rs 800 but I won’t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v>
      </c>
      <c r="D662" s="29" t="str">
        <f>IFERROR(__xludf.DUMMYFUNCTION("GOOGLETRANSLATE(B662, ""en"", ""pt-br"")"),"Média:/ funciona, mas a luz não é tão atraente., Fotografia, fácil de usar, fácil de manusear, facilmente portátil, boa, qualidade e portabilidade, melhor luz do anel de orçamento")</f>
        <v>Média:/ funciona, mas a luz não é tão atraente., Fotografia, fácil de usar, fácil de manusear, facilmente portátil, boa, qualidade e portabilidade, melhor luz do anel de orçamento</v>
      </c>
      <c r="E662" s="29" t="str">
        <f>IFERROR(__xludf.DUMMYFUNCTION("GOOGLETRANSLATE(C662, ""en"", ""pt-br"")"),"Stand é bom. Mas a luz não é tão brilhante. Nas fotos, parece brilhante, mas não é o uso da luz. Além disso, a configuração da luz e do suporte é de esforço. Mesmo uma rupia mais de Rs 400 para isso., bom produto, eu gostei, pois é fácil de usar e útil pa"&amp;"ra clicar em melhores imagens, fácil de lidar ... Bom nesse segmento de preços, eu realmente gostei de sua portabilidade, pois podemos levar isso para outro lugar facilmente,")</f>
        <v>Stand é bom. Mas a luz não é tão brilhante. Nas fotos, parece brilhante, mas não é o uso da luz. Além disso, a configuração da luz e do suporte é de esforço. Mesmo uma rupia mais de Rs 400 para isso., bom produto, eu gostei, pois é fácil de usar e útil para clicar em melhores imagens, fácil de lidar ... Bom nesse segmento de preços, eu realmente gostei de sua portabilidade, pois podemos levar isso para outro lugar facilmente,</v>
      </c>
    </row>
    <row r="663">
      <c r="A663" s="9" t="s">
        <v>2627</v>
      </c>
      <c r="B663" s="29" t="str">
        <f>VLOOKUP(dados!A663, reviews!A:G, 5, FALSE)</f>
        <v>Wow,Good,Nice product with some issues with the battery port,Worthy,Good product,Ok but large size,Value for money,3 years warrenty vs 1 year</v>
      </c>
      <c r="C663" s="29" t="str">
        <f>VLOOKUP(dados!A663, reviews!A:G, 6, FALSE)</f>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v>
      </c>
      <c r="D663" s="29" t="str">
        <f>IFERROR(__xludf.DUMMYFUNCTION("GOOGLETRANSLATE(B663, ""en"", ""pt-br"")"),"Uau, bom, bom produto com alguns problemas com a porta da bateria, digno, bom produto, ok, mas tamanho grande, valor ao dinheiro, 3 anos com garantia vs 1 ano")</f>
        <v>Uau, bom, bom produto com alguns problemas com a porta da bateria, digno, bom produto, ok, mas tamanho grande, valor ao dinheiro, 3 anos com garantia vs 1 ano</v>
      </c>
      <c r="E663" s="29" t="str">
        <f>IFERROR(__xludf.DUMMYFUNCTION("GOOGLETRANSLATE(C663, ""en"", ""pt-br"")"),"Bom portátil .. gostei .., reduzindo uma estrela como embalagem não era boa. Omouse é grande. Devido ao seu design. O único problema que descobri foi com a porta da bateria, a tampa da bateria não sai facilmente e essa é a pior parte. Além disso, a tampa "&amp;"da bateria tem alguma abertura fornecida, não sei por quê., Ok digno, bom produto, bom negócio, mas tamanho grande, barulhento durante a rolagem, na 1ª eles me enviam um adaptador usado com um adaptador que substituiu por um novo, Anteriormente, eu estava"&amp;" usando o mouse Logi M190 em tamanho normal, sua roda parou de funcionar corretamente dentro de um ano, é por isso que comprei este mouse sem fio de tamanho completo HP x200 ₹ 488, com 3 anos de guerra, os cliques são suaves no logi também aumentaram O pr"&amp;"eço de 600 a 1100, mas não adianta se não funcionar corretamente, vamos ver ...")</f>
        <v>Bom portátil .. gostei .., reduzindo uma estrela como embalagem não era boa. Omouse é grande. Devido ao seu design. O único problema que descobri foi com a porta da bateria, a tampa da bateria não sai facilmente e essa é a pior parte. Além disso, a tampa da bateria tem alguma abertura fornecida, não sei por quê., Ok digno, bom produto, bom negócio, mas tamanho grande, barulhento durante a rolagem, na 1ª eles me enviam um adaptador usado com um adaptador que substituiu por um novo, Anteriormente, eu estava usando o mouse Logi M190 em tamanho normal, sua roda parou de funcionar corretamente dentro de um ano, é por isso que comprei este mouse sem fio de tamanho completo HP x200 ₹ 488, com 3 anos de guerra, os cliques são suaves no logi também aumentaram O preço de 600 a 1100, mas não adianta se não funcionar corretamente, vamos ver ...</v>
      </c>
    </row>
    <row r="664">
      <c r="A664" s="9" t="s">
        <v>2631</v>
      </c>
      <c r="B664" s="29" t="str">
        <f>VLOOKUP(dados!A664, reviews!A:G, 5, FALSE)</f>
        <v>Very useful product - but hardware is not so sturdy,Great Customer Support,Overall a good Indian product.,Really good to help internet running during power cuts,Good product and effective customer support,Value for money,Does Not support 4 hours as per the description,No backup at all</v>
      </c>
      <c r="C664" s="29" t="str">
        <f>VLOOKUP(dados!A664, reviews!A:G, 6, FALSE)</f>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v>
      </c>
      <c r="D664" s="29" t="str">
        <f>IFERROR(__xludf.DUMMYFUNCTION("GOOGLETRANSLATE(B664, ""en"", ""pt-br"")"),"Produto muito útil - mas o hardware não é tão resistente e excelente suporte ao cliente, em geral, um bom produto indiano., Muito bom para ajudar a internet durante cortes de energia, bom produto e suporte eficaz para o cliente, valor para dinheiro, não s"&amp;"uporta 4 horas conforme a descrição, nenhum backup")</f>
        <v>Produto muito útil - mas o hardware não é tão resistente e excelente suporte ao cliente, em geral, um bom produto indiano., Muito bom para ajudar a internet durante cortes de energia, bom produto e suporte eficaz para o cliente, valor para dinheiro, não suporta 4 horas conforme a descrição, nenhum backup</v>
      </c>
      <c r="E664" s="29" t="str">
        <f>IFERROR(__xludf.DUMMYFUNCTION("GOOGLETRANSLATE(C664, ""en"", ""pt-br"")"),"Usei este produto por cerca de 4 meses e realmente não tive problemas com ele, até que notei que minha Internet parou de funcionar. Depois de verificar, descobri que o problema estava no UPS (talvez a cabo de fiação) que parou de transmissão. Entrei em co"&amp;"ntato com o atendimento ao cliente e fui assistido pelo Sr. Ankit. Ele foi muito útil e me pediu para demonstrar o problema no vídeo e tentou verificar o problema por meio de outros check -ups. Depois de determinar que o problema está no produto, ele conf"&amp;"irmou que o produto padrão substituiu e iniciou o problema e me informou sobre o tempo provisório para o mesmo. Na esperança de receber a substituição em breve para que eu possa continuar na Internet ininterrupta !!, eu tenho usado este produto nos último"&amp;"s quatro meses, durante esse mandato que não havia enfrentado sem problemas inicialmente, mas aproximadamente depois de três meses, o poder de backup começou a encolher extremamente e A menor duração foi inferior a 30 minutos, foi quando entrei em contato"&amp;" com o suporte ao cliente via WhatsApp e devo dizer que toda a experiência com a equipe de suporte ao cliente foi simplesmente surpreendente. Eles foram muito educados e prestativos ao longo do processo. Foi muito fácil para mim explicar o problema a eles"&amp;" e, no final da primeira conversa, eles organizaram um substituto para o produto, pois tem apenas 3-4 meses de idade. Eles assumiram toda a responsabilidade da questão e me enviaram um novo produto que estou usando atualmente, agora o backup que estou rec"&amp;"ebendo é de mais de 4 horas, baseado no meu uso. Então, finalmente, não tenho certeza de que frequência compro um produto Desta marca, mas nunca esquecerei o apoio que recebi desta marca. Saúde !!!, comprei o produto há 10 dias e o produto inicial não est"&amp;"ava funcionando corretamente. Mas recebi um substituto para isso. Obrigado pela resposta imediata da equipe de suporte. Gostei de carvalhos porque é um produto indiano e não um chinês. A partir de agora, está funcionando bem e não há atraso na conexão ou "&amp;"velocidade Wi-Fi. Precisa testar a capacidade de recarga quando a energia disparar. Mantê -lo atualizado após um mês novamente, verificando os resultados. Dando 4 estrelas a partir de agora., Esta é uma opção realmente boa para aqueles que estão preocupad"&amp;"os principalmente em serem cortados de reuniões/chamadas on -line devido a cortes de energia frequentes de curto prazo e não estão dispostos a gastar mais quantia comprando um inversor. Eu uso este produto há cerca de 3 meses e estou muito feliz com seu b"&amp;"ackup. Eu uso o produto há mais de um ano. Mais tarde, comprei um segundo produto para meus pais em casa e estava funcionando bem por 6 meses. No entanto, a bateria de backup parou de funcionar mais tarde e a equipe de suporte ao cliente foi rápida em res"&amp;"ponder e rapidamente me enviou o produto de substituição. O produto foi entregue muito prontamente e a embalagem foi boa. Usando este produto apenas em alguns dias e seu trabalho como esperado. Muito fácil de conectar e usar. Reservando 1 estrela pela lon"&amp;"gevidade deste produto, revisará minha classificação após um ano ou mais, dependendo da minha experiência. O dispositivo não suporta por 4 horas. Apoio apenas por 2 ou 2 horas 30 minutos no máximo em recarga completa. O produto é acessível, leve e bom. Po"&amp;"r favor, não se engane com capacidade de suporte de 4 horas. O ressonante UPS é melhor em comparação com isso., Este produto afirma dar backup por até 4 horas. Mas ele nem vai dar backup por 30 minutos. Afirmei garantia e obtive o novo produto também o me"&amp;"smo problema. Eles reiteram e dizem até 4 horas em que se mencionam claramente que ele dará backup até 1 hora não mais do que isso. Um dos piores serviços de suporte ao cliente que já vi. Os associados continuam repetindo a mesma frase ou copie o chat e n"&amp;"ão fornecem soluções. Totalmente decepcionado e desperdício de dinheiro. Nunca recomendo ninguém para comprar seu produto.")</f>
        <v>Usei este produto por cerca de 4 meses e realmente não tive problemas com ele, até que notei que minha Internet parou de funcionar. Depois de verificar, descobri que o problema estava no UPS (talvez a cabo de fiação) que parou de transmissão. Entrei em contato com o atendimento ao cliente e fui assistido pelo Sr. Ankit. Ele foi muito útil e me pediu para demonstrar o problema no vídeo e tentou verificar o problema por meio de outros check -ups. Depois de determinar que o problema está no produto, ele confirmou que o produto padrão substituiu e iniciou o problema e me informou sobre o tempo provisório para o mesmo. Na esperança de receber a substituição em breve para que eu possa continuar na Internet ininterrupta !!, eu tenho usado este produto nos últimos quatro meses, durante esse mandato que não havia enfrentado sem problemas inicialmente, mas aproximadamente depois de três meses, o poder de backup começou a encolher extremamente e A menor duração foi inferior a 30 minutos, foi quando entrei em contato com o suporte ao cliente via WhatsApp e devo dizer que toda a experiência com a equipe de suporte ao cliente foi simplesmente surpreendente. Eles foram muito educados e prestativos ao longo do processo. Foi muito fácil para mim explicar o problema a eles e, no final da primeira conversa, eles organizaram um substituto para o produto, pois tem apenas 3-4 meses de idade. Eles assumiram toda a responsabilidade da questão e me enviaram um novo produto que estou usando atualmente, agora o backup que estou recebendo é de mais de 4 horas, baseado no meu uso. Então, finalmente, não tenho certeza de que frequência compro um produto Desta marca, mas nunca esquecerei o apoio que recebi desta marca. Saúde !!!, comprei o produto há 10 dias e o produto inicial não estava funcionando corretamente. Mas recebi um substituto para isso. Obrigado pela resposta imediata da equipe de suporte. Gostei de carvalhos porque é um produto indiano e não um chinês. A partir de agora, está funcionando bem e não há atraso na conexão ou velocidade Wi-Fi. Precisa testar a capacidade de recarga quando a energia disparar. Mantê -lo atualizado após um mês novamente, verificando os resultados. Dando 4 estrelas a partir de agora., Esta é uma opção realmente boa para aqueles que estão preocupados principalmente em serem cortados de reuniões/chamadas on -line devido a cortes de energia frequentes de curto prazo e não estão dispostos a gastar mais quantia comprando um inversor. Eu uso este produto há cerca de 3 meses e estou muito feliz com seu backup. Eu uso o produto há mais de um ano. Mais tarde, comprei um segundo produto para meus pais em casa e estava funcionando bem por 6 meses. No entanto, a bateria de backup parou de funcionar mais tarde e a equipe de suporte ao cliente foi rápida em responder e rapidamente me enviou o produto de substituição. O produto foi entregue muito prontamente e a embalagem foi boa. Usando este produto apenas em alguns dias e seu trabalho como esperado. Muito fácil de conectar e usar. Reservando 1 estrela pela longevidade deste produto, revisará minha classificação após um ano ou mais, dependendo da minha experiência. O dispositivo não suporta por 4 horas. Apoio apenas por 2 ou 2 horas 30 minutos no máximo em recarga completa. O produto é acessível, leve e bom. Por favor, não se engane com capacidade de suporte de 4 horas. O ressonante UPS é melhor em comparação com isso., Este produto afirma dar backup por até 4 horas. Mas ele nem vai dar backup por 30 minutos. Afirmei garantia e obtive o novo produto também o mesmo problema. Eles reiteram e dizem até 4 horas em que se mencionam claramente que ele dará backup até 1 hora não mais do que isso. Um dos piores serviços de suporte ao cliente que já vi. Os associados continuam repetindo a mesma frase ou copie o chat e não fornecem soluções. Totalmente decepcionado e desperdício de dinheiro. Nunca recomendo ninguém para comprar seu produto.</v>
      </c>
    </row>
    <row r="665">
      <c r="A665" s="9" t="s">
        <v>2636</v>
      </c>
      <c r="B665" s="29" t="str">
        <f>VLOOKUP(dados!A665, reviews!A:G, 5, FALSE)</f>
        <v>Excellent offering from TP-Link,Signal disconnected,Bad packaging from Amazon,Good product for that money,The WiFi range got increased, compare to my old Router!,Very good router in this price segment,Good Product,Wifi router</v>
      </c>
      <c r="C665" s="29" t="str">
        <f>VLOOKUP(dados!A665, reviews!A:G, 6, FALSE)</f>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v>
      </c>
      <c r="D665" s="29" t="str">
        <f>IFERROR(__xludf.DUMMYFUNCTION("GOOGLETRANSLATE(B665, ""en"", ""pt-br"")"),"Excelente oferta de tp-link, sinal desconectado, embalagens ruins da Amazon, bom produto para esse dinheiro, a linha Wi-Fi aumentou, compare-se ao meu antigo roteador!, Muito bom roteador neste segmento de preços, bom produto, roteador Wi-Fi")</f>
        <v>Excelente oferta de tp-link, sinal desconectado, embalagens ruins da Amazon, bom produto para esse dinheiro, a linha Wi-Fi aumentou, compare-se ao meu antigo roteador!, Muito bom roteador neste segmento de preços, bom produto, roteador Wi-Fi</v>
      </c>
      <c r="E665" s="29" t="str">
        <f>IFERROR(__xludf.DUMMYFUNCTION("GOOGLETRANSLATE(C665, ""en"", ""pt-br"")"),"Meu combo de modem-router fornecido pelo ISP está em outro local da casa, e eu estava recebendo gotas de velocidade em 5 GHz quando estava do outro lado da casa [como era esperado]. Então, decidi comprar este roteador para usar como ponto de acesso. A con"&amp;"figuração é bem direta, desde que você saiba o que está fazendo. Como é mencionado na página do produto, este roteador vem com dois modos - modo de roteador e modo de ponto de acesso. Se você o estiver usando, além do seu ISP, fornecido com modem-router, "&amp;"sugiro usá-lo apenas no modo de ponto de acesso. O intervalo e as velocidades estão funcionando melhor do que eu esperava pelo preço-certamente melhor do que o roteador que o ISP fornece. O roteador vem com um cabo LAN, mas a qualidade do cabo não é muito"&amp;" inspiradora. Os LEDs na frente podem ser configurados através do aplicativo Tether para desligar em horários específicos, o que é um recurso interessante. Além disso, achei o aplicativo Tether ser bastante inútil. Ele não especifica a identidade do dispo"&amp;"sitivo por algum motivo, apenas mostra o IP e o ""desconhecido"", até que você renomeie o dispositivo. Às vezes, nem sequer liste todos os dispositivos conectados. Eu acho que é melhor usar as configurações do roteador do próprio navegador, se você quiser"&amp;" se aprofundar nas configurações. Gostaria de adicionar mais uma coisa no final. Este roteador parece muito liso, e acho que não recebeu créditos suficientes para isso. Mantido na mesa, ou mesmo pendurado na parede, parece e parece premium pelo preço - e "&amp;"isso é um acréscimo a todos os recursos incríveis que ele tem., O roteador recebe algum tempo desconectado automático, mesmo que esteja conectado à Internet, eu Não tenha nenhum problema com o roteador, mas com certeza com o método de embalagem da Amazon "&amp;"BCZ Nenhum saco de papel ou qualquer coisa foi usada, era apenas a caixa, um bom produto para esse preço. Boa faixa, até agora tudo parece bom, atualizará a revisão após alguns meses de uso!, Awasome Experience, vá em frente sem qualquer hasse, assistênci"&amp;"a também muito boa., Altamente recomendado para comprar, em geral uma boa compra, você irá Nunca se reúna depois de comprá -lo., a força do sinal pode ser melhorada ainda mais.")</f>
        <v>Meu combo de modem-router fornecido pelo ISP está em outro local da casa, e eu estava recebendo gotas de velocidade em 5 GHz quando estava do outro lado da casa [como era esperado]. Então, decidi comprar este roteador para usar como ponto de acesso. A configuração é bem direta, desde que você saiba o que está fazendo. Como é mencionado na página do produto, este roteador vem com dois modos - modo de roteador e modo de ponto de acesso. Se você o estiver usando, além do seu ISP, fornecido com modem-router, sugiro usá-lo apenas no modo de ponto de acesso. O intervalo e as velocidades estão funcionando melhor do que eu esperava pelo preço-certamente melhor do que o roteador que o ISP fornece. O roteador vem com um cabo LAN, mas a qualidade do cabo não é muito inspiradora. Os LEDs na frente podem ser configurados através do aplicativo Tether para desligar em horários específicos, o que é um recurso interessante. Além disso, achei o aplicativo Tether ser bastante inútil. Ele não especifica a identidade do dispositivo por algum motivo, apenas mostra o IP e o "desconhecido", até que você renomeie o dispositivo. Às vezes, nem sequer liste todos os dispositivos conectados. Eu acho que é melhor usar as configurações do roteador do próprio navegador, se você quiser se aprofundar nas configurações. Gostaria de adicionar mais uma coisa no final. Este roteador parece muito liso, e acho que não recebeu créditos suficientes para isso. Mantido na mesa, ou mesmo pendurado na parede, parece e parece premium pelo preço - e isso é um acréscimo a todos os recursos incríveis que ele tem., O roteador recebe algum tempo desconectado automático, mesmo que esteja conectado à Internet, eu Não tenha nenhum problema com o roteador, mas com certeza com o método de embalagem da Amazon BCZ Nenhum saco de papel ou qualquer coisa foi usada, era apenas a caixa, um bom produto para esse preço. Boa faixa, até agora tudo parece bom, atualizará a revisão após alguns meses de uso!, Awasome Experience, vá em frente sem qualquer hasse, assistência também muito boa., Altamente recomendado para comprar, em geral uma boa compra, você irá Nunca se reúna depois de comprá -lo., a força do sinal pode ser melhorada ainda mais.</v>
      </c>
    </row>
    <row r="666">
      <c r="A666" s="9" t="s">
        <v>2642</v>
      </c>
      <c r="B666" s="29" t="str">
        <f>VLOOKUP(dados!A666, reviews!A:G, 5, FALSE)</f>
        <v>Good but check the below mentioned things,Going to buy it again,Decent headphone,Good quality headphones,waste of money,Best product in this prize range. And the colour looks fabulous.,Size,After 1 year of usage</v>
      </c>
      <c r="C666" s="29" t="str">
        <f>VLOOKUP(dados!A666, reviews!A:G, 6, FALSE)</f>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v>
      </c>
      <c r="D666" s="29" t="str">
        <f>IFERROR(__xludf.DUMMYFUNCTION("GOOGLETRANSLATE(B666, ""en"", ""pt-br"")"),"Bom, mas verifique as coisas abaixo mencionadas, comprá -lo novamente, fone de ouvido decente, fones de ouvido de boa qualidade, desperdício de dinheiro, melhor produto nessa faixa de prêmios. E a cor parece fabulosa., Tamanho, após 1 ano de uso")</f>
        <v>Bom, mas verifique as coisas abaixo mencionadas, comprá -lo novamente, fone de ouvido decente, fones de ouvido de boa qualidade, desperdício de dinheiro, melhor produto nessa faixa de prêmios. E a cor parece fabulosa., Tamanho, após 1 ano de uso</v>
      </c>
      <c r="E666" s="29" t="str">
        <f>IFERROR(__xludf.DUMMYFUNCTION("GOOGLETRANSLATE(C666, ""en"", ""pt-br"")"),"O produto foi recebido sem danificado e selo intacto. Chegando ao produto, comprei a edição Jazzy Blue Sunburn Edition.Pros: Battery é boa, usada como aberta da mochila, mantinha-se bem por cerca de 10 horas em 4 dias e a carga ainda é com a esquerda- bai"&amp;"xo sensível e bons médios, bem como baixos , não que eu possa discernir entre eles. As chances minúsculas de substituí -lo por uma cor adequada se uma pessoa é do tipo de corpo quente (emite calor ou mais quente do que normal) Há maiores chances de sentir"&amp;" calor nos seus ouvidos, pois ouvi o material apenas reflete o calor de volta aos ouvidos. Isso é simplesmente desconfortável para mim. Além disso, a construção parece muito frágil e de plástico. 2 meses, hoje quebrou. Após 6 meses de uso, o revestimento "&amp;"vermelho começou a descascar. Mas o dispositivo não mostrou problemas. O som é claro, equilibrado, não muito HOGH, mas o grave suficiente, o bom backup de bateria, as cargas mais rápidas, o AUX está disponível. Desvantagem é que você não pode dobrá -lo. P"&amp;"lanejando comprá -lo novamente, pois eu acho que é o melhor em segmento. Agora, a taxa aumentou para 1799., a primeira coisa que quero dizer é que o fone de ouvido é realmente volumoso. Não notei os primeiros dias de uso, mas eventualmente dá dor no ombro"&amp;" se usada por um longo período de tempo (3-4 horas), a qualidade do som é boa. Não tenha nenhum baixo, o ANC não está presente neste fone de ouvido. É um fone de ouvido decente para fins casuais. Se você é um amante da música ou usa seu fone de ouvido por"&amp;" um período mais longo, acho que você deve investir em outras opções, o que é leve e tem o ANC neles., Tudo é ótimo em produtos de barco. Entregue em dois dias. O cancelamento de inútil é ótimo. A conectividade Bluetooth é boa. Algo que leva tempo para se"&amp;" conectar. Se você planeja comprar, essa seria uma ótima opção., Em detalhes, foi escrito que ele possui um recurso de isolamento de ruído físico, mas quando chegou, eu não observei como esse recurso, comprei -o para fins de estudo que o motivo pelo qual "&amp;"Eu estava procurando esse recurso, mas o achei como um desperdício de dinheiro., Às vezes ... o som não funciona. Você precisa diminuir o volume para zero e depois aumentar novamente para ouvir o som. Bu isso acontece apenas 1 em 10 vezes. A qualidade de "&amp;"construção é boa, possui isolamento físico de noice, acolchoado macio, confortável, mas o baixo pode ser melhor, caso contrário, tudo está bem, melhor para academia, estudo, palestras on -line, entretenimento etc. Por favor, vá em frente 🥂👍🏻, fones de "&amp;"ouvido de boa qualidade na categoria de ouvido. Som de boa qualidade, mas tem menos baixo, como o outro diz, mas é decente. Boa qualidade do microfone para reuniões, mas não possui nenhum recurso de cancelamento de ruído. Sinto que, após 3-4 horas de uso "&amp;"constante, esses fones de ouvido se sentem ponderados no pescoço.")</f>
        <v>O produto foi recebido sem danificado e selo intacto. Chegando ao produto, comprei a edição Jazzy Blue Sunburn Edition.Pros: Battery é boa, usada como aberta da mochila, mantinha-se bem por cerca de 10 horas em 4 dias e a carga ainda é com a esquerda- baixo sensível e bons médios, bem como baixos , não que eu possa discernir entre eles. As chances minúsculas de substituí -lo por uma cor adequada se uma pessoa é do tipo de corpo quente (emite calor ou mais quente do que normal) Há maiores chances de sentir calor nos seus ouvidos, pois ouvi o material apenas reflete o calor de volta aos ouvidos. Isso é simplesmente desconfortável para mim. Além disso, a construção parece muito frágil e de plástico. 2 meses, hoje quebrou. Após 6 meses de uso, o revestimento vermelho começou a descascar. Mas o dispositivo não mostrou problemas. O som é claro, equilibrado, não muito HOGH, mas o grave suficiente, o bom backup de bateria, as cargas mais rápidas, o AUX está disponível. Desvantagem é que você não pode dobrá -lo. Planejando comprá -lo novamente, pois eu acho que é o melhor em segmento. Agora, a taxa aumentou para 1799., a primeira coisa que quero dizer é que o fone de ouvido é realmente volumoso. Não notei os primeiros dias de uso, mas eventualmente dá dor no ombro se usada por um longo período de tempo (3-4 horas), a qualidade do som é boa. Não tenha nenhum baixo, o ANC não está presente neste fone de ouvido. É um fone de ouvido decente para fins casuais. Se você é um amante da música ou usa seu fone de ouvido por um período mais longo, acho que você deve investir em outras opções, o que é leve e tem o ANC neles., Tudo é ótimo em produtos de barco. Entregue em dois dias. O cancelamento de inútil é ótimo. A conectividade Bluetooth é boa. Algo que leva tempo para se conectar. Se você planeja comprar, essa seria uma ótima opção., Em detalhes, foi escrito que ele possui um recurso de isolamento de ruído físico, mas quando chegou, eu não observei como esse recurso, comprei -o para fins de estudo que o motivo pelo qual Eu estava procurando esse recurso, mas o achei como um desperdício de dinheiro., Às vezes ... o som não funciona. Você precisa diminuir o volume para zero e depois aumentar novamente para ouvir o som. Bu isso acontece apenas 1 em 10 vezes. A qualidade de construção é boa, possui isolamento físico de noice, acolchoado macio, confortável, mas o baixo pode ser melhor, caso contrário, tudo está bem, melhor para academia, estudo, palestras on -line, entretenimento etc. Por favor, vá em frente 🥂👍🏻, fones de ouvido de boa qualidade na categoria de ouvido. Som de boa qualidade, mas tem menos baixo, como o outro diz, mas é decente. Boa qualidade do microfone para reuniões, mas não possui nenhum recurso de cancelamento de ruído. Sinto que, após 3-4 horas de uso constante, esses fones de ouvido se sentem ponderados no pescoço.</v>
      </c>
    </row>
    <row r="667">
      <c r="A667" s="9" t="s">
        <v>2648</v>
      </c>
      <c r="B667" s="29" t="str">
        <f>VLOOKUP(dados!A667, reviews!A:G, 5, FALSE)</f>
        <v>Best buy you will not regret,Fantastic product,Nice,Worth of money,It's working realy well and i am satisfied with the result,Good Earphones base and sound quality is good,Value for money,Very Good Product</v>
      </c>
      <c r="C667" s="29" t="str">
        <f>VLOOKUP(dados!A667, reviews!A:G, 6, FALSE)</f>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v>
      </c>
      <c r="D667" s="29" t="str">
        <f>IFERROR(__xludf.DUMMYFUNCTION("GOOGLETRANSLATE(B667, ""en"", ""pt-br"")"),"Best Buy Você não se arrependerá, produto fantástico, bom, valor de dinheiro, está funcionando muito bem e estou satisfeito com o resultado, bons fones de ouvido e qualidade de som é boa, valor para dinheiro, produto muito bom")</f>
        <v>Best Buy Você não se arrependerá, produto fantástico, bom, valor de dinheiro, está funcionando muito bem e estou satisfeito com o resultado, bons fones de ouvido e qualidade de som é boa, valor para dinheiro, produto muito bom</v>
      </c>
      <c r="E667" s="29" t="str">
        <f>IFERROR(__xludf.DUMMYFUNCTION("GOOGLETRANSLATE(C667, ""en"", ""pt-br"")"),"Os fones de ouvido Mi soam ótimos para o cabo precedente é coberto com fibras de kevlarthe mi fones de ouvido custam Rs. A 699xiaomi conquistou uma reputação merecida por produzir smartphones de alta qualidade com especificações poderosas a preços acessív"&amp;"eis. O mesmo se aplica à diversidade de acessórios da empresa. Eles têm preços competitivos e geralmente fornecem um enorme valor pelo Money.xiaomi lançou recentemente dois novos pares de fones de ouvido orçamentários na forma dos fones de ouvido do Mi Ea"&amp;"rs Basic e Mi, e temos o último hoje. Com um controle remoto e microfone embutido de três botões, um cabo de fibra Kevlar, câmaras de som de metal e um plugue de ângulo direito, os fones de ouvido Mi parecem bastante promissores no papel. Colocamos esse p"&amp;"ar através de nossos testes para ver se essa promessa realmente se traduz em desempenho do mundo real. Dito isto, a qualidade da construção é realmente impressionante, com arredores de TPE de alta qualidade perto do plugue e dos fones de ouvido de 3,5 mm."&amp;" A caixa é o mais básico possível. Não há caso e nenhum extrás a ser encontrado dentro - apenas os fones de ouvido, um guia curto e doce do usuário e dois conjuntos extras de dicas (grandes e extras). O cabo está longe de ser comum. É trançado na fibra Ke"&amp;"vlar, que não apenas evita emaranhada, mas também parece e se sente premium. A caixa é o mais básica possível. Não há caso e nenhum extrás a ser encontrado dentro - apenas os fones de ouvido, um guia curto e doce do usuário e dois conjuntos extras de dica"&amp;"s (grandes e extras). O cabo está longe de ser comum. É trançado na fibra Kevlar, que não apenas evita emaranhada, mas também parece e parece premium. ATUALIZADO: 25 de abril de 2018 16:12 ISTHLIGHTHO MI EARPONELOS SONOS ÓTIMOS PARA O CABO DE PRICETHE é c"&amp;"oberto na fibra Kevlarthe Mi Earhones custam Rs. 699Xiaomi Mi Ear Earhones ReviewSubScriptExiaomi conquistou uma reputação merecida por produzir smartphones de alta qualidade com especificações poderosas a preços acessíveis. O mesmo se aplica à diversidad"&amp;"e de acessórios da empresa. Eles têm preços competitivos e geralmente fornecem um enorme valor pelo Money.xiaomi lançou recentemente dois novos pares de fones de ouvido orçamentários na forma dos fones de ouvido do Mi Ears Basic e Mi, e temos o último hoj"&amp;"e. Com um controle remoto e microfone embutido de três botões, um cabo de fibra Kevlar, câmaras de som de metal e um plugue de ângulo direito, os fones de ouvido Mi parecem bastante promissores no papel. Colocamos esse par através de nossos testes para ve"&amp;"r se essa promessa realmente se traduz em desempenho do mundo real. Dito isto, a qualidade da construção é realmente bastante impressionante, com arredores de TPE de alta qualidade perto do plugue e dos fones de ouvido de 3,5 mm. Não há caso e nenhum extr"&amp;"ás a ser encontrado dentro - apenas os fones de ouvido, um guia curto e doce do usuário e dois conjuntos extras de dicas (grandes e extras). O cabo está longe de ser comum. É trançado na fibra Kevlar, que não apenas evita emaranhamento, mas também parece "&amp;"e parece premium.xiaomi mi fones de ouvido em linha1 xiaomi mi fones de ouvido em linha 1 Enquanto os fones de ouvido Mi parecem bastante indefinidos em geral, há alguns escrivões de design, como um acabamento metálico texturizado na parte traseira na par"&amp;"te traseira do fone de ouvido, e o cabo kevlar de fibra kevlar mencionado. Fones de ouvido Bluetooth (branco) Xiaomi Mi 2 True Wireless Bluetooth Earles (White) ₹ 2.999 (45% de desconto) Amazonbuyxiaomi Redmi Earbuds sem fio Bluetooth Ponetos de ouvido se"&amp;"m fio (preto) Xiaomi Redmi Earbuds S sem fio Bluetooth Fotos (Black) ₹ 1. 100 fones de ouvido com fio (rosa de taffy) Bassheads de barcos 100 fones de ouvido com fio (rosa de taffy) ₹ 379 (62%) 6 GB de RAM, 128 GB) - Power Blackpoco M3 (6 GB de RAM, 128 G"&amp;"B) - Power Black ₹ 11.999 (20% de desconto) FlipkartBuyat A apenas 14g, os fones de ouvido pesam quase nada e são extremamente confortáveis. As caixas são caixas de formato ergonomicamente e angulares a 45 graus. Eles não caem facilmente dos ouvidos, mesm"&amp;"o durante atividades intensas. As dicas de silicone não são nada para escrever, mas isso é esperado considerando o preço. Há um controle remoto em linha de três botões com microfone localizado logo abaixo do fone de ouvido direito, que pode ser usado para"&amp;" atender chamadas, controlar a reprodução da música e acionar o Assistente de voz no seu smartphone. Os botões em si são bastante piegas e difíceis de distinguir entre o toque. processo de etapa. Marketing Fluff de lado, como os fones de ouvido realmente "&amp;"parecem? Simplificando: surpreendentemente decente para os fones de ouvido que custam menos do que um bom jantar para dois. Enquanto a maioria dos fones de ouvido nessa faixa de preço possui graves infelizes que domina o restante da faixa de frequência, a"&amp;" resposta dos graves nos fones de ouvido do Mi é controlada e restrita. Não sobrecarrega a assinatura do som ou sufocam os máximos. Dito isto, Bassheads ficará um pouco querendo um pouco. É surpreendente saber que as altas estão presentes e distintas na m"&amp;"istura de som, embora às vezes sejam avassaladoras. Os médios são levemente reprimidos, o que é evidente em gêneros vocais pesados, como o blues. Embora a clareza em oferta seja decente para o preço, músicas com muitas camadas de instrumentação são abafad"&amp;"as e barulhentas. Isso é mais evidente em gêneros complexos, como rocha e metal, nos quais os fones de ouvido soam severos e os médios são enterrados pelos agudos e baixo., Este conjunto de fones de ouvido é fantástico. E merecedor de dinheiro. Eu o usei "&amp;"por um tempo em 2022 e agora estou comprando mais uma vez em 2023. Na minha perspectiva, o fone de ouvido Mi tem boa música e é fácil de usar., Bom, bom, bom produto. é decentdon não espere experiência musical pesada, é algum dia desconfortável, mas tudo "&amp;"bem, eu posso me ajustar, sério se você é um amante de baixo, então você pode ir em frente. Mas é a qualidade construída não é boa, ela danificará automaticamente após 3-4 meses, não é adequado para usos difíceis., adquiri por menos de 300rs. Não decepcio"&amp;"nado. Se você compará -lo com outras marcas como o barco, a qualidade do som não é tão boa quanto os contemporâneos. Mas pelo preço que paguei, não estou desapontado. O baixo é sólido. O cancelamento de ruído é média e os fones de ouvido têm um pouco de v"&amp;"olume, pode ter sido mais alto.")</f>
        <v>Os fones de ouvido Mi soam ótimos para o cabo precedente é coberto com fibras de kevlarthe mi fones de ouvido custam Rs. A 699xiaomi conquistou uma reputação merecida por produzir smartphones de alta qualidade com especificações poderosas a preços acessíveis. O mesmo se aplica à diversidade de acessórios da empresa. Eles têm preços competitivos e geralmente fornecem um enorme valor pelo Money.xiaomi lançou recentemente dois novos pares de fones de ouvido orçamentários na forma dos fones de ouvido do Mi Ears Basic e Mi, e temos o último hoje. Com um controle remoto e microfone embutido de três botões, um cabo de fibra Kevlar, câmaras de som de metal e um plugue de ângulo direito, os fones de ouvido Mi parecem bastante promissores no papel. Colocamos esse par através de nossos testes para ver se essa promessa realmente se traduz em desempenho do mundo real. Dito isto, a qualidade da construção é realmente impressionante, com arredores de TPE de alta qualidade perto do plugue e dos fones de ouvido de 3,5 mm. A caixa é o mais básico possível. Não há caso e nenhum extrás a ser encontrado dentro - apenas os fones de ouvido, um guia curto e doce do usuário e dois conjuntos extras de dicas (grandes e extras). O cabo está longe de ser comum. É trançado na fibra Kevlar, que não apenas evita emaranhada, mas também parece e se sente premium. A caixa é o mais básica possível. Não há caso e nenhum extrás a ser encontrado dentro - apenas os fones de ouvido, um guia curto e doce do usuário e dois conjuntos extras de dicas (grandes e extras). O cabo está longe de ser comum. É trançado na fibra Kevlar, que não apenas evita emaranhada, mas também parece e parece premium. ATUALIZADO: 25 de abril de 2018 16:12 ISTHLIGHTHO MI EARPONELOS SONOS ÓTIMOS PARA O CABO DE PRICETHE é coberto na fibra Kevlarthe Mi Earhones custam Rs. 699Xiaomi Mi Ear Earhones ReviewSubScriptExiaomi conquistou uma reputação merecida por produzir smartphones de alta qualidade com especificações poderosas a preços acessíveis. O mesmo se aplica à diversidade de acessórios da empresa. Eles têm preços competitivos e geralmente fornecem um enorme valor pelo Money.xiaomi lançou recentemente dois novos pares de fones de ouvido orçamentários na forma dos fones de ouvido do Mi Ears Basic e Mi, e temos o último hoje. Com um controle remoto e microfone embutido de três botões, um cabo de fibra Kevlar, câmaras de som de metal e um plugue de ângulo direito, os fones de ouvido Mi parecem bastante promissores no papel. Colocamos esse par através de nossos testes para ver se essa promessa realmente se traduz em desempenho do mundo real. Dito isto, a qualidade da construção é realmente bastante impressionante, com arredores de TPE de alta qualidade perto do plugue e dos fones de ouvido de 3,5 mm. Não há caso e nenhum extrás a ser encontrado dentro - apenas os fones de ouvido, um guia curto e doce do usuário e dois conjuntos extras de dicas (grandes e extras). O cabo está longe de ser comum. É trançado na fibra Kevlar, que não apenas evita emaranhamento, mas também parece e parece premium.xiaomi mi fones de ouvido em linha1 xiaomi mi fones de ouvido em linha 1 Enquanto os fones de ouvido Mi parecem bastante indefinidos em geral, há alguns escrivões de design, como um acabamento metálico texturizado na parte traseira na parte traseira do fone de ouvido, e o cabo kevlar de fibra kevlar mencionado. Fones de ouvido Bluetooth (branco) Xiaomi Mi 2 True Wireless Bluetooth Earles (White) ₹ 2.999 (45% de desconto) Amazonbuyxiaomi Redmi Earbuds sem fio Bluetooth Ponetos de ouvido sem fio (preto) Xiaomi Redmi Earbuds S sem fio Bluetooth Fotos (Black) ₹ 1. 100 fones de ouvido com fio (rosa de taffy) Bassheads de barcos 100 fones de ouvido com fio (rosa de taffy) ₹ 379 (62%) 6 GB de RAM, 128 GB) - Power Blackpoco M3 (6 GB de RAM, 128 GB) - Power Black ₹ 11.999 (20% de desconto) FlipkartBuyat A apenas 14g, os fones de ouvido pesam quase nada e são extremamente confortáveis. As caixas são caixas de formato ergonomicamente e angulares a 45 graus. Eles não caem facilmente dos ouvidos, mesmo durante atividades intensas. As dicas de silicone não são nada para escrever, mas isso é esperado considerando o preço. Há um controle remoto em linha de três botões com microfone localizado logo abaixo do fone de ouvido direito, que pode ser usado para atender chamadas, controlar a reprodução da música e acionar o Assistente de voz no seu smartphone. Os botões em si são bastante piegas e difíceis de distinguir entre o toque. processo de etapa. Marketing Fluff de lado, como os fones de ouvido realmente parecem? Simplificando: surpreendentemente decente para os fones de ouvido que custam menos do que um bom jantar para dois. Enquanto a maioria dos fones de ouvido nessa faixa de preço possui graves infelizes que domina o restante da faixa de frequência, a resposta dos graves nos fones de ouvido do Mi é controlada e restrita. Não sobrecarrega a assinatura do som ou sufocam os máximos. Dito isto, Bassheads ficará um pouco querendo um pouco. É surpreendente saber que as altas estão presentes e distintas na mistura de som, embora às vezes sejam avassaladoras. Os médios são levemente reprimidos, o que é evidente em gêneros vocais pesados, como o blues. Embora a clareza em oferta seja decente para o preço, músicas com muitas camadas de instrumentação são abafadas e barulhentas. Isso é mais evidente em gêneros complexos, como rocha e metal, nos quais os fones de ouvido soam severos e os médios são enterrados pelos agudos e baixo., Este conjunto de fones de ouvido é fantástico. E merecedor de dinheiro. Eu o usei por um tempo em 2022 e agora estou comprando mais uma vez em 2023. Na minha perspectiva, o fone de ouvido Mi tem boa música e é fácil de usar., Bom, bom, bom produto. é decentdon não espere experiência musical pesada, é algum dia desconfortável, mas tudo bem, eu posso me ajustar, sério se você é um amante de baixo, então você pode ir em frente. Mas é a qualidade construída não é boa, ela danificará automaticamente após 3-4 meses, não é adequado para usos difíceis., adquiri por menos de 300rs. Não decepcionado. Se você compará -lo com outras marcas como o barco, a qualidade do som não é tão boa quanto os contemporâneos. Mas pelo preço que paguei, não estou desapontado. O baixo é sólido. O cancelamento de ruído é média e os fones de ouvido têm um pouco de volume, pode ter sido mais alto.</v>
      </c>
    </row>
    <row r="668">
      <c r="A668" s="9" t="s">
        <v>2652</v>
      </c>
      <c r="B668" s="29" t="str">
        <f>VLOOKUP(dados!A668, reviews!A:G, 5, FALSE)</f>
        <v>Good,Kids love this,Simply superb,Happy,Good,Nice gift for toddlers..... Good for elders too, to mak notes,Nice,Useful</v>
      </c>
      <c r="C668" s="29" t="str">
        <f>VLOOKUP(dados!A668, reviews!A:G, 6, FALSE)</f>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v>
      </c>
      <c r="D668" s="29" t="str">
        <f>IFERROR(__xludf.DUMMYFUNCTION("GOOGLETRANSLATE(B668, ""en"", ""pt-br"")"),"Bom, as crianças adoram isso, simplesmente excelente, feliz, bom e bom presente para crianças ..... bom para os anciãos também, para fazer notas, bom, útil")</f>
        <v>Bom, as crianças adoram isso, simplesmente excelente, feliz, bom e bom presente para crianças ..... bom para os anciãos também, para fazer notas, bom, útil</v>
      </c>
      <c r="E668" s="29" t="str">
        <f>IFERROR(__xludf.DUMMYFUNCTION("GOOGLETRANSLATE(C668, ""en"", ""pt-br"")"),"Gadget de melhor educação para crianças, o brilho precisa melhorar, agradável, bom, gostado por crianças, sem complicações, sem poeira. A cor da edição não importa muito, mas funcionar é bom, então é bom .. !!")</f>
        <v>Gadget de melhor educação para crianças, o brilho precisa melhorar, agradável, bom, gostado por crianças, sem complicações, sem poeira. A cor da edição não importa muito, mas funcionar é bom, então é bom .. !!</v>
      </c>
    </row>
    <row r="669">
      <c r="A669" s="9" t="s">
        <v>2656</v>
      </c>
      <c r="B669" s="29" t="str">
        <f>VLOOKUP(dados!A669, reviews!A:G, 5, FALSE)</f>
        <v>Keys got hard after 2 months usage.,Temporary buy value for money daily use,Guys please don't buy cheap keyboards online,keys are clustered,Good,Good product,Don't buy these types of keyboards for typing purpose,Nice</v>
      </c>
      <c r="C669" s="29" t="str">
        <f>VLOOKUP(dados!A669, reviews!A:G, 6, FALSE)</f>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v>
      </c>
      <c r="D669" s="29" t="str">
        <f>IFERROR(__xludf.DUMMYFUNCTION("GOOGLETRANSLATE(B669, ""en"", ""pt-br"")"),"As chaves ficaram difíceis após o uso de 2 meses., Compra temporária de valor")</f>
        <v>As chaves ficaram difíceis após o uso de 2 meses., Compra temporária de valor</v>
      </c>
      <c r="E669" s="29" t="str">
        <f>IFERROR(__xludf.DUMMYFUNCTION("GOOGLETRANSLATE(C669, ""en"", ""pt-br"")"),"O produto é muito bom. Keya é ergonômico. Depois de usá -lo por 2 meses, as chaves estão começando a ficar difíceis. Vamos ver como ele funciona no futuro, para o uso diário de valor para a digitação normal é uma boa tecla da barra de espaço não é pressio"&amp;"nada corretamente, bem para comprar produtos baratos, quero dizer Não é um teclado ruim, mas eu posso obter o mesmo teclado na loja local por preço barato sem pagar pela entrega. Por favor, considere isso antes de comprar. Depois de usar placas padrão com"&amp;"o a Logitech, isso parece ser com lacunas estreitas entre as teclas. Eu tenho que me ajustar e cuidadosamente não pressionar duas chaves. Mas é suave e sem ruído. Pode ser útil para iniciantes. Muito econômico, bom teclado a preço acessível, bom produto n"&amp;"esse orçamento, mas não é bom para jogos, teclado muito básico, para fins de digitação seu desperdício de dinheiro, em vez de optar por um teclado mecânico, legal")</f>
        <v>O produto é muito bom. Keya é ergonômico. Depois de usá -lo por 2 meses, as chaves estão começando a ficar difíceis. Vamos ver como ele funciona no futuro, para o uso diário de valor para a digitação normal é uma boa tecla da barra de espaço não é pressionada corretamente, bem para comprar produtos baratos, quero dizer Não é um teclado ruim, mas eu posso obter o mesmo teclado na loja local por preço barato sem pagar pela entrega. Por favor, considere isso antes de comprar. Depois de usar placas padrão como a Logitech, isso parece ser com lacunas estreitas entre as teclas. Eu tenho que me ajustar e cuidadosamente não pressionar duas chaves. Mas é suave e sem ruído. Pode ser útil para iniciantes. Muito econômico, bom teclado a preço acessível, bom produto nesse orçamento, mas não é bom para jogos, teclado muito básico, para fins de digitação seu desperdício de dinheiro, em vez de optar por um teclado mecânico, legal</v>
      </c>
    </row>
    <row r="670">
      <c r="A670" s="9" t="s">
        <v>50</v>
      </c>
      <c r="B670" s="29" t="str">
        <f>VLOOKUP(dados!A670, reviews!A:G, 5, FALSE)</f>
        <v>Worth for money - suitable for Android auto,Good Product,Length,Nice,Original,Very good quay Cable support fast charging.,Original MI cable for charging upto 33 watt,I am veri happy with this product as it provide turbo charging.</v>
      </c>
      <c r="C670" s="29" t="str">
        <f>VLOOKUP(dados!A670, reviews!A:G, 6, FALSE)</f>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v>
      </c>
      <c r="D670" s="29" t="str">
        <f>IFERROR(__xludf.DUMMYFUNCTION("GOOGLETRANSLATE(B670, ""en"", ""pt-br"")"),"Worth for Money - Adequado para Android Auto, bom produto, comprimento, bom, original, muito bom, carregamento rápido de suporte a cabo.")</f>
        <v>Worth for Money - Adequado para Android Auto, bom produto, comprimento, bom, original, muito bom, carregamento rápido de suporte a cabo.</v>
      </c>
      <c r="E670" s="29" t="str">
        <f>IFERROR(__xludf.DUMMYFUNCTION("GOOGLETRANSLATE(C670, ""en"", ""pt-br"")"),"Valor de dinheiro - Adequado para Android Auto ... Meu propósito servido em carro ... Peguei por Rs.150, está tudo bem. Mas a embalagem não é uma boa sensação de que o vendedor deu é o cabo usado., Bom produto, bom produto, mas o custo é mais., Cabo origi"&amp;"nal, comprei este cabo em 129. Usando este cabo para Android Auto no meu carro. Funciona perfeitamente sem falha., Cabo Mi original. Cobrará até 33 watts. Consegui por Rs 150. Eu tenho um carregador de 67 watts e quero um cabo para o meu carro, então fui "&amp;"em frente. Eu verifiquei o desempenho com o aplicativo de carregamento da bateria. A velocidade de carregamento é exatamente metade do meu cabo original de 67 watts. Vá em frente., Isso me proporcionou um carregamento turbo. Eu recomendo para todos os tel"&amp;"efones celulares do Redmi Note 10s. Como fornece carregamento turbo. Estou feliz com este produto.")</f>
        <v>Valor de dinheiro - Adequado para Android Auto ... Meu propósito servido em carro ... Peguei por Rs.150, está tudo bem. Mas a embalagem não é uma boa sensação de que o vendedor deu é o cabo usado., Bom produto, bom produto, mas o custo é mais., Cabo original, comprei este cabo em 129. Usando este cabo para Android Auto no meu carro. Funciona perfeitamente sem falha., Cabo Mi original. Cobrará até 33 watts. Consegui por Rs 150. Eu tenho um carregador de 67 watts e quero um cabo para o meu carro, então fui em frente. Eu verifiquei o desempenho com o aplicativo de carregamento da bateria. A velocidade de carregamento é exatamente metade do meu cabo original de 67 watts. Vá em frente., Isso me proporcionou um carregamento turbo. Eu recomendo para todos os telefones celulares do Redmi Note 10s. Como fornece carregamento turbo. Estou feliz com este produto.</v>
      </c>
    </row>
    <row r="671">
      <c r="A671" s="9" t="s">
        <v>2661</v>
      </c>
      <c r="B671" s="29" t="str">
        <f>VLOOKUP(dados!A671, reviews!A:G, 5, FALSE)</f>
        <v>Nice,Value for money.,Compact and easy to use,Worth to buy,Clicks are hard but good allover,Good!,Avarage,Hard buttons and harder scroll wheel button</v>
      </c>
      <c r="C671" s="29" t="str">
        <f>VLOOKUP(dados!A671, reviews!A:G, 6, FALSE)</f>
        <v>Build quality cheap plastic ka h 🥲,Mouse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v>
      </c>
      <c r="D671" s="29" t="str">
        <f>IFERROR(__xludf.DUMMYFUNCTION("GOOGLETRANSLATE(B671, ""en"", ""pt-br"")"),"Bom, valor pelo dinheiro., Compacto e fácil de usar, vale a pena comprar, os cliques são difíceis, mas bons alover, bom!, Avarage, botões duros e botão de roda de rolagem mais difícil")</f>
        <v>Bom, valor pelo dinheiro., Compacto e fácil de usar, vale a pena comprar, os cliques são difíceis, mas bons alover, bom!, Avarage, botões duros e botão de roda de rolagem mais difícil</v>
      </c>
      <c r="E671" s="29" t="str">
        <f>IFERROR(__xludf.DUMMYFUNCTION("GOOGLETRANSLATE(C671, ""en"", ""pt-br"")"),"Construir qualidade de plástico barato ka h 🥲, mouse funciona sem problemas. ButtonClicks Perfeito. Um pouco difícil. Deve se tornar mais fácil depois de algum tempo, uma boa relação custo / benefício geral, compacta e fácil de usar. Botão um pouco apert"&amp;"ado para clicar. O REST é bom sem problemas, vale a pena comprar, amigável, bom!, Funcionando bem, 3 meses, o mouse funciona bem, mas os botões são muito difíceis, especialmente o botão da roda de rolagem é ainda mais difícil. A extremidade traseira do mo"&amp;"use, o lado mais rigoroso é bastante maior, portanto, parece um pouco insistente na área da palma da minha mão. Se você tem mãos suaves, é melhor explorar outras opções, se for para uso bruto, é uma boa compra.")</f>
        <v>Construir qualidade de plástico barato ka h 🥲, mouse funciona sem problemas. ButtonClicks Perfeito. Um pouco difícil. Deve se tornar mais fácil depois de algum tempo, uma boa relação custo / benefício geral, compacta e fácil de usar. Botão um pouco apertado para clicar. O REST é bom sem problemas, vale a pena comprar, amigável, bom!, Funcionando bem, 3 meses, o mouse funciona bem, mas os botões são muito difíceis, especialmente o botão da roda de rolagem é ainda mais difícil. A extremidade traseira do mouse, o lado mais rigoroso é bastante maior, portanto, parece um pouco insistente na área da palma da minha mão. Se você tem mãos suaves, é melhor explorar outras opções, se for para uso bruto, é uma boa compra.</v>
      </c>
    </row>
    <row r="672">
      <c r="A672" s="9" t="s">
        <v>2665</v>
      </c>
      <c r="B672" s="29" t="str">
        <f>VLOOKUP(dados!A672, reviews!A:G, 5, FALSE)</f>
        <v>Best quality &amp; value for money,Great sound quality,Atif,Value for money,Good one at this price range,Good Headset,Good for a year use the cousin covering will get torn with time,Good</v>
      </c>
      <c r="C672" s="29" t="str">
        <f>VLOOKUP(dados!A672, reviews!A:G, 6, FALSE)</f>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v>
      </c>
      <c r="D672" s="29" t="str">
        <f>IFERROR(__xludf.DUMMYFUNCTION("GOOGLETRANSLATE(B672, ""en"", ""pt-br"")"),"Melhor qualidade e valor para o dinheiro, ótima qualidade de som, atif, valor ao dinheiro, bom nessa faixa de preço, bom fone de ouvido, bom por um ano, use que a cobertura do primo ficará rasgada com o tempo, bom")</f>
        <v>Melhor qualidade e valor para o dinheiro, ótima qualidade de som, atif, valor ao dinheiro, bom nessa faixa de preço, bom fone de ouvido, bom por um ano, use que a cobertura do primo ficará rasgada com o tempo, bom</v>
      </c>
      <c r="E672" s="29" t="str">
        <f>IFERROR(__xludf.DUMMYFUNCTION("GOOGLETRANSLATE(C672, ""en"", ""pt-br"")"),"A qualidade do som é excelente cancelamento de ruído é extremamente bem, mas a qualidade dos graves precisa melhorar., No geral, é grande a única coisa que é pobre é o alcance, nem mesmo meio metro! O descanso é bom, bom, é um fone de ouvido muito bom em "&amp;"comparação com o preço. Anteriormente, eu tinha usado fones de ouvido da Sony e esses eram um pouco caros. Mas eu posso dizer que esses fones de ouvido podem oferecer qualidade satisfatória., Bom backup de bateria, como a cor e o baixo, a qualidade de con"&amp;"strução não é boa o suficiente.")</f>
        <v>A qualidade do som é excelente cancelamento de ruído é extremamente bem, mas a qualidade dos graves precisa melhorar., No geral, é grande a única coisa que é pobre é o alcance, nem mesmo meio metro! O descanso é bom, bom, é um fone de ouvido muito bom em comparação com o preço. Anteriormente, eu tinha usado fones de ouvido da Sony e esses eram um pouco caros. Mas eu posso dizer que esses fones de ouvido podem oferecer qualidade satisfatória., Bom backup de bateria, como a cor e o baixo, a qualidade de construção não é boa o suficiente.</v>
      </c>
    </row>
    <row r="673">
      <c r="A673" s="9" t="s">
        <v>2669</v>
      </c>
      <c r="B673" s="29" t="str">
        <f>VLOOKUP(dados!A673, reviews!A:G, 5, FALSE)</f>
        <v>Awesome sound, but FM is not clear,Good Product!,Guarantee Nahin de rahi hai kharabi hai,It's nice worth for rate,Good product,sufficient sound clarity and connectivity,Sound is best bass is best 👍💯,Good 👍</v>
      </c>
      <c r="C673" s="29" t="str">
        <f>VLOOKUP(dados!A673, reviews!A:G, 6, FALSE)</f>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v>
      </c>
      <c r="D673" s="29" t="str">
        <f>IFERROR(__xludf.DUMMYFUNCTION("GOOGLETRANSLATE(B673, ""en"", ""pt-br"")"),"Som incrível, mas FM não está claro, bom produto!, Garantir nahin de rahi hai kharabi hai, é bom valor para avaliar, bom produto, clareza e conectividade suficientes suficientes, o som é o melhor baixo")</f>
        <v>Som incrível, mas FM não está claro, bom produto!, Garantir nahin de rahi hai kharabi hai, é bom valor para avaliar, bom produto, clareza e conectividade suficientes suficientes, o som é o melhor baixo</v>
      </c>
      <c r="E673" s="29" t="str">
        <f>IFERROR(__xludf.DUMMYFUNCTION("GOOGLETRANSLATE(C673, ""en"", ""pt-br"")"),"O áudio Bluetooth soa muito bom e decente também, mas a recepção do FM é fraca. Mesmo depois de conectar o cabo USB (antena), a recepção FM não é muito clara. Não é capaz de capturar todas as estações e, mesmo quando capta uma estação, mover o alto -falan"&amp;"te causa problemas com a clareza sonora. Eu tentei alguns outros falantes semelhantes de outras marcas e todos eles têm esse problema. Aparentemente, o circuito FM nessas barras de som não é bom., Vale a pena comprar esse alto -falante. A qualidade do som"&amp;" é boa e alta. Sem peso fácil de transportar. Bom backup da bateria. Está chegando por mais de 4 horas. Não testado corretamente, mas com um bom backup de bateria, com certeza. Não espere baixo. Tendo um pouco, mas não espere mais. Estou escrevendo esta r"&amp;"esenha após 5 dias de uso., Sim, tudo bem, produto agradável e decente. som é bom. A conectividade Bluetooth é boa. Você chama o microfone é bom., Som fofo e bonito em Médio Hall., https: //m.media-amazon.com/images/w/webp_402378-t2/images/i/71plhv2yn-l._"&amp;"sy88.jpg,Good 👍")</f>
        <v>O áudio Bluetooth soa muito bom e decente também, mas a recepção do FM é fraca. Mesmo depois de conectar o cabo USB (antena), a recepção FM não é muito clara. Não é capaz de capturar todas as estações e, mesmo quando capta uma estação, mover o alto -falante causa problemas com a clareza sonora. Eu tentei alguns outros falantes semelhantes de outras marcas e todos eles têm esse problema. Aparentemente, o circuito FM nessas barras de som não é bom., Vale a pena comprar esse alto -falante. A qualidade do som é boa e alta. Sem peso fácil de transportar. Bom backup da bateria. Está chegando por mais de 4 horas. Não testado corretamente, mas com um bom backup de bateria, com certeza. Não espere baixo. Tendo um pouco, mas não espere mais. Estou escrevendo esta resenha após 5 dias de uso., Sim, tudo bem, produto agradável e decente. som é bom. A conectividade Bluetooth é boa. Você chama o microfone é bom., Som fofo e bonito em Médio Hall., https: //m.media-amazon.com/images/w/webp_402378-t2/images/i/71plhv2yn-l._sy88.jpg,Good 👍</v>
      </c>
    </row>
    <row r="674">
      <c r="A674" s="9" t="s">
        <v>1744</v>
      </c>
      <c r="B674" s="29" t="str">
        <f>VLOOKUP(dados!A674, reviews!A:G, 5, FALSE)</f>
        <v>Awesome Product,Good product,Good quality,Good but overpriced,Gud quality but expansive,Not bad,Ok,Worth product</v>
      </c>
      <c r="C674" s="29" t="str">
        <f>VLOOKUP(dados!A674, reviews!A:G, 6, FALSE)</f>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it’s useful for not to brake the cable</v>
      </c>
      <c r="D674" s="29" t="str">
        <f>IFERROR(__xludf.DUMMYFUNCTION("GOOGLETRANSLATE(B674, ""en"", ""pt-br"")"),"Produto incrível, bom produto, boa qualidade, bom, mas muito caro, qualidade Gud, mas expansiva, não ruim, ok, vale a pena")</f>
        <v>Produto incrível, bom produto, boa qualidade, bom, mas muito caro, qualidade Gud, mas expansiva, não ruim, ok, vale a pena</v>
      </c>
      <c r="E674" s="29" t="str">
        <f>IFERROR(__xludf.DUMMYFUNCTION("GOOGLETRANSLATE(C674, ""en"", ""pt-br"")"),"É bom para cabos de dados ... Gostei, https: //m.media-amazon.com/images/i/81qhcls+4gl._sy88.jpg,nice, então basicamente seu bom produto com boa qualidade, mas isso O produto é muito caro porque o mesmo produto de uma marca diferente está vendendo a 25% o"&amp;"u menos de dinheiro, ainda o comprei por causa do nome da marca., Gud Quality and Packaging, mas um pouco caro., https: //m.media-amazon.com /images/i/61w2kontcal._sy88.jpg,Ok.Using isso para o meu cabo de carregamento móvel É útil para não frear o cabo")</f>
        <v>É bom para cabos de dados ... Gostei, https: //m.media-amazon.com/images/i/81qhcls+4gl._sy88.jpg,nice, então basicamente seu bom produto com boa qualidade, mas isso O produto é muito caro porque o mesmo produto de uma marca diferente está vendendo a 25% ou menos de dinheiro, ainda o comprei por causa do nome da marca., Gud Quality and Packaging, mas um pouco caro., https: //m.media-amazon.com /images/i/61w2kontcal._sy88.jpg,Ok.Using isso para o meu cabo de carregamento móvel É útil para não frear o cabo</v>
      </c>
    </row>
    <row r="675">
      <c r="A675" s="9" t="s">
        <v>66</v>
      </c>
      <c r="B675" s="29" t="str">
        <f>VLOOKUP(dados!A675, reviews!A:G, 5, FALSE)</f>
        <v>Good for fast charge but not for data transfer,Good cable compares to local the brand.,good but doesnt last,Good product,Good Product,Good and worth it,very good material quality charging speed is 15 watt,Not a fast charger</v>
      </c>
      <c r="C675" s="29" t="str">
        <f>VLOOKUP(dados!A675, reviews!A:G, 6, FALSE)</f>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money,பொருள் உடைய கடினத்தன்மையின் நன்றாக உள்ளது சார்ஜ் ஏறும் வேகம் 15wat,Not a fast charger.  Very slow charging with 65w.  L-shape pin is very useful.</v>
      </c>
      <c r="D675" s="29" t="str">
        <f>IFERROR(__xludf.DUMMYFUNCTION("GOOGLETRANSLATE(B675, ""en"", ""pt-br"")"),"Bom para carga rápida, mas não para transferência de dados, um bom cabo se compara à marca local., Bom, mas não dura, bom produto, bom produto, bom e vale a pena, uma velocidade de carregamento de qualidade muito boa é de 15 watts, não um carregador rápid"&amp;"o")</f>
        <v>Bom para carga rápida, mas não para transferência de dados, um bom cabo se compara à marca local., Bom, mas não dura, bom produto, bom produto, bom e vale a pena, uma velocidade de carregamento de qualidade muito boa é de 15 watts, não um carregador rápido</v>
      </c>
      <c r="E675" s="29" t="str">
        <f>IFERROR(__xludf.DUMMYFUNCTION("GOOGLETRANSLATE(C675, ""en"", ""pt-br"")"),"O cabo é eficiente em carregamento rápido, mas na transferência rápida de dados. No geral, tudo bem., Gosto da forma USB C L. O fio do núcleo protegido de nylon melhora a vida útil do cabo., Acho que compro -os a cada 6 meses. O carregamento rápido para d"&amp;"e funcionar depois de um tempo. provavelmente algo a ver com o design do cabo. O cabo é torcido com o tempo e suspeito que quebre os fios de alta capacidade dentro. Mas continuo comprando porque não há muitas opções em um design em forma de L, produto bom"&amp;" e durável. Em algum momento, as acusações não funcionam em poucos adaptadores. Pode haver poucos cortes ou algo assim, mas funciona bem no adaptador da Apple, carregador de carros, USB, o produto é realmente bom em preço acessível., Cargo bom e rápido e "&amp;"valor por dinheiro, பொருள் உடைய கடினத்தன்மையின் உள்ளது சார்ஜ் சார்ஜ் ஏறும் வேகம் வேகம் 15wat, Não é um carregador rápido. Carregamento muito lento com 65W. O pino em forma de L é muito útil.")</f>
        <v>O cabo é eficiente em carregamento rápido, mas na transferência rápida de dados. No geral, tudo bem., Gosto da forma USB C L. O fio do núcleo protegido de nylon melhora a vida útil do cabo., Acho que compro -os a cada 6 meses. O carregamento rápido para de funcionar depois de um tempo. provavelmente algo a ver com o design do cabo. O cabo é torcido com o tempo e suspeito que quebre os fios de alta capacidade dentro. Mas continuo comprando porque não há muitas opções em um design em forma de L, produto bom e durável. Em algum momento, as acusações não funcionam em poucos adaptadores. Pode haver poucos cortes ou algo assim, mas funciona bem no adaptador da Apple, carregador de carros, USB, o produto é realmente bom em preço acessível., Cargo bom e rápido e valor por dinheiro, பொருள் உடைய கடினத்தன்மையின் உள்ளது சார்ஜ் சார்ஜ் ஏறும் வேகம் வேகம் 15wat, Não é um carregador rápido. Carregamento muito lento com 65W. O pino em forma de L é muito útil.</v>
      </c>
    </row>
    <row r="676">
      <c r="A676" s="9" t="s">
        <v>2677</v>
      </c>
      <c r="B676" s="29" t="str">
        <f>VLOOKUP(dados!A676, reviews!A:G, 5, FALSE)</f>
        <v>Excellent Product,Good,👍,Meets purpose,Nice battery,Good,Value for money,Works flawlessly</v>
      </c>
      <c r="C676" s="29" t="str">
        <f>VLOOKUP(dados!A676, reviews!A:G, 6, FALSE)</f>
        <v>Made in Indonesia, (thankfully not China).,Good for long use of remote,👏,Battery works as replacement,Serves the purpose, Good seller, Good battery life,Good. Worked for my Ertiga Car Key remote,Working good,Works flawlessly. Good Battery Backup:Good packaging.</v>
      </c>
      <c r="D676" s="29" t="str">
        <f>IFERROR(__xludf.DUMMYFUNCTION("GOOGLETRANSLATE(B676, ""en"", ""pt-br"")"),"Excelente produto, bom, 👍, atende a propósito, bateria agradável, boa, valor ao dinheiro, funciona perfeitamente")</f>
        <v>Excelente produto, bom, 👍, atende a propósito, bateria agradável, boa, valor ao dinheiro, funciona perfeitamente</v>
      </c>
      <c r="E676" s="29" t="str">
        <f>IFERROR(__xludf.DUMMYFUNCTION("GOOGLETRANSLATE(C676, ""en"", ""pt-br"")"),"Feito na Indonésia (felizmente não na China)., Bom para uso longo de remoto, 👏, a bateria funciona como substituição, serve ao propósito, bom vendedor, boa duração da bateria, boa. Trabalhou para o meu controle de chave de ertiga, funcionando bem, funcio"&amp;"na perfeitamente. Bom backup da bateria: boa embalagem.")</f>
        <v>Feito na Indonésia (felizmente não na China)., Bom para uso longo de remoto, 👏, a bateria funciona como substituição, serve ao propósito, bom vendedor, boa duração da bateria, boa. Trabalhou para o meu controle de chave de ertiga, funcionando bem, funciona perfeitamente. Bom backup da bateria: boa embalagem.</v>
      </c>
    </row>
    <row r="677">
      <c r="A677" s="9" t="s">
        <v>2682</v>
      </c>
      <c r="B677" s="29" t="str">
        <f>VLOOKUP(dados!A677, reviews!A:G, 5, FALSE)</f>
        <v>Good quality but one defect,It fulfill its purpose,The laptop stand is good but could have been better with a grip in four sides!!,Height mentioned is wrong,Worth The Money, Good Quality, but wobbles only on bed,Damage in transportation,Good product.,Durability and easy to use</v>
      </c>
      <c r="C677" s="29" t="str">
        <f>VLOOKUP(dados!A677, reviews!A:G, 6, FALSE)</f>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v>
      </c>
      <c r="D677" s="29" t="str">
        <f>IFERROR(__xludf.DUMMYFUNCTION("GOOGLETRANSLATE(B677, ""en"", ""pt-br"")"),"Boa qualidade, mas um defeito, cumpre seu objetivo, o suporte do laptop é bom, mas poderia ter sido melhor com um aperto em quatro lados !!, a altura mencionada está errada, vale o dinheiro, boa qualidade, mas oscilante apenas na cama, dano em danos em tr"&amp;"ansporte, bom produto., durabilidade e fácil de usar")</f>
        <v>Boa qualidade, mas um defeito, cumpre seu objetivo, o suporte do laptop é bom, mas poderia ter sido melhor com um aperto em quatro lados !!, a altura mencionada está errada, vale o dinheiro, boa qualidade, mas oscilante apenas na cama, dano em danos em transporte, bom produto., durabilidade e fácil de usar</v>
      </c>
      <c r="E677" s="29" t="str">
        <f>IFERROR(__xludf.DUMMYFUNCTION("GOOGLETRANSLATE(C677, ""en"", ""pt-br"")"),"A mesa é boa em si mesma e também um bom aperto no chão, uma desvantagem é que as bordas a bordo são nítidas e você pode se machucar (eu me machuco). Pode ser o melhor preço de preço, apenas suavizando as bordas (talvez arredondadas), ótimo para ter para "&amp;"estudos e uso de laptop para comer, eu não recomendaria slides para um lado devido ao peso do laptopovetal trabalho, mas não estável na cama porque possui um design de curva em quatro lados. Se os quatro lados tiverem uma aderência para apoiar na superfíc"&amp;"ie, como piso ou cama, teria sido um ótimo produto. Além disso, o espaço da garrafa de água era irritante porque meu laptop era grande e eu tinha menos espaço para o mouse., Você mencionou altura extra, mais do que outras tabelas de marcas, o que não é, é"&amp;" a altura do tamanho padrão, uma mesa bastante robusta, muito fácil Para dobrar, boa aderência de borracha que segura a mesa no chão firmemente, o que é realmente interessante é que ele tem um porta que ele bala se você o mantém em sua cama, mas tudo bem."&amp;" Noverlor, um ótimo produto, vale o dinheiro, https: //m.media-amazon.com/images/i/71nfbxkdadl._sy88.jpg e fácil Para dobrar e ter uma boa estabilidade. No geral, um bom produto., Encomendei isso para alguém e eles receberam o produto a tempo, o produto e"&amp;"ra o mesmo que descrito - vá em frente se você estiver com um orçamento")</f>
        <v>A mesa é boa em si mesma e também um bom aperto no chão, uma desvantagem é que as bordas a bordo são nítidas e você pode se machucar (eu me machuco). Pode ser o melhor preço de preço, apenas suavizando as bordas (talvez arredondadas), ótimo para ter para estudos e uso de laptop para comer, eu não recomendaria slides para um lado devido ao peso do laptopovetal trabalho, mas não estável na cama porque possui um design de curva em quatro lados. Se os quatro lados tiverem uma aderência para apoiar na superfície, como piso ou cama, teria sido um ótimo produto. Além disso, o espaço da garrafa de água era irritante porque meu laptop era grande e eu tinha menos espaço para o mouse., Você mencionou altura extra, mais do que outras tabelas de marcas, o que não é, é a altura do tamanho padrão, uma mesa bastante robusta, muito fácil Para dobrar, boa aderência de borracha que segura a mesa no chão firmemente, o que é realmente interessante é que ele tem um porta que ele bala se você o mantém em sua cama, mas tudo bem. Noverlor, um ótimo produto, vale o dinheiro, https: //m.media-amazon.com/images/i/71nfbxkdadl._sy88.jpg e fácil Para dobrar e ter uma boa estabilidade. No geral, um bom produto., Encomendei isso para alguém e eles receberam o produto a tempo, o produto era o mesmo que descrito - vá em frente se você estiver com um orçamento</v>
      </c>
    </row>
    <row r="678">
      <c r="A678" s="9" t="s">
        <v>2686</v>
      </c>
      <c r="B678" s="29" t="str">
        <f>VLOOKUP(dados!A678, reviews!A:G, 5, FALSE)</f>
        <v>Fast, but heats up and throttles...,Its a Useful One.,Good product at this price range,It's looking good and fast,Storage issue,Worth,Good,Very good</v>
      </c>
      <c r="C678" s="29" t="str">
        <f>VLOOKUP(dados!A678, reviews!A:G, 6, FALSE)</f>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v>
      </c>
      <c r="D678" s="29" t="str">
        <f>IFERROR(__xludf.DUMMYFUNCTION("GOOGLETRANSLATE(B678, ""en"", ""pt-br"")"),"Rápido, mas aquece e acelera ..., é útil.")</f>
        <v>Rápido, mas aquece e acelera ..., é útil.</v>
      </c>
      <c r="E678" s="29" t="str">
        <f>IFERROR(__xludf.DUMMYFUNCTION("GOOGLETRANSLATE(C678, ""en"", ""pt-br"")"),"As velocidades de leitura seqüencial para um arquivo de vídeo de 8 GB (após a reformatação do sistema de arquivos EXFAT) foram constantes de 157 Mbps para uma filé de 8,7 GB de vídeo- o computador usado para testes possui um PCIE NVME SSD e uma CPU bastan"&amp;"te moderna e poderosa, mas máquinas com um A CPU decente e um SSD médio deve ter um desempenho similarmente com o USB 3.0 ou o Abovethe, porém, foram uma história diferente, como no começo por cerca de 1,5 GB, a velocidade era de 56 Mbps, mas depois caiu "&amp;"para 33, e começou a acelerar por causa de aquecimento excessivo. Disparar esse calor, que pode prejudicar o armazenamento flash de NAND dentro dele; Para evitar isso, reduz sua velocidade e transfere em pedaços de cerca de 40 MB antes de fazer uma pausa "&amp;"brevemente. É uma coisa boa, pois evita danos ao componente de armazenamento, aumentando a vida útil, mas com o custo das velocidades. Mas depois de 33mpbs, ele cai ainda para 20, depois 13 e fica estável lá. Aqui é muito lento para o uso diário pesado, c"&amp;"omo transferir vídeos para edição. (Temp da sala 24C), sua milhagem pode variar com diferentes tipos de arquivos, computadores e portas)), mas para a grande maioria dos usuários, que apenas o usam como backup, ou de vez em quando, ou para trabalhar regula"&amp;"rmente Arquivos pequenos como panelas e fotos, é perfeitamente bom. É rápido, torna conveniente transferir arquivos entre telefones e laptops e desktops, devido à sua configuração versátil de um USB C mutável e uma configuração. Parece forte e durável, me"&amp;"smo com o seu plástico, pelo preço de 719rs (para a variante de 64 GB), não é muito acessível. Uma unidade usb uma caneta/flash regular e uma combinação de adaptadores Tipo A a C (conforme ilustrado acima, disponível para cerca de Rs 130, na redação desta"&amp;" resenha, e uma unidade flash de 64 GB custa entre 400 e 550rs, assim como a redação desta revisão). custa menos. Mas uma unidade USB regular e a combinação não serão tão convenientes e rápidas, mas, novamente, não é necessário para a maioria das pessoas "&amp;"não mencionar que o adaptador também é bastante útil em outros lugares; Mas para o pequeno nicho de usuários que desejam velocidade e têm arquivos pequenos (abaixo de 1,5 GB por vez) para trabalhar, é recomendável. Acima será uma decisão melhor. Espero qu"&amp;"e você ache esse esforço útil, seria melhor se o titular do Pendrive for forte o suficiente. E é muito difícil inserir no meu celular tipo C (LGG8X). Fiquei um pouco assustado pensando nisso Fique quebrado. Eu o recebi por 720 ₹., Prós:-Produto recebeu a "&amp;"tempo com um bom design de pacote, portátil e fácil de usar a velocidade de transferência de dados e os prececões razoáveis:--Dentabilidade construída poderia ter sido melhor C não é tão fácil Para conectar e desconectar, parece bom com um bom acabamento."&amp;" É muito conveniente usar. Uma desvantagem é plástica é macia, parece frágil em comparação com o metal pendrive. O material plástico é fino e leve, o armazenamento mencionado 64, mas possui apenas 57,2 gb.Value por dinheiro., Bom produto, mas não tão resi"&amp;"stente, bom e muito bom produto")</f>
        <v>As velocidades de leitura seqüencial para um arquivo de vídeo de 8 GB (após a reformatação do sistema de arquivos EXFAT) foram constantes de 157 Mbps para uma filé de 8,7 GB de vídeo- o computador usado para testes possui um PCIE NVME SSD e uma CPU bastante moderna e poderosa, mas máquinas com um A CPU decente e um SSD médio deve ter um desempenho similarmente com o USB 3.0 ou o Abovethe, porém, foram uma história diferente, como no começo por cerca de 1,5 GB, a velocidade era de 56 Mbps, mas depois caiu para 33, e começou a acelerar por causa de aquecimento excessivo. Disparar esse calor, que pode prejudicar o armazenamento flash de NAND dentro dele; Para evitar isso, reduz sua velocidade e transfere em pedaços de cerca de 40 MB antes de fazer uma pausa brevemente. É uma coisa boa, pois evita danos ao componente de armazenamento, aumentando a vida útil, mas com o custo das velocidades. Mas depois de 33mpbs, ele cai ainda para 20, depois 13 e fica estável lá. Aqui é muito lento para o uso diário pesado, como transferir vídeos para edição. (Temp da sala 24C), sua milhagem pode variar com diferentes tipos de arquivos, computadores e portas)), mas para a grande maioria dos usuários, que apenas o usam como backup, ou de vez em quando, ou para trabalhar regularmente Arquivos pequenos como panelas e fotos, é perfeitamente bom. É rápido, torna conveniente transferir arquivos entre telefones e laptops e desktops, devido à sua configuração versátil de um USB C mutável e uma configuração. Parece forte e durável, mesmo com o seu plástico, pelo preço de 719rs (para a variante de 64 GB), não é muito acessível. Uma unidade usb uma caneta/flash regular e uma combinação de adaptadores Tipo A a C (conforme ilustrado acima, disponível para cerca de Rs 130, na redação desta resenha, e uma unidade flash de 64 GB custa entre 400 e 550rs, assim como a redação desta revisão). custa menos. Mas uma unidade USB regular e a combinação não serão tão convenientes e rápidas, mas, novamente, não é necessário para a maioria das pessoas não mencionar que o adaptador também é bastante útil em outros lugares; Mas para o pequeno nicho de usuários que desejam velocidade e têm arquivos pequenos (abaixo de 1,5 GB por vez) para trabalhar, é recomendável. Acima será uma decisão melhor. Espero que você ache esse esforço útil, seria melhor se o titular do Pendrive for forte o suficiente. E é muito difícil inserir no meu celular tipo C (LGG8X). Fiquei um pouco assustado pensando nisso Fique quebrado. Eu o recebi por 720 ₹., Prós:-Produto recebeu a tempo com um bom design de pacote, portátil e fácil de usar a velocidade de transferência de dados e os prececões razoáveis:--Dentabilidade construída poderia ter sido melhor C não é tão fácil Para conectar e desconectar, parece bom com um bom acabamento. É muito conveniente usar. Uma desvantagem é plástica é macia, parece frágil em comparação com o metal pendrive. O material plástico é fino e leve, o armazenamento mencionado 64, mas possui apenas 57,2 gb.Value por dinheiro., Bom produto, mas não tão resistente, bom e muito bom produto</v>
      </c>
    </row>
    <row r="679">
      <c r="A679" s="9" t="s">
        <v>1730</v>
      </c>
      <c r="B679" s="29" t="str">
        <f>VLOOKUP(dados!A679, reviews!A:G, 5, FALSE)</f>
        <v>NOt worth the money,Good budget smart watch with Alexa,👍,Good product,I don't have flashlight function and speaker is not working,Nice,It's little cost,Wach not working</v>
      </c>
      <c r="C679" s="29" t="str">
        <f>VLOOKUP(dados!A679, reviews!A:G, 6, FALSE)</f>
        <v>Review OverviewAverage2.7The Boat today launched the ‘ Boat Xtend ‘, the company’s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don’t like the color scheme of this Boat Xtend Smartwatch. The black color variant comes with a golden color metallic frame. I believe the gold color would fade away after some time. There are three other color variants, which also don’t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won’t notice the bezels, and the screen quality won’t feel cheap at all. It doesn’t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isn’t much animation on the bar menu, and the navigation is simple, so you won’t find it difficult to use. However, the watch may lag a bit. The company has done cost-cutting in terms of the processor, that’s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won’t find it very useful. Probably you will use it for a day or two out of excitement, and then you won’t prefer using it because it only does some basic tasks. So, even if Boat missed this feature, it won’t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won’t be seeing bugs on the app, and it works perfectly. I haven’t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Monitor.,👍,Plz add calling feature with this,Otherwise it is ok,Good,It's little expensive but okkk,</v>
      </c>
      <c r="D679" s="29" t="str">
        <f>IFERROR(__xludf.DUMMYFUNCTION("GOOGLETRANSLATE(B679, ""en"", ""pt-br"")"),"Não vale o dinheiro, bom orçamento relógio inteligente com Alexa, 👍 👍, bom produto, eu não tenho função de lanterna e o alto -falante não está funcionando, bom, é pouco custo, não está funcionando")</f>
        <v>Não vale o dinheiro, bom orçamento relógio inteligente com Alexa, 👍 👍, bom produto, eu não tenho função de lanterna e o alto -falante não está funcionando, bom, é pouco custo, não está funcionando</v>
      </c>
      <c r="E679" s="29" t="str">
        <f>IFERROR(__xludf.DUMMYFUNCTION("GOOGLETRANSLATE(C679, ""en"", ""pt-br"")"),"Visão geral da revisão. 2.999. O Boat Xtend SmartWatch vem com um design elegante semelhante ao Apple Watch. Além disso, ele tem suporte de Amazon Amazon, rastreamento SPO2, rastreamento de estresse e muito mais. Chegando em um segmento de orçamento, vale"&amp;" a pena? Você deve comprar este smartwatch? Se você também tem essas consultas, não há nada com que se preocupar. É uma revisão detalhada do Boat Xtend Smartwatch, que limpará todas as suas dúvidas. Com conforto ao comprar um smartwatch, sempre pensa em s"&amp;"eu design e aparência. Além dos recursos, o design e a construção é outro aspecto importante que se deve cuidar ao comprar um smartwatch. O barco trabalhou em seu design desta vez, o que o leva a um lado premium em termos de aparência. O design é inspirad"&amp;"o no Apple Watch 3, mas não pode ser comparado a isso. Obviamente, em todos os aspectos, o Apple Watch 3 seria muito melhor do que o barco Smartwatch. O Redmi Watch e o Amazfit Bip U Pro têm a mesma forma e design, mas a qualidade de construção é muito pr"&amp;"emium nesse. A variante de cor preta vem com uma estrutura metálica de cor dourada. Eu acredito que a cor do ouro desapareceria depois de algum tempo. Existem três outras variantes de cores, que também não parecem elegantes como esta. No entanto, essa é a"&amp;" minha opinião pessoal sobre o esquema de cores, então talvez você possa achar que o esquema de cores é bom. Design do barco. Possui tiras de silício, que são bastante confortáveis. As tiras são tiras de boa qualidade que você achará confortável com o uso"&amp;" regular. O que você vê neste é um painel TFT. A tela possui grandes molduras, no entanto, a parte boa é que a tela remonta completamente quando está desligada, para que você não note as molduras e a qualidade da tela não se sentirá barata. Ele não tem um"&amp;"a tela sempre ativa, mas não podemos reclamar disso. O relógio oferece uma tela no horário de até 20 segundos e até 12 níveis de controle de brilho. O View Angle é bom neste, e você pode ver claramente o conteúdo deste smartwatch, mesmo à luz do sol. A co"&amp;"r neste não está muito saturada, mas isso não é algo que podemos reclamar nessa faixa de preço. Apresentar a interface do usuário e a interface do usuário deste smartwatch é limpo e fácil de usar. Há um único botão no relógio que funciona como o botão Pow"&amp;"er/Off, bem como o botão traseiro. Além disso, a tela é uma tela de toques que funciona sem nenhum problema. Não há muita animação no menu do bar, e a navegação é simples, então você não achará difícil de usar. No entanto, o relógio pode ficar um pouco pa"&amp;"ra ficar um pouco. A empresa fez corte de custos em termos de processador, é por isso que você pode encontrar um pouco para ficar um pouco, mas tudo bem, e não é grande coisa no preço que você obtém. Recursos de condicionamento físico, como atividade diár"&amp;"ia (que incluem etapas totais, as calorias queimadas e o tempo), freqüência cardíaca, rastreamento do sono, treinamento de rastreamento de estresse, treinamento em SPO2, meditação, encontre meu telefone e controle musical. Além disso, existem 14 modos de "&amp;"suporte diferentes neste relógio. Eu tentei alguns deles, e eles funcionaram bem. O relógio notifica as chamadas recebidas, as mensagens recebidas e várias outras notificações em detalhes. O relógio possui um microfone embutido e você pode acessá-lo press"&amp;"ionando há muito tempo o botão traseiro. Observe que você só pode executar algumas tarefas básicas com o Alexa no relógio, como definir um alarme, definir um cronômetro e tal. Bem, é bom ter Alexa em um relógio, mas você não achará muito útil. Provavelmen"&amp;"te, você o usará por um dia ou dois por emoção e, em seguida, não prefere usá -lo porque apenas faz algumas tarefas básicas. Portanto, mesmo que o barco tenha perdido esse recurso, não será um problema. Você recebe mais de 100 rostos de relógio no relógio"&amp;", e provavelmente mais rostos de relógio serão adicionados a ele. Além disso, você também pode definir um rosto de relógio personalizado. O aplicativo está disponível para dispositivos Android e iOS. Você não verá bugs no aplicativo e funciona perfeitamen"&amp;"te. Não notei nenhum problema com a conectividade como a desconexão frequente. A interface da onda de barco é limpa e simples. Você obterá todas as opções relacionadas a fitness e todas as configurações do relógio no próprio aplicativo.ABOT XTEND O WAPA A"&amp;"PCACCURACIDACURACIDADE É UM DOS ASPECTOS IMPORTANTES dos quais se deve cuidar ao comprar um smartwatch. Então, falando sobre a precisão, testei tudo neste relógio, da caminhada normal a correr, dormir e muito mais, e acho que os resultados são precisos. t"&amp;"odos eles. Portanto, não há problema com a precisão. Não acho que os resultados sejam precisos na maioria dos rastreadores de condicionamento físico, mas sim, este smartwatch é preciso em termos de rastreamento de fitness, rastreamento do sono e tudo o qu"&amp;"e faz. Recentemente, o nível de estresse e o rastreamento SPO2 são muito mais precisos nesse. Ele também tem a opção de rastrear o ciclo menstrual em mulheres. No entanto, se você usar a maioria dos recursos do relógio, a bateria durará cerca de dois dias"&amp;" e meio. Se você mantiver o brilho baixo, a bateria durará cerca de 3-4 dias. Acho que a duração da bateria é uma desvantagem do relógio. Ele vem com suporte de carregamento do gancho do Magnet. Ele oferece todos os recursos básicos de fitness que você en"&amp;"contrará em um rastreador de fitness orçamentário, uma boa exibição, suporte Alexa, bom design e construção e muito mais. O smartwatch a esse preço é muito bom. Pessoalmente, o que eu não gostei neste smartwatch é seu esquema de cores. No entanto, se você"&amp;" gosta do esquema de cores, eu recomendaria que você vá em frente. No geral, o relógio é bom, sem nada a não gostar, exceto pela duração da bateria. A duração da bateria neste é bastante baixa. A empresa afirma ter uma vida útil da bateria de 7 dias, mas "&amp;"com uso regular, durará 2-3 dias. Se você estiver procurando um bom smartwatch com Rs.5000 e pode se ajustar com a duração da bateria e gosta do esquema de cores, eu recomendaria que você opte por este smartwatch. Oferece todos os recursos que devem estar"&amp;" lá em um smartwatch sob Rs.5000., Pros: 1. Qualidade de construção premium com estrutura de policarbonato de acabamento fosco, boas tiras de silicone macias que estão absolutamente niveladas com o corpo do relógio. Colorias atraentes e modernas. A freqüê"&amp;"ncia cardíaca (exceto picos de freqüência cardíaca no treinamento com pesos), o pedômetro (etapa contador) são precisos, mas o SPO2 está desativado em +/- 2% quando comparado às leituras de oxímetro de pulso. Mas a maioria dos relógios inteligentes oferec"&amp;"e a mesma precisão. O rastreamento do sono é preciso apenas para a hora de dormir e acordar, duração, mas os estágios do sono são imprecisos. Sono leve, profundo, acordar detectado, mas nenhum sono REM detectado. Os dados do sono do relógio sincronizam su"&amp;"avemente com o aplicativo de onda de barco. Problemas Aviso de msg se o relógio não estiver usado à mão corretamente e não detecta dados de superfícies. Grande (1,69 ""), LCD IPS claro e claro, exibida no sol. Resposta de rolagem aceitável se o dedo se mo"&amp;"veu na diagonal em vez de verticalmente.5. No aplicativo, o GPS funciona de maneira excelente. Excelente rastreamento de rota no mapa. Esse recurso não é anunciado em sua descrição.6. A conectividade Bluetooth 5.0 é boa se o celular for mantido próximo ( "&amp;"7m). O aplicativo de onda de barco deve permanecer em segundo plano em todos os momentos.7. Definitivamente, a prova de respingos, embora não tenha corrigido o risco de submergir o relógio.8. Todas as notificações estão funcionando, nenhum problema com al"&amp;"ertas de chamada ou msgs sms ou Notificações de aplicativos de mídia social. Não há atrasos, embora haja provisão para um atraso de 3 segundos que pode ser ativado. pode ser controlado facilmente usando o Alexa embutido no relógio. O Alexa pode fazer cálc"&amp;"ulos matemáticos, conversões de moeda e até traduções de língua estrangeira, além de fornecer informações sobre qualquer coisa sob o sol. Mas, é claro, Alexa não pode fazer ligações. Alexa pode definir alarme, timer também.10. Alerta sedentário, lembrete "&amp;"de água potável, alerta de tensão, alerta de ciclo menstrual, alarmes, temporizadores funcionam bem.11. O aplicativo de onda de barco se conecta facilmente e nenhum atraso observado. Os dados sincronizam sem problemas com o aplicativo Google Fit. Excelent"&amp;"es relatórios de saúde e sistema de recompensas motivacionais na forma de crachás. Mas as configurações podem ser alteradas apenas através do aplicativo e o relógio precisa ser reiniciado para que as novas configurações sejam efetivas.12. Treinamento, mod"&amp;"os esportivos r bons.13. O modo de respiração guiada também é bom. Encontre meu telefone funciona bem. Extremamente elegante, leve e confortável para o uso do dia todo. 07 ASSISTA ROSTOS DISPONÍVEIS NO DEPISTADO COM 04 predefinição que não pode ser excluí"&amp;"da. O restante pode ser alterado a partir do aplicativo de onda de barco.CONS: 1. Não possui controle de intensidade de vibração. Falte o obturador de controle da câmera. Mas não consigo descobrir seu uso, pois meu aparelho aceita comandos de voz e gestos"&amp;" para clicar em fotos. Não há mensagens de resposta rápidas para notificações/alertas de chamada.4. Nenhum recurso de aceitação ou silenciamento de chamada. Uma contorna pode ser se o aparelho Bluetooth estiver conectado ao mesmo tempo. O SPO2 não é preci"&amp;"so e às vezes congela 97%. Mas isso é comum em todos os relógios inteligentes. A bateria não dura mais de 03 dias se a medição contínua de RH estiver ligada. Caso contrário, dura facilmente 7 dias. Os rostos de assistir são muito infantis. Designs de melh"&amp;"or qualidade esperados. A empresa pode melhorar facilmente isso em sua próxima atualização. Substituição apenas do Amazon Prime, nenhuma política de reembolso não é boa. Pelo menos a mudança de cor deve ser permitida uma vez. O recurso de controle musical"&amp;" não exibe o título da música. Nenhum recurso de monitoramento da BP ou monitoramento de temperatura. Os relógios inteligentes geralmente não fornecem dados de BP confiáveis. Nenhum recurso de chamada. Mas não importa, pois a maioria não quer que as conve"&amp;"rsas sejam públicas. Um pouco grande para pulsos estreitos, a banda @22 mm é um pouco larga.13. A empresa deve fornecer um protetor de vidro temperado. Nenhuma menção de vidro de proteção na tela mencionada. Anexou um vidro temperado escocês comprado sepa"&amp;"radamente.14. Na verdade, existem apenas 10 modos esportivos. O barco inchou a lista com combate interno outdoor de 4 esportes (caminhada, corrida, natação, ciclismo) .15. Não há sensor de luz. O brilho automático depende apenas do tempo, mas funciona bem"&amp;". Foi um presente de aniversário de casamento para minha esposa, que gostou muito da cor- o sempre-verde e clássico-preto dourado. No geral, o melhor relógio inteligente com o Alexa incorporado, disponível pelo preço do orçamento abaixo de Rs 3000. Um exc"&amp;"elente rastreador de fitness, mas médio de monitor de saúde., 👍, por favor, adicione o recurso de chamada com isso, caso contrário, está bom, bom, é pouco caro Mas Okkk,")</f>
        <v>Visão geral da revisão. 2.999. O Boat Xtend SmartWatch vem com um design elegante semelhante ao Apple Watch. Além disso, ele tem suporte de Amazon Amazon, rastreamento SPO2, rastreamento de estresse e muito mais. Chegando em um segmento de orçamento, vale a pena? Você deve comprar este smartwatch? Se você também tem essas consultas, não há nada com que se preocupar. É uma revisão detalhada do Boat Xtend Smartwatch, que limpará todas as suas dúvidas. Com conforto ao comprar um smartwatch, sempre pensa em seu design e aparência. Além dos recursos, o design e a construção é outro aspecto importante que se deve cuidar ao comprar um smartwatch. O barco trabalhou em seu design desta vez, o que o leva a um lado premium em termos de aparência. O design é inspirado no Apple Watch 3, mas não pode ser comparado a isso. Obviamente, em todos os aspectos, o Apple Watch 3 seria muito melhor do que o barco Smartwatch. O Redmi Watch e o Amazfit Bip U Pro têm a mesma forma e design, mas a qualidade de construção é muito premium nesse. A variante de cor preta vem com uma estrutura metálica de cor dourada. Eu acredito que a cor do ouro desapareceria depois de algum tempo. Existem três outras variantes de cores, que também não parecem elegantes como esta. No entanto, essa é a minha opinião pessoal sobre o esquema de cores, então talvez você possa achar que o esquema de cores é bom. Design do barco. Possui tiras de silício, que são bastante confortáveis. As tiras são tiras de boa qualidade que você achará confortável com o uso regular. O que você vê neste é um painel TFT. A tela possui grandes molduras, no entanto, a parte boa é que a tela remonta completamente quando está desligada, para que você não note as molduras e a qualidade da tela não se sentirá barata. Ele não tem uma tela sempre ativa, mas não podemos reclamar disso. O relógio oferece uma tela no horário de até 20 segundos e até 12 níveis de controle de brilho. O View Angle é bom neste, e você pode ver claramente o conteúdo deste smartwatch, mesmo à luz do sol. A cor neste não está muito saturada, mas isso não é algo que podemos reclamar nessa faixa de preço. Apresentar a interface do usuário e a interface do usuário deste smartwatch é limpo e fácil de usar. Há um único botão no relógio que funciona como o botão Power/Off, bem como o botão traseiro. Além disso, a tela é uma tela de toques que funciona sem nenhum problema. Não há muita animação no menu do bar, e a navegação é simples, então você não achará difícil de usar. No entanto, o relógio pode ficar um pouco para ficar um pouco. A empresa fez corte de custos em termos de processador, é por isso que você pode encontrar um pouco para ficar um pouco, mas tudo bem, e não é grande coisa no preço que você obtém. Recursos de condicionamento físico, como atividade diária (que incluem etapas totais, as calorias queimadas e o tempo), freqüência cardíaca, rastreamento do sono, treinamento de rastreamento de estresse, treinamento em SPO2, meditação, encontre meu telefone e controle musical. Além disso, existem 14 modos de suporte diferentes neste relógio. Eu tentei alguns deles, e eles funcionaram bem. O relógio notifica as chamadas recebidas, as mensagens recebidas e várias outras notificações em detalhes. O relógio possui um microfone embutido e você pode acessá-lo pressionando há muito tempo o botão traseiro. Observe que você só pode executar algumas tarefas básicas com o Alexa no relógio, como definir um alarme, definir um cronômetro e tal. Bem, é bom ter Alexa em um relógio, mas você não achará muito útil. Provavelmente, você o usará por um dia ou dois por emoção e, em seguida, não prefere usá -lo porque apenas faz algumas tarefas básicas. Portanto, mesmo que o barco tenha perdido esse recurso, não será um problema. Você recebe mais de 100 rostos de relógio no relógio, e provavelmente mais rostos de relógio serão adicionados a ele. Além disso, você também pode definir um rosto de relógio personalizado. O aplicativo está disponível para dispositivos Android e iOS. Você não verá bugs no aplicativo e funciona perfeitamente. Não notei nenhum problema com a conectividade como a desconexão frequente. A interface da onda de barco é limpa e simples. Você obterá todas as opções relacionadas a fitness e todas as configurações do relógio no próprio aplicativo.ABOT XTEND O WAPA APCACCURACIDACURACIDADE É UM DOS ASPECTOS IMPORTANTES dos quais se deve cuidar ao comprar um smartwatch. Então, falando sobre a precisão, testei tudo neste relógio, da caminhada normal a correr, dormir e muito mais, e acho que os resultados são precisos. todos eles. Portanto, não há problema com a precisão. Não acho que os resultados sejam precisos na maioria dos rastreadores de condicionamento físico, mas sim, este smartwatch é preciso em termos de rastreamento de fitness, rastreamento do sono e tudo o que faz. Recentemente, o nível de estresse e o rastreamento SPO2 são muito mais precisos nesse. Ele também tem a opção de rastrear o ciclo menstrual em mulheres. No entanto, se você usar a maioria dos recursos do relógio, a bateria durará cerca de dois dias e meio. Se você mantiver o brilho baixo, a bateria durará cerca de 3-4 dias. Acho que a duração da bateria é uma desvantagem do relógio. Ele vem com suporte de carregamento do gancho do Magnet. Ele oferece todos os recursos básicos de fitness que você encontrará em um rastreador de fitness orçamentário, uma boa exibição, suporte Alexa, bom design e construção e muito mais. O smartwatch a esse preço é muito bom. Pessoalmente, o que eu não gostei neste smartwatch é seu esquema de cores. No entanto, se você gosta do esquema de cores, eu recomendaria que você vá em frente. No geral, o relógio é bom, sem nada a não gostar, exceto pela duração da bateria. A duração da bateria neste é bastante baixa. A empresa afirma ter uma vida útil da bateria de 7 dias, mas com uso regular, durará 2-3 dias. Se você estiver procurando um bom smartwatch com Rs.5000 e pode se ajustar com a duração da bateria e gosta do esquema de cores, eu recomendaria que você opte por este smartwatch. Oferece todos os recursos que devem estar lá em um smartwatch sob Rs.5000., Pros: 1. Qualidade de construção premium com estrutura de policarbonato de acabamento fosco, boas tiras de silicone macias que estão absolutamente niveladas com o corpo do relógio. Colorias atraentes e modernas. A freqüência cardíaca (exceto picos de freqüência cardíaca no treinamento com pesos), o pedômetro (etapa contador) são precisos, mas o SPO2 está desativado em +/- 2% quando comparado às leituras de oxímetro de pulso. Mas a maioria dos relógios inteligentes oferece a mesma precisão. O rastreamento do sono é preciso apenas para a hora de dormir e acordar, duração, mas os estágios do sono são imprecisos. Sono leve, profundo, acordar detectado, mas nenhum sono REM detectado. Os dados do sono do relógio sincronizam suavemente com o aplicativo de onda de barco. Problemas Aviso de msg se o relógio não estiver usado à mão corretamente e não detecta dados de superfícies. Grande (1,69 "), LCD IPS claro e claro, exibida no sol. Resposta de rolagem aceitável se o dedo se moveu na diagonal em vez de verticalmente.5. No aplicativo, o GPS funciona de maneira excelente. Excelente rastreamento de rota no mapa. Esse recurso não é anunciado em sua descrição.6. A conectividade Bluetooth 5.0 é boa se o celular for mantido próximo ( 7m). O aplicativo de onda de barco deve permanecer em segundo plano em todos os momentos.7. Definitivamente, a prova de respingos, embora não tenha corrigido o risco de submergir o relógio.8. Todas as notificações estão funcionando, nenhum problema com alertas de chamada ou msgs sms ou Notificações de aplicativos de mídia social. Não há atrasos, embora haja provisão para um atraso de 3 segundos que pode ser ativado. pode ser controlado facilmente usando o Alexa embutido no relógio. O Alexa pode fazer cálculos matemáticos, conversões de moeda e até traduções de língua estrangeira, além de fornecer informações sobre qualquer coisa sob o sol. Mas, é claro, Alexa não pode fazer ligações. Alexa pode definir alarme, timer também.10. Alerta sedentário, lembrete de água potável, alerta de tensão, alerta de ciclo menstrual, alarmes, temporizadores funcionam bem.11. O aplicativo de onda de barco se conecta facilmente e nenhum atraso observado. Os dados sincronizam sem problemas com o aplicativo Google Fit. Excelentes relatórios de saúde e sistema de recompensas motivacionais na forma de crachás. Mas as configurações podem ser alteradas apenas através do aplicativo e o relógio precisa ser reiniciado para que as novas configurações sejam efetivas.12. Treinamento, modos esportivos r bons.13. O modo de respiração guiada também é bom. Encontre meu telefone funciona bem. Extremamente elegante, leve e confortável para o uso do dia todo. 07 ASSISTA ROSTOS DISPONÍVEIS NO DEPISTADO COM 04 predefinição que não pode ser excluída. O restante pode ser alterado a partir do aplicativo de onda de barco.CONS: 1. Não possui controle de intensidade de vibração. Falte o obturador de controle da câmera. Mas não consigo descobrir seu uso, pois meu aparelho aceita comandos de voz e gestos para clicar em fotos. Não há mensagens de resposta rápidas para notificações/alertas de chamada.4. Nenhum recurso de aceitação ou silenciamento de chamada. Uma contorna pode ser se o aparelho Bluetooth estiver conectado ao mesmo tempo. O SPO2 não é preciso e às vezes congela 97%. Mas isso é comum em todos os relógios inteligentes. A bateria não dura mais de 03 dias se a medição contínua de RH estiver ligada. Caso contrário, dura facilmente 7 dias. Os rostos de assistir são muito infantis. Designs de melhor qualidade esperados. A empresa pode melhorar facilmente isso em sua próxima atualização. Substituição apenas do Amazon Prime, nenhuma política de reembolso não é boa. Pelo menos a mudança de cor deve ser permitida uma vez. O recurso de controle musical não exibe o título da música. Nenhum recurso de monitoramento da BP ou monitoramento de temperatura. Os relógios inteligentes geralmente não fornecem dados de BP confiáveis. Nenhum recurso de chamada. Mas não importa, pois a maioria não quer que as conversas sejam públicas. Um pouco grande para pulsos estreitos, a banda @22 mm é um pouco larga.13. A empresa deve fornecer um protetor de vidro temperado. Nenhuma menção de vidro de proteção na tela mencionada. Anexou um vidro temperado escocês comprado separadamente.14. Na verdade, existem apenas 10 modos esportivos. O barco inchou a lista com combate interno outdoor de 4 esportes (caminhada, corrida, natação, ciclismo) .15. Não há sensor de luz. O brilho automático depende apenas do tempo, mas funciona bem. Foi um presente de aniversário de casamento para minha esposa, que gostou muito da cor- o sempre-verde e clássico-preto dourado. No geral, o melhor relógio inteligente com o Alexa incorporado, disponível pelo preço do orçamento abaixo de Rs 3000. Um excelente rastreador de fitness, mas médio de monitor de saúde., 👍, por favor, adicione o recurso de chamada com isso, caso contrário, está bom, bom, é pouco caro Mas Okkk,</v>
      </c>
    </row>
    <row r="680">
      <c r="A680" s="9" t="s">
        <v>2691</v>
      </c>
      <c r="B680" s="29" t="str">
        <f>VLOOKUP(dados!A680, reviews!A:G, 5, FALSE)</f>
        <v>Nice product,Size is not to big not to small,I liked it,Ok,Really good,Thinner but nice,Superb product as quality and comes at affordable price.,Costly mouse pad</v>
      </c>
      <c r="C680" s="29" t="str">
        <f>VLOOKUP(dados!A680, reviews!A:G, 6, FALSE)</f>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v>
      </c>
      <c r="D680" s="29" t="str">
        <f>IFERROR(__xludf.DUMMYFUNCTION("GOOGLETRANSLATE(B680, ""en"", ""pt-br"")"),"Produto agradável, tamanho não é para não ser pequeno, eu gostei, ok, muito bom, mais fino, mas bom e excelente, como qualidade e tem um preço acessível.")</f>
        <v>Produto agradável, tamanho não é para não ser pequeno, eu gostei, ok, muito bom, mais fino, mas bom e excelente, como qualidade e tem um preço acessível.</v>
      </c>
      <c r="E680" s="29" t="str">
        <f>IFERROR(__xludf.DUMMYFUNCTION("GOOGLETRANSLATE(C680, ""en"", ""pt-br"")"),"Bom produto, se você deseja usar o mouse para jogos e coisas para a edição de fotos da vida, não compre este produto é para o mouse que é usado para navegar na web, leitura em PDF, estudo, MS Office, Prós: Durabilidade 5/5Printing 4/ 5spill Resistance - I"&amp;"dkgood para 3200 e 2400 dpi mousecons: pequeno demais para jogosverticamente, não é tão grande se seu mouse for grande [mouse de jogos] além disso, tudo é bom total de pontos 4/5, é muito suave para executar o mouse muito rápido Para jogos e para o trabal"&amp;"ho casual, ok, é mais fino do que o meu existente, mas funciona bem e ... parece bom, eu sugeriria que qualquer pessoa que precise de um mouse para uso diário devido ao trabalho de trabalho ou de um acordo excelente a esse preço., A detecção de mouse é bo"&amp;"a, mas cara de mouse dispendiosa")</f>
        <v>Bom produto, se você deseja usar o mouse para jogos e coisas para a edição de fotos da vida, não compre este produto é para o mouse que é usado para navegar na web, leitura em PDF, estudo, MS Office, Prós: Durabilidade 5/5Printing 4/ 5spill Resistance - Idkgood para 3200 e 2400 dpi mousecons: pequeno demais para jogosverticamente, não é tão grande se seu mouse for grande [mouse de jogos] além disso, tudo é bom total de pontos 4/5, é muito suave para executar o mouse muito rápido Para jogos e para o trabalho casual, ok, é mais fino do que o meu existente, mas funciona bem e ... parece bom, eu sugeriria que qualquer pessoa que precise de um mouse para uso diário devido ao trabalho de trabalho ou de um acordo excelente a esse preço., A detecção de mouse é boa, mas cara de mouse dispendiosa</v>
      </c>
    </row>
    <row r="681">
      <c r="A681" s="9" t="s">
        <v>2695</v>
      </c>
      <c r="B681" s="29" t="str">
        <f>VLOOKUP(dados!A681, reviews!A:G, 5, FALSE)</f>
        <v>Got it for 280/309MRP in amazon sale,Easy Installation!,Original,Good,Orignal product,Ok,Excellent,Original</v>
      </c>
      <c r="C681" s="29" t="str">
        <f>VLOOKUP(dados!A681, reviews!A:G, 6, FALSE)</f>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v>
      </c>
      <c r="D681" s="29" t="str">
        <f>IFERROR(__xludf.DUMMYFUNCTION("GOOGLETRANSLATE(B681, ""en"", ""pt-br"")"),"Peguei para 280/309MRP na venda da Amazon, instalação fácil!, Original, bom, orignal, OK, excelente, original")</f>
        <v>Peguei para 280/309MRP na venda da Amazon, instalação fácil!, Original, bom, orignal, OK, excelente, original</v>
      </c>
      <c r="E681" s="29" t="str">
        <f>IFERROR(__xludf.DUMMYFUNCTION("GOOGLETRANSLATE(C681, ""en"", ""pt-br"")"),"CARATO E MELHOR TINTA DE BLATE GENUINA 003, Antes de tudo, o vendedor precisa adicionar algumas fotos mais decentes do produto (a primeira vez que procurei e pousei neste, mas honestamente pensei que seria duplicado, mas não É original, as fotos estão ane"&amp;"xadas). Packing: a embalagem está ok ok! A garrafa vem com um revestimento de tampa plástica, então sem agitação sobre isso. PRIMEIRA: Na minha loja local, isso me custou 390 rúpias, mas incluindo o prêmio de entrega, acho mais barato aqui como 50 rúpias "&amp;"ou mais que isso.Genuinity: eu escano o QR código e mostrou que é real (foto anexada), então aqui estamos no fundo, se você precisar reabastecer o tanque da sua impressora e procurar por um real e barato, vá em frente, não olhe em outro lugar, pode Voide "&amp;"sua garantia e dê uma dor de cabeça real no futuro. Sempre vá com o original. Obrigado!, Compre original, bom, a foto parece pouco desconforto, mas recebeu o produto original e satisfaz, fácil de instalar uma boa impressão, excelente, cor original")</f>
        <v>CARATO E MELHOR TINTA DE BLATE GENUINA 003, Antes de tudo, o vendedor precisa adicionar algumas fotos mais decentes do produto (a primeira vez que procurei e pousei neste, mas honestamente pensei que seria duplicado, mas não É original, as fotos estão anexadas). Packing: a embalagem está ok ok! A garrafa vem com um revestimento de tampa plástica, então sem agitação sobre isso. PRIMEIRA: Na minha loja local, isso me custou 390 rúpias, mas incluindo o prêmio de entrega, acho mais barato aqui como 50 rúpias ou mais que isso.Genuinity: eu escano o QR código e mostrou que é real (foto anexada), então aqui estamos no fundo, se você precisar reabastecer o tanque da sua impressora e procurar por um real e barato, vá em frente, não olhe em outro lugar, pode Voide sua garantia e dê uma dor de cabeça real no futuro. Sempre vá com o original. Obrigado!, Compre original, bom, a foto parece pouco desconforto, mas recebeu o produto original e satisfaz, fácil de instalar uma boa impressão, excelente, cor original</v>
      </c>
    </row>
    <row r="682">
      <c r="A682" s="9" t="s">
        <v>2699</v>
      </c>
      <c r="B682" s="29" t="str">
        <f>VLOOKUP(dados!A682, reviews!A:G, 5, FALSE)</f>
        <v>Note it before purchase headphone,Totally value for money, sound quality is good,Ear cuffs easily detachable,Decent for the Price,Best one in this Budget,Bluetooth is connecting should be improve.,Good Product.,Nice product</v>
      </c>
      <c r="C682" s="29" t="str">
        <f>VLOOKUP(dados!A682, reviews!A:G, 6, FALSE)</f>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 now i ordered zeb bang pro(699)rsIf it also sound loud thing, then i shutdown with boat 400 (900rs) segmentNote: if i get boat 660 in initially , i wont go for these alllllll). Bcoz unbeaten and full fil my all expect thanknu😊,Sound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☺️,It is overall a nice product</v>
      </c>
      <c r="D682" s="29" t="str">
        <f>IFERROR(__xludf.DUMMYFUNCTION("GOOGLETRANSLATE(B682, ""en"", ""pt-br"")"),"Observe que antes da compra de fone de ouvido, totalmente valor ao dinheiro, a qualidade do som é boa, punhos de ouvido facilmente destacáveis, decentes para o preço, melhor nesse orçamento, o bluetooth está conectando deve ser melhorado., Bom produto., B"&amp;"om produto")</f>
        <v>Observe que antes da compra de fone de ouvido, totalmente valor ao dinheiro, a qualidade do som é boa, punhos de ouvido facilmente destacáveis, decentes para o preço, melhor nesse orçamento, o bluetooth está conectando deve ser melhorado., Bom produto., Bom produto</v>
      </c>
      <c r="E682" s="29" t="str">
        <f>IFERROR(__xludf.DUMMYFUNCTION("GOOGLETRANSLATE(C682, ""en"", ""pt-br"")"),"Eu usei Boat 900, Boat 400, Boat 550 e eu vou pela primeira vez com o Zeb Thunder Pro, na verdade sou um amante da música e espero mais qualidade de som, thump baixo e música rica, confie em mim abaixo do que cito aqui 900 é um tipo com fio de segmento de"&amp;" orçamento inferior a 800rs, seu desempenho maciço em geral parece bastante simples, mas dá a pena grave extra e barco 400 (900rs) é desconforto por causa da pressão excessiva nos ouvidos, espero que, em longos dias, fique solto, pelo som Ele dá uma pitad"&amp;"a mais do que grave extra que o barco 900 e parece inteligente, aqui o som é mais e o baixo Bass é muito mais ... mas aqui a voz ou parece um pouco atrevida, não é adequada para aulas on -line, ... seu único uso para música Loverboat 550 é por volta de 18"&amp;"00rs, é apenas adequado para aulas on -line para voz sem batida ou baixo no nível, som totalmente muito suave com vocal claro, não espere grave e faça meu corpo aumentar. Agora, o Zeb Thunder Pro, (699rs) por esse preço, é um ótimo produto, aparência eleg"&amp;"ante, slot SD e assim ... mas aqui alguns pontos negativos também aqui, botões ou não resistentes, um pouco solto e corpo As peças são como a banda principal são de plástico de brinquedo, pois a música volume completa é muito iluminada não é adorável de g"&amp;"ostar, faça um soco de grito em um ouvido doloroso, o baixo também é muito bom, mas no geral está sempre abaixo dos produtos de barco, eu não você usou um produto de barco, você não gosta, o mesmo que se você usar a Sony, não vai gostar de barco😀. Se voc"&amp;"ê não usa outras marcas e zebronics pela primeira vez que você se torna amante disso, ainda estou surpresa como eles dão este produto por esse preço chocante (aux + tipo C) sob 700 é chocante BCOZ se você for para o produto do tipo de barco é 1700 acima o"&amp;"u não é ruim, é mais bom para este preços 4/5 pesado (alto) em plena voume parece gritar dentro da orelha, caso contrário, nicebass: 3.7/5. Não chega ao produto de barco, mas você não sentirá diferença se você usar por mais 3 dias music + som + vocais, nã"&amp;"o posso separar nessa resumo de produtos: 3,8/5 BCOZ Eles usaram plástico de brinquedo na banda, mas, no entanto, não quebra facilmente, compare com o barco 450 ITS ITS Forte apenas, eu procuro um melhor efeito de graves Aux + Type C +; portanto, finalmen"&amp;"te, acima de tudo, não chega à minha preocupação 😆, agora eu pedi Zeb Bang Pro (699) RSIF, ele também soa alto, então eu desliguei com o barco 400 ( 900rs) SegmentNote: Se eu receber o barco 660 inicialmente, não vou buscar esses allllll). BCOZ invicto e"&amp;" completo FIL ME ALHO Agradece, a qualidade do som é boa, a quilidade construída é boa conforme o preço. Eu consegui por 600 Rs que valem totalmente a pena. Faz mais 10 dias que estou usando. Está funcionando totalmente bem., O som e outras qualidades est"&amp;"ão indo bem, exceto que os punhos da orelha estão sendo destacados facilmente e nenhum apoio firme para eles, os pons-eles são bons para o preço que vêm. O som é decente. A vida útil é longa o suficiente por 2 dias (não é contantemente). Os recursos com f"&amp;"io são um encanto se a bateria morrer. O cancelamento de ruído também é decente. um veículo e conectado seu telefone, você quase não ouvirá nenhuma música. A conectividade é um problema. O Dual Connect é bom, mas é uma latência de cerca de 2-3 segundo ao "&amp;"mudar de um para outro. Isso é tudo, você pode comprar isso se seu orçamento for menor e, como aluno, esses são os melhores fones de ouvido nessa faixa de preço., Som:* Ótimo baixo* Separação vocal e de instrumentos: média (a ser esperada assim por esse p"&amp;"reço) conectividade:* conexão rápida bt. este produto. Eu o uso todos os dias enquanto viajo para lugares distantes da faculdade., Se você estiver colocando este produto em 1000 rúpias, é um bom produto para você. ☺️, é geral um bom produto")</f>
        <v>Eu usei Boat 900, Boat 400, Boat 550 e eu vou pela primeira vez com o Zeb Thunder Pro, na verdade sou um amante da música e espero mais qualidade de som, thump baixo e música rica, confie em mim abaixo do que cito aqui 900 é um tipo com fio de segmento de orçamento inferior a 800rs, seu desempenho maciço em geral parece bastante simples, mas dá a pena grave extra e barco 400 (900rs) é desconforto por causa da pressão excessiva nos ouvidos, espero que, em longos dias, fique solto, pelo som Ele dá uma pitada mais do que grave extra que o barco 900 e parece inteligente, aqui o som é mais e o baixo Bass é muito mais ... mas aqui a voz ou parece um pouco atrevida, não é adequada para aulas on -line, ... seu único uso para música Loverboat 550 é por volta de 1800rs, é apenas adequado para aulas on -line para voz sem batida ou baixo no nível, som totalmente muito suave com vocal claro, não espere grave e faça meu corpo aumentar. Agora, o Zeb Thunder Pro, (699rs) por esse preço, é um ótimo produto, aparência elegante, slot SD e assim ... mas aqui alguns pontos negativos também aqui, botões ou não resistentes, um pouco solto e corpo As peças são como a banda principal são de plástico de brinquedo, pois a música volume completa é muito iluminada não é adorável de gostar, faça um soco de grito em um ouvido doloroso, o baixo também é muito bom, mas no geral está sempre abaixo dos produtos de barco, eu não você usou um produto de barco, você não gosta, o mesmo que se você usar a Sony, não vai gostar de barco😀. Se você não usa outras marcas e zebronics pela primeira vez que você se torna amante disso, ainda estou surpresa como eles dão este produto por esse preço chocante (aux + tipo C) sob 700 é chocante BCOZ se você for para o produto do tipo de barco é 1700 acima ou não é ruim, é mais bom para este preços 4/5 pesado (alto) em plena voume parece gritar dentro da orelha, caso contrário, nicebass: 3.7/5. Não chega ao produto de barco, mas você não sentirá diferença se você usar por mais 3 dias music + som + vocais, não posso separar nessa resumo de produtos: 3,8/5 BCOZ Eles usaram plástico de brinquedo na banda, mas, no entanto, não quebra facilmente, compare com o barco 450 ITS ITS Forte apenas, eu procuro um melhor efeito de graves Aux + Type C +; portanto, finalmente, acima de tudo, não chega à minha preocupação 😆, agora eu pedi Zeb Bang Pro (699) RSIF, ele também soa alto, então eu desliguei com o barco 400 ( 900rs) SegmentNote: Se eu receber o barco 660 inicialmente, não vou buscar esses allllll). BCOZ invicto e completo FIL ME ALHO Agradece, a qualidade do som é boa, a quilidade construída é boa conforme o preço. Eu consegui por 600 Rs que valem totalmente a pena. Faz mais 10 dias que estou usando. Está funcionando totalmente bem., O som e outras qualidades estão indo bem, exceto que os punhos da orelha estão sendo destacados facilmente e nenhum apoio firme para eles, os pons-eles são bons para o preço que vêm. O som é decente. A vida útil é longa o suficiente por 2 dias (não é contantemente). Os recursos com fio são um encanto se a bateria morrer. O cancelamento de ruído também é decente. um veículo e conectado seu telefone, você quase não ouvirá nenhuma música. A conectividade é um problema. O Dual Connect é bom, mas é uma latência de cerca de 2-3 segundo ao mudar de um para outro. Isso é tudo, você pode comprar isso se seu orçamento for menor e, como aluno, esses são os melhores fones de ouvido nessa faixa de preço., Som:* Ótimo baixo* Separação vocal e de instrumentos: média (a ser esperada assim por esse preço) conectividade:* conexão rápida bt. este produto. Eu o uso todos os dias enquanto viajo para lugares distantes da faculdade., Se você estiver colocando este produto em 1000 rúpias, é um bom produto para você. ☺️, é geral um bom produto</v>
      </c>
    </row>
    <row r="683">
      <c r="A683" s="9" t="s">
        <v>2703</v>
      </c>
      <c r="B683" s="29" t="str">
        <f>VLOOKUP(dados!A683, reviews!A:G, 5, FALSE)</f>
        <v>Comfortable keys and smooth typing,Good at this price,Good but space button very not working properly.. defect product..,Descent,Good product,as money as goods,good,Came with 2 keys not working</v>
      </c>
      <c r="C683" s="29" t="str">
        <f>VLOOKUP(dados!A683, reviews!A:G, 6, FALSE)</f>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v>
      </c>
      <c r="D683" s="29" t="str">
        <f>IFERROR(__xludf.DUMMYFUNCTION("GOOGLETRANSLATE(B683, ""en"", ""pt-br"")"),"Chaves confortáveis ​​e digitação suave, bom nesse preço, botão bom, mas espaço, muito não funcionando corretamente.")</f>
        <v>Chaves confortáveis ​​e digitação suave, bom nesse preço, botão bom, mas espaço, muito não funcionando corretamente.</v>
      </c>
      <c r="E683" s="29" t="str">
        <f>IFERROR(__xludf.DUMMYFUNCTION("GOOGLETRANSLATE(C683, ""en"", ""pt-br"")"),"Chaves confortáveis ​​e digitação suave, boa, média, ok ,, nada a dizer ..., bom, então a barra espacial foi apenas horrível, zero resposta de ambos os lados da chave e teve que pressionar com força na parte central também, E a chave menos no Numpad não e"&amp;"stava funcionando, você simplesmente não pode usar um teclado com uma barra de espaço como essa.")</f>
        <v>Chaves confortáveis ​​e digitação suave, boa, média, ok ,, nada a dizer ..., bom, então a barra espacial foi apenas horrível, zero resposta de ambos os lados da chave e teve que pressionar com força na parte central também, E a chave menos no Numpad não estava funcionando, você simplesmente não pode usar um teclado com uma barra de espaço como essa.</v>
      </c>
    </row>
    <row r="684">
      <c r="A684" s="9" t="s">
        <v>2707</v>
      </c>
      <c r="B684" s="29" t="str">
        <f>VLOOKUP(dados!A684, reviews!A:G, 5, FALSE)</f>
        <v>bit wobbly and too compact,Easy for the eye level,Not up to the mark,Good product,Nice,Serves the purpose,Best to buy,No</v>
      </c>
      <c r="C684" s="29" t="str">
        <f>VLOOKUP(dados!A684, reviews!A:G, 6, FALSE)</f>
        <v>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v>
      </c>
      <c r="D684" s="29" t="str">
        <f>IFERROR(__xludf.DUMMYFUNCTION("GOOGLETRANSLATE(B684, ""en"", ""pt-br"")"),"Bit Wobbly e muito compacto, fácil para o nível dos olhos, não à altura, bom produto, bom, serve ao propósito, melhor para comprar, não")</f>
        <v>Bit Wobbly e muito compacto, fácil para o nível dos olhos, não à altura, bom produto, bom, serve ao propósito, melhor para comprar, não</v>
      </c>
      <c r="E684" s="29" t="str">
        <f>IFERROR(__xludf.DUMMYFUNCTION("GOOGLETRANSLATE(C684, ""en"", ""pt-br"")"),"Para 17 "", pode ser muito pequeno. Além disso, está bobo. Foi bom o suficiente para não me fazer devolvê -lo, se você possui laptop para jogos e deseja alguma elevação para esses fãs, não é uma compra ruim, mas a temperatura não é muito, mas é bom para o"&amp;"s olhos Nível, pois possui um design simples, pode não bloquear o fluxo de ar, mas não será confortável se você usar o teclado do laptop, pois começará a agitar, pois não fornece essa estabilidade e, portanto, é nem utilizável para fins de digitação que v"&amp;"ocê deve usar teclado externo e mouse, https: //m.media-amazon.com/images/i/71cbmitzdrl._sy88.jpg,good.works conforme o esperado, pequeno fator de forma, sob usos de uso levemente áspero, mas ainda funciona como esperado , Produto de qualidade para compra"&amp;"r, bom")</f>
        <v>Para 17 ", pode ser muito pequeno. Além disso, está bobo. Foi bom o suficiente para não me fazer devolvê -lo, se você possui laptop para jogos e deseja alguma elevação para esses fãs, não é uma compra ruim, mas a temperatura não é muito, mas é bom para os olhos Nível, pois possui um design simples, pode não bloquear o fluxo de ar, mas não será confortável se você usar o teclado do laptop, pois começará a agitar, pois não fornece essa estabilidade e, portanto, é nem utilizável para fins de digitação que você deve usar teclado externo e mouse, https: //m.media-amazon.com/images/i/71cbmitzdrl._sy88.jpg,good.works conforme o esperado, pequeno fator de forma, sob usos de uso levemente áspero, mas ainda funciona como esperado , Produto de qualidade para comprar, bom</v>
      </c>
    </row>
    <row r="685">
      <c r="A685" s="9" t="s">
        <v>2711</v>
      </c>
      <c r="B685" s="29" t="str">
        <f>VLOOKUP(dados!A685, reviews!A:G, 5, FALSE)</f>
        <v>Worth buying it.,Nice,Good product,Good,Logitech is the best there - problem with the sroller,Very good product,Value for money product,Good quality</v>
      </c>
      <c r="C685" s="29" t="str">
        <f>VLOOKUP(dados!A685, reviews!A:G, 6, FALSE)</f>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v>
      </c>
      <c r="D685" s="29" t="str">
        <f>IFERROR(__xludf.DUMMYFUNCTION("GOOGLETRANSLATE(B685, ""en"", ""pt-br"")"),"Vale a pena comprá -lo., Bom, bom produto, bom, Logitech é o melhor lá - problema com o sroller, muito bom produto, produto valor para dinheiro, boa qualidade")</f>
        <v>Vale a pena comprá -lo., Bom, bom produto, bom, Logitech é o melhor lá - problema com o sroller, muito bom produto, produto valor para dinheiro, boa qualidade</v>
      </c>
      <c r="E685" s="29" t="str">
        <f>IFERROR(__xludf.DUMMYFUNCTION("GOOGLETRANSLATE(C685, ""en"", ""pt-br"")"),"Estou usando -o de 1 mês, funciona decente. Ele., Tipo, peso leve e funcionam bem, bom, sem dúvida, a Logitech é a melhor em mouses. Mas estou encontrando um problema com o pergaminho. Em alguns dias, de repente, o pergaminho não é suave. Não tenho idéia "&amp;"do porquê. Não consigo rolar sem problemas com ele., Boa duração da bateria, sem ruído. Bom para uso de rotina normal, o M221 é um produto muito bom da Logitech. Este é o segundo mouse sem fio que comprei deles. Comprei este produto em 1º de julho de 2017"&amp;" e estou escrevendo esta resenha, pois meu clique esquerdo está indo Kaput. Tudo é bom nesse mouse, exceto na parte da bateria. Eu uso este mouse de 12 a 15 horas por dia e tive que trocar de bateria a cada 2º mês. Portanto, aqueles que estão comprando es"&amp;"te produto também devem comprar uma bateria e carregador recarregáveis. Este mouse é destinado apenas ao trabalho geral e a um pouco de jogos casuais [pequenos jogos]. Se você tentar jogar esses jogos triplos de AAA, você sentirá o atraso., Bom")</f>
        <v>Estou usando -o de 1 mês, funciona decente. Ele., Tipo, peso leve e funcionam bem, bom, sem dúvida, a Logitech é a melhor em mouses. Mas estou encontrando um problema com o pergaminho. Em alguns dias, de repente, o pergaminho não é suave. Não tenho idéia do porquê. Não consigo rolar sem problemas com ele., Boa duração da bateria, sem ruído. Bom para uso de rotina normal, o M221 é um produto muito bom da Logitech. Este é o segundo mouse sem fio que comprei deles. Comprei este produto em 1º de julho de 2017 e estou escrevendo esta resenha, pois meu clique esquerdo está indo Kaput. Tudo é bom nesse mouse, exceto na parte da bateria. Eu uso este mouse de 12 a 15 horas por dia e tive que trocar de bateria a cada 2º mês. Portanto, aqueles que estão comprando este produto também devem comprar uma bateria e carregador recarregáveis. Este mouse é destinado apenas ao trabalho geral e a um pouco de jogos casuais [pequenos jogos]. Se você tentar jogar esses jogos triplos de AAA, você sentirá o atraso., Bom</v>
      </c>
    </row>
    <row r="686">
      <c r="A686" s="9" t="s">
        <v>74</v>
      </c>
      <c r="B686" s="29" t="str">
        <f>VLOOKUP(dados!A686, reviews!A:G, 5, FALSE)</f>
        <v>It's quite good and value for money,Works well,Hdmi cable,Value for money,All good,Gets the job done,Delivery was good,This one was my need to purchase</v>
      </c>
      <c r="C686" s="29" t="str">
        <f>VLOOKUP(dados!A686, reviews!A:G, 6, FALSE)</f>
        <v>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v>
      </c>
      <c r="D686" s="29" t="str">
        <f>IFERROR(__xludf.DUMMYFUNCTION("GOOGLETRANSLATE(B686, ""en"", ""pt-br"")"),"É muito bom e uma relação custo")</f>
        <v>É muito bom e uma relação custo</v>
      </c>
      <c r="E686" s="29" t="str">
        <f>IFERROR(__xludf.DUMMYFUNCTION("GOOGLETRANSLATE(C686, ""en"", ""pt-br"")"),"Estou usando isso há 14 dias agora. A experiência é muito boa a partir de agora. A qualidade da imagem também não é ruim. Não espere algo fora do mundo a esse preço. Mas você pode fazer isso se tiver um orçamento apertado., Impressões iniciais: funciona c"&amp;"omo dito, feliz por não ter opções mais baratas (não que seja muito caro), basta plug e reproduzir. Atualizará se isso estragar, o cabo HDMI é bom assistir a filmes, esportes e sua melhor qualidade enquanto conecta seu laptop à TV e reproduzi. Eu adorei, "&amp;"funciona como esperado. O comprimento do cabo é curto e foi mencionado também satisfeito com o meu requisito. Se você precisar de mais comprimento, é melhor procurar outras opções., Tudo de bom, é o melhor cabo HDMI nessa faixa de preço. Ainda não há prob"&amp;"lemas. Basta ir em frente !!, eu esperava que isso fosse entregue no prazo e foi entregue a tempo. O produto é bom, pois já experimentei outros cabos e fios da marca Amazon BasicA., Bom")</f>
        <v>Estou usando isso há 14 dias agora. A experiência é muito boa a partir de agora. A qualidade da imagem também não é ruim. Não espere algo fora do mundo a esse preço. Mas você pode fazer isso se tiver um orçamento apertado., Impressões iniciais: funciona como dito, feliz por não ter opções mais baratas (não que seja muito caro), basta plug e reproduzir. Atualizará se isso estragar, o cabo HDMI é bom assistir a filmes, esportes e sua melhor qualidade enquanto conecta seu laptop à TV e reproduzi. Eu adorei, funciona como esperado. O comprimento do cabo é curto e foi mencionado também satisfeito com o meu requisito. Se você precisar de mais comprimento, é melhor procurar outras opções., Tudo de bom, é o melhor cabo HDMI nessa faixa de preço. Ainda não há problemas. Basta ir em frente !!, eu esperava que isso fosse entregue no prazo e foi entregue a tempo. O produto é bom, pois já experimentei outros cabos e fios da marca Amazon BasicA., Bom</v>
      </c>
    </row>
    <row r="687">
      <c r="A687" s="9" t="s">
        <v>2716</v>
      </c>
      <c r="B687" s="29" t="str">
        <f>VLOOKUP(dados!A687, reviews!A:G, 5, FALSE)</f>
        <v>An Overall Good Product.,Great notebook, but..,Good,Awesome,Paper quality not nice,Very good copies,Design,Good product</v>
      </c>
      <c r="C687" s="29" t="str">
        <f>VLOOKUP(dados!A687, reviews!A:G, 6, FALSE)</f>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v>
      </c>
      <c r="D687" s="29" t="str">
        <f>IFERROR(__xludf.DUMMYFUNCTION("GOOGLETRANSLATE(B687, ""en"", ""pt-br"")"),"Um bom produto geral., Ótimo caderno, mas .., bom, incrível, qualidade do papel não é boa, cópias muito boas, design, bom produto")</f>
        <v>Um bom produto geral., Ótimo caderno, mas .., bom, incrível, qualidade do papel não é boa, cópias muito boas, design, bom produto</v>
      </c>
      <c r="E687" s="29" t="str">
        <f>IFERROR(__xludf.DUMMYFUNCTION("GOOGLETRANSLATE(C687, ""en"", ""pt-br"")"),"Primeiro de tudo, o item parece bom atraente. As tampas laterais dianteiras e traseiras são boas, parecem suaves e premium. Dou uma estrela de 4 estrelas, considerando os pontos abaixo ... também, graças à Amazon pela entrega super rápida.1. Qualidade do "&amp;"papel - Nice, usei canetas de bola, esboço e também tinta. Todos os casos não estão imitando a tinta. Ligação - a ligação em espiral e a qalidade é boa e atraente. Robustez - aqui poderia ter sido um pouco melhor, considerando o preço. Peso leve - a quali"&amp;"dade da ligação e do papel é agradável, ainda lite Weght. Isso é uma vantagem. Experiência de escrita - Melhor do que a média disponível NotBooks em precetag semelhante., Primeiro, o design do notebook é ótimo, as páginas são agradáveis ​​e suaves, mas um"&amp;" pouco mais fino. Os divisores do sujeito são mais espessos do que outras páginas. O QC tem alguns problemas, a partir da unidade que eu pedi para testar este produto @118 Rs Algumas páginas foram dobradas dos cantos e se tornam maiores quando desdobradas"&amp;" conforme mostrado na figura acima. Muitas páginas foram coladas umas sobre as outras, rasgando alguma parte ao lançá -las novamente, ilustradas na imagem adicionada acima. É um negócio de roubo absoluto por Rs 118 por peça, pois nenhum outro caderno comp"&amp;"ete no mercado de 300 páginas em espiral e notebooks de Cerca de 200 páginas limitadas não espirais de um tamanho similário são vendidas por 84 Rs, desde a redação desta resenha. A única desvantagem que encontrei além do QC é que ele não inclui uma página"&amp;" de índice, caso contrário; Possui alguns jogos, enigmas e páginas de notas, como outros notebooks, e a primeira página é dedicada aos detalhes dos proprietários e entre em contato com a N.O. Ótimo vê -lo presente. No geral, recomendo este produto devido "&amp;"ao valor pelo dinheiro e à qualidade. Entendo que minha unidade foi uma, pois outras críticas não parecem mencionar isso. Atualizará depois de usar isso por mais algumas semanas, o produto vale o dinheiro. A qualidade do papel foi boa e possui seis separa"&amp;"ções para seis assuntos diferentes., ValU for MoneyPremium Quality ,, Encomendei 3, apenas uma cópia foi um pouco danificada pela encadernação., Recebi o mesmo caderno de design. O que é pouco decepcionando -me. Exceto que está tudo bem!, Bom produto")</f>
        <v>Primeiro de tudo, o item parece bom atraente. As tampas laterais dianteiras e traseiras são boas, parecem suaves e premium. Dou uma estrela de 4 estrelas, considerando os pontos abaixo ... também, graças à Amazon pela entrega super rápida.1. Qualidade do papel - Nice, usei canetas de bola, esboço e também tinta. Todos os casos não estão imitando a tinta. Ligação - a ligação em espiral e a qalidade é boa e atraente. Robustez - aqui poderia ter sido um pouco melhor, considerando o preço. Peso leve - a qualidade da ligação e do papel é agradável, ainda lite Weght. Isso é uma vantagem. Experiência de escrita - Melhor do que a média disponível NotBooks em precetag semelhante., Primeiro, o design do notebook é ótimo, as páginas são agradáveis ​​e suaves, mas um pouco mais fino. Os divisores do sujeito são mais espessos do que outras páginas. O QC tem alguns problemas, a partir da unidade que eu pedi para testar este produto @118 Rs Algumas páginas foram dobradas dos cantos e se tornam maiores quando desdobradas conforme mostrado na figura acima. Muitas páginas foram coladas umas sobre as outras, rasgando alguma parte ao lançá -las novamente, ilustradas na imagem adicionada acima. É um negócio de roubo absoluto por Rs 118 por peça, pois nenhum outro caderno compete no mercado de 300 páginas em espiral e notebooks de Cerca de 200 páginas limitadas não espirais de um tamanho similário são vendidas por 84 Rs, desde a redação desta resenha. A única desvantagem que encontrei além do QC é que ele não inclui uma página de índice, caso contrário; Possui alguns jogos, enigmas e páginas de notas, como outros notebooks, e a primeira página é dedicada aos detalhes dos proprietários e entre em contato com a N.O. Ótimo vê -lo presente. No geral, recomendo este produto devido ao valor pelo dinheiro e à qualidade. Entendo que minha unidade foi uma, pois outras críticas não parecem mencionar isso. Atualizará depois de usar isso por mais algumas semanas, o produto vale o dinheiro. A qualidade do papel foi boa e possui seis separações para seis assuntos diferentes., ValU for MoneyPremium Quality ,, Encomendei 3, apenas uma cópia foi um pouco danificada pela encadernação., Recebi o mesmo caderno de design. O que é pouco decepcionando -me. Exceto que está tudo bem!, Bom produto</v>
      </c>
    </row>
    <row r="688">
      <c r="A688" s="9" t="s">
        <v>1771</v>
      </c>
      <c r="B688" s="29" t="str">
        <f>VLOOKUP(dados!A688, reviews!A:G, 5, FALSE)</f>
        <v>Best,genuine,Nice product,Good product,Value for money,Good,worth of purchase,Good 👍</v>
      </c>
      <c r="C688" s="29" t="str">
        <f>VLOOKUP(dados!A688, reviews!A:G, 6, FALSE)</f>
        <v>Best wishes,brought it online as cautious about buying offline coz of fake and overpriced products. using it for my wifi camera. working fine,Nice product,Nice quality product easy to use. Thanks amazon,Well known brand ..Nice product.,Good,worth product,Bahut achcha laga Raha hai</v>
      </c>
      <c r="D688" s="29" t="str">
        <f>IFERROR(__xludf.DUMMYFUNCTION("GOOGLETRANSLATE(B688, ""en"", ""pt-br"")"),"Melhor, genuíno, bom produto, bom produto, valor ao dinheiro, bom, no valor de compra, bom 👍")</f>
        <v>Melhor, genuíno, bom produto, bom produto, valor ao dinheiro, bom, no valor de compra, bom 👍</v>
      </c>
      <c r="E688" s="29" t="str">
        <f>IFERROR(__xludf.DUMMYFUNCTION("GOOGLETRANSLATE(C688, ""en"", ""pt-br"")"),"Os melhores votos, trouxeram -o on -line como cautelosos ao comprar por mais de produtos falsos e muito caros. Usando -o para minha câmera wifi. Trabalhando bem, bom produto, produto de boa qualidade fácil de usar. Obrigado Amazon, marca bem conhecida.")</f>
        <v>Os melhores votos, trouxeram -o on -line como cautelosos ao comprar por mais de produtos falsos e muito caros. Usando -o para minha câmera wifi. Trabalhando bem, bom produto, produto de boa qualidade fácil de usar. Obrigado Amazon, marca bem conhecida.</v>
      </c>
    </row>
    <row r="689">
      <c r="A689" s="9" t="s">
        <v>2724</v>
      </c>
      <c r="B689" s="29" t="str">
        <f>VLOOKUP(dados!A689, reviews!A:G, 5, FALSE)</f>
        <v>Nice,Scroll wheel is extremely small,Value for money 💰 during sale price become much lower than normal that is time to buy this.,Ok,It's a quality product...,Good product,Mouse OK but upper part Flimsy,Product is good</v>
      </c>
      <c r="C689" s="29" t="str">
        <f>VLOOKUP(dados!A689, reviews!A:G, 6, FALSE)</f>
        <v>Packing was not good, over all good product..,Scroll wheel is very small otherwise the product seems good at least at the first use,https://m.media-amazon.com/images/I/615o-xCWE-L._SY88.jpg,Ok,,A bit disappointed with on/off switch.. it’s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v>
      </c>
      <c r="D689" s="29" t="str">
        <f>IFERROR(__xludf.DUMMYFUNCTION("GOOGLETRANSLATE(B689, ""en"", ""pt-br"")"),"Bom, a roda de rolagem é extremamente pequena, o valor do dinheiro 💰 durante o preço de venda se torna muito menor que bom")</f>
        <v>Bom, a roda de rolagem é extremamente pequena, o valor do dinheiro 💰 durante o preço de venda se torna muito menor que bom</v>
      </c>
      <c r="E689" s="29" t="str">
        <f>IFERROR(__xludf.DUMMYFUNCTION("GOOGLETRANSLATE(C689, ""en"", ""pt-br"")"),"A embalagem não era boa, em todo o bom produto., A roda de rolagem é muito pequena, caso contrário, o produto parece bom, pelo menos no primeiro uso, https: //m.media-amazon.com/images/i/615o-xcwe-l ._Sy88.jpg, ok ,, um pouco decepcionado com o interrupto"&amp;"r On/Off. É muito pequeno .. caso contrário, o produto é bom .., deu -1 estrela para a capa superior frágil e o botão liga/desliga. Descanse tudo é bom. Fácil de navegar. O botão OFF OFF no fundo poderia ter sido melhor. Não é o tipo regular de colocar a "&amp;"bateria na parte inferior. Puxe a tampa superior e coloque a bateria. O slot é fornecido para o adaptador sem fio adjacente ao compartimento da bateria. Fácil de usar. simples plug-and-play. Para melhores resultados, desligue o mouse apenas durante os fin"&amp;"s de semana. A drenagem da energia da bateria, em certa medida, é boa quando comparada à falta de jeito do botão Ox/Off., É bom usar.")</f>
        <v>A embalagem não era boa, em todo o bom produto., A roda de rolagem é muito pequena, caso contrário, o produto parece bom, pelo menos no primeiro uso, https: //m.media-amazon.com/images/i/615o-xcwe-l ._Sy88.jpg, ok ,, um pouco decepcionado com o interruptor On/Off. É muito pequeno .. caso contrário, o produto é bom .., deu -1 estrela para a capa superior frágil e o botão liga/desliga. Descanse tudo é bom. Fácil de navegar. O botão OFF OFF no fundo poderia ter sido melhor. Não é o tipo regular de colocar a bateria na parte inferior. Puxe a tampa superior e coloque a bateria. O slot é fornecido para o adaptador sem fio adjacente ao compartimento da bateria. Fácil de usar. simples plug-and-play. Para melhores resultados, desligue o mouse apenas durante os fins de semana. A drenagem da energia da bateria, em certa medida, é boa quando comparada à falta de jeito do botão Ox/Off., É bom usar.</v>
      </c>
    </row>
    <row r="690">
      <c r="A690" s="9" t="s">
        <v>2728</v>
      </c>
      <c r="B690" s="29" t="str">
        <f>VLOOKUP(dados!A690, reviews!A:G, 5, FALSE)</f>
        <v>Decent Product,Very useful,Daljeet,***,Good,Working well but heated much while charging,Value For Money and Worthable,Good among all rechargable batree</v>
      </c>
      <c r="C690" s="29" t="str">
        <f>VLOOKUP(dados!A690, reviews!A:G, 6, FALSE)</f>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v>
      </c>
      <c r="D690" s="29" t="str">
        <f>IFERROR(__xludf.DUMMYFUNCTION("GOOGLETRANSLATE(B690, ""en"", ""pt-br"")"),"Produto decente, muito útil, Daljeet, ***, bom, funcionando bem, mas aquecido muito enquanto cobra, valor pelo dinheiro e valioso, bom entre todos os Batree recarregável")</f>
        <v>Produto decente, muito útil, Daljeet, ***, bom, funcionando bem, mas aquecido muito enquanto cobra, valor pelo dinheiro e valioso, bom entre todos os Batree recarregável</v>
      </c>
      <c r="E690" s="29" t="str">
        <f>IFERROR(__xludf.DUMMYFUNCTION("GOOGLETRANSLATE(C690, ""en"", ""pt-br"")"),"A qualidade dessas baterias é realmente boa. Usei essas baterias em mouse e aparador sem fio. No mouse sem fio, as baterias dura mais de 7 dias e, no aparador, dura 15 dias. Feliz com o produto e feliz com os padrões de embalagem e entrega da Amazon., Mui"&amp;"to útil. Bom para uso normal. Estou usando -o para a minha câmera de ponto e fotografia e funciona perfeitamente bem, vale a pena comprar Prodect, bom produto., Controle remoto e longevidade, trabalhando bem para o Flash Externo da minha câmera. Tirei qua"&amp;"se 50 fotos com várias energia flash e ela ainda havia carregado. Então eu o carrego novamente com o carregador C55 da Panasonic e ele foi totalmente carregado dentro de 1,5 horas. Mas quando eu o carrego pela primeira vez, as baterias estavam conversando"&amp;" muito tempo, embora a empresa reivindique seu pré -cobrado, uma bateria levou 2 horas para carregar completamente. Pode ser que uma célula seja fraca e eu recebi 2021 embalagens. Agora, apenas negativo, descobri que as baterias ficando muito quentes dura"&amp;"nte o carregamento., É uma bateria poderosa para uso de musa que está chegando até 1 mês após o recarga completa do uso da placa de chave estar chegando a 1 mês Após a recarga completa. Os equipamentos médicos estão ficando muito tempo ... os Wallclocks e"&amp;"stão apenas comendo a duração da bateria em duas semanas. Mas não é usado para brinquedos para crianças a cada 2 dias, você retrata sua bateria. Também é legal e eficácia em vez de Comprando uma nova bateria .... todos os outros dispositivos eletrônicos e"&amp;"stão bem para facilitar a vida ..., super batree ... boa vida")</f>
        <v>A qualidade dessas baterias é realmente boa. Usei essas baterias em mouse e aparador sem fio. No mouse sem fio, as baterias dura mais de 7 dias e, no aparador, dura 15 dias. Feliz com o produto e feliz com os padrões de embalagem e entrega da Amazon., Muito útil. Bom para uso normal. Estou usando -o para a minha câmera de ponto e fotografia e funciona perfeitamente bem, vale a pena comprar Prodect, bom produto., Controle remoto e longevidade, trabalhando bem para o Flash Externo da minha câmera. Tirei quase 50 fotos com várias energia flash e ela ainda havia carregado. Então eu o carrego novamente com o carregador C55 da Panasonic e ele foi totalmente carregado dentro de 1,5 horas. Mas quando eu o carrego pela primeira vez, as baterias estavam conversando muito tempo, embora a empresa reivindique seu pré -cobrado, uma bateria levou 2 horas para carregar completamente. Pode ser que uma célula seja fraca e eu recebi 2021 embalagens. Agora, apenas negativo, descobri que as baterias ficando muito quentes durante o carregamento., É uma bateria poderosa para uso de musa que está chegando até 1 mês após o recarga completa do uso da placa de chave estar chegando a 1 mês Após a recarga completa. Os equipamentos médicos estão ficando muito tempo ... os Wallclocks estão apenas comendo a duração da bateria em duas semanas. Mas não é usado para brinquedos para crianças a cada 2 dias, você retrata sua bateria. Também é legal e eficácia em vez de Comprando uma nova bateria .... todos os outros dispositivos eletrônicos estão bem para facilitar a vida ..., super batree ... boa vida</v>
      </c>
    </row>
    <row r="691">
      <c r="A691" s="9" t="s">
        <v>83</v>
      </c>
      <c r="B691" s="29" t="str">
        <f>VLOOKUP(dados!A691, reviews!A:G, 5, FALSE)</f>
        <v>Works,Nice Product,Fast Charging as original,Good for data transfer,Average. Cost effective,Good quality,Great Product,Nice</v>
      </c>
      <c r="C691" s="29" t="str">
        <f>VLOOKUP(dados!A691, reviews!A:G, 6, FALSE)</f>
        <v>Definitely isn’t as good as the original cord but works. Fast charging and pretty sturdy,Worth it,So I had a faulty cable. I was lazy and have a lot of money so instead of calling Apple I bought this for like 300 bucks. Didn’t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v>
      </c>
      <c r="D691" s="29" t="str">
        <f>IFERROR(__xludf.DUMMYFUNCTION("GOOGLETRANSLATE(B691, ""en"", ""pt-br"")"),"Trabalhos, bom produto, carregamento rápido como original, bom para transferência de dados, média. Econômico, de boa qualidade, ótimo produto, bom")</f>
        <v>Trabalhos, bom produto, carregamento rápido como original, bom para transferência de dados, média. Econômico, de boa qualidade, ótimo produto, bom</v>
      </c>
      <c r="E691" s="29" t="str">
        <f>IFERROR(__xludf.DUMMYFUNCTION("GOOGLETRANSLATE(C691, ""en"", ""pt-br"")"),"Definitivamente não é tão bom quanto o cordão original, mas funciona. Carregamento rápido e bastante resistente, vale a pena, então eu tinha um cabo com defeito. Eu era preguiçoso e tenho muito dinheiro, então, em vez de ligar para a Apple, comprei isso p"&amp;"or 300 dólares. Não esperava muito, mas para minha surpresa, esse cabo realmente funciona e tem carregamento rápido. Basta seguir em frente, parecia bastante resistente, os conectores parecem premium e foram fáceis de inserir. Usei este cabo para alternar"&amp;" todos os meus dados do iPhone 7 para um M30s. Cable funcionou como charme enquanto usava o aplicativo Smart Switch, todos os meus dados, incluindo dados do WhatsApp, foram transferidos com sucesso. Satisfeito com o desempenho., Apenas boa, a qualidade é "&amp;"muito boa e de boa sorte.")</f>
        <v>Definitivamente não é tão bom quanto o cordão original, mas funciona. Carregamento rápido e bastante resistente, vale a pena, então eu tinha um cabo com defeito. Eu era preguiçoso e tenho muito dinheiro, então, em vez de ligar para a Apple, comprei isso por 300 dólares. Não esperava muito, mas para minha surpresa, esse cabo realmente funciona e tem carregamento rápido. Basta seguir em frente, parecia bastante resistente, os conectores parecem premium e foram fáceis de inserir. Usei este cabo para alternar todos os meus dados do iPhone 7 para um M30s. Cable funcionou como charme enquanto usava o aplicativo Smart Switch, todos os meus dados, incluindo dados do WhatsApp, foram transferidos com sucesso. Satisfeito com o desempenho., Apenas boa, a qualidade é muito boa e de boa sorte.</v>
      </c>
    </row>
    <row r="692">
      <c r="A692" s="9" t="s">
        <v>2735</v>
      </c>
      <c r="B692" s="29" t="str">
        <f>VLOOKUP(dados!A692, reviews!A:G, 5, FALSE)</f>
        <v>Works just fine,Nice earbuds, but not quite as advertised,The sound quality is good but not better than wired or neckband earphones.,Overall Good,Nice product,Good to buy, for compact ear pods with decent sound battery and sound quality,Good,👍 Good</v>
      </c>
      <c r="C692" s="29" t="str">
        <f>VLOOKUP(dados!A692, reviews!A:G, 6, FALSE)</f>
        <v>Review after using it for about a month -pros-• battery backup is the most amazing of all.• sound quality is amazing but bass is on the low side.• build quality is well made almost feels premium but could be improved.• very comfy even after a long day use.cons-• There's a noticable delay in touch controls (most irritating one).• There's no such thing as no delay during gaming on wireless earphones. just get wired instead of this if you are planning on using it for gaming.• Noise cancellation calling or enc doesnt work, also while calling 2nd person most of the time says that "I can't hear you well" or "Your voice is so low" on outdoors.• Sometimes a earphone doesn't turns on, so I have to manually turn it on.•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v>
      </c>
      <c r="D692" s="29" t="str">
        <f>IFERROR(__xludf.DUMMYFUNCTION("GOOGLETRANSLATE(B692, ""en"", ""pt-br"")"),"Funciona bem, bons fones de ouvido, mas não tão anunciados, a qualidade do som é boa, mas não é melhor que os fones de ouvido com fio ou na banda de pescoço., No geral, bom, bom produto, bom para comprar, para vagens de ouvido compactas com bateria de som"&amp;" decente e qualidade de som, Bom, 👍 bom")</f>
        <v>Funciona bem, bons fones de ouvido, mas não tão anunciados, a qualidade do som é boa, mas não é melhor que os fones de ouvido com fio ou na banda de pescoço., No geral, bom, bom produto, bom para comprar, para vagens de ouvido compactas com bateria de som decente e qualidade de som, Bom, 👍 bom</v>
      </c>
      <c r="E692" s="29" t="str">
        <f>IFERROR(__xludf.DUMMYFUNCTION("GOOGLETRANSLATE(C692, ""en"", ""pt-br"")"),"Revise depois de usá -lo por cerca de um mês -Pros- • O backup da bateria é o mais surpreendente de todos • A qualidade do som é incrível, mas o baixo está do lado baixo. • A qualidade de construção é bem feita quase premium, mas pode ser melhorada. • mui"&amp;"to confortável mesmo após um longo dia de uso. Basta ser conectado, em vez disso, se você estiver planejando usá -lo para jogos. Tão baixo ""ao ar livre. • Às vezes, um fone de ouvido não liga, então eu tenho que ligá -lo manualmente. painel. (Boat diz um"&amp;"a única torneira) Conclusão - se você tiver um pouco mais de orçamento, não compre isso. caso contrário, isso funciona bem., Recentemente, comprei os fones de ouvido sem fio verdadeiros e sem fio e os uso na semana passada. No geral, estou satisfeito com "&amp;"o produto. Os fones de ouvido são confortáveis ​​de usar e têm um bom ajuste, e a qualidade do som é impressionante para o preço. No entanto, fiquei desapontado ao descobrir que os fones de ouvido não têm cancelamento de ruído conforme anunciado. Enquanto"&amp;" bloqueiam algum ruído ambiente, eles não são tão eficazes quanto outros fones de ouvido que usei com a tecnologia de cancelamento de ruído. A duração da bateria foi satisfatória. Os fones de ouvido duram um bom tempo com uma única carga, e o caso é conve"&amp;"niente para cobrar no Go.veally, eu recomendaria os fones de ouvido do Boat AirDopes 181 para quem procura uma opção econômica com boa qualidade de som. Esteja ciente de que eles não têm cancelamento de ruído., Estou escrevendo esta resenha após dois dias"&amp;" de uso. Qualidade do som: os baixos são bons e agradáveis ​​aos ouvidos. A qualidade do baixo é boa. Eu apenas me senti que o agudo é um pouco alto demais, o que faz com que a música de alta frequência pareça um pouco desagradável. No geral, a qualidade "&amp;"é boa, mas não é tão boa quanto um fone de ouvido com fio ou uma banda pescada. (Kaam Chal Jayga) 2. Backup da bateria: já faz 2 dias e ainda não o cobrei ... ainda mostrando 70+% da bateria restante. Portanto, não acho que o backup da bateria seria um pr"&amp;"oblema. (uso moderado) 3. Construído: o estojo é pequeno e útil. Parece resistente. Os brotos se encaixam bem nos ouvidos. O geral construído é bom. Latência: este é para os jogadores. Na verdade, estou impressionado com a baixa latência que tem. Mesmo se"&amp;"m ligar o 'modo de besta', o feedback é quase instantâneo. E depois de ativar o modo de besta, ele se torna impecável. Joguei BGMI e bacalhau e não senti nenhum atraso no som. Ligue para: Tentei ligar para uma atmosfera silenciosa e não houve problema. At"&amp;"ualizará vocês se houver um problema ao ligar em uma área lotada., Em 1399 rúpias, é um bom fone de ouvido. Boa vida de Battary, bom som, bom conectividade- muito baixa qualidade de construção, parece tão barato. Se você é uma pessoa exigente, não gosta d"&amp;"o produto., Se você está procurando um fone de ouvido sem fio abaixo de 1500, vá em frente. Este produto é bom, o vazamento de som não há dúvida, mas você não sentirá nenhum tipo de distorção, o Airdrops 181 é muito útil, compacto em tamanho, bateria dura"&amp;"doura para o seu tamanho e a conectividade é muito boa junto com o som A qualidade, embora tenha um espaço para melhorias no cancelamento de ruído, mas ainda tem um desempenho muito bom para esse preço., É uma boa qualidade de som do produto também é um d"&amp;"ia, mas o cancelamento de ruído é média, é um bom produto, mas apenas por 4-5 meses.")</f>
        <v>Revise depois de usá -lo por cerca de um mês -Pros- • O backup da bateria é o mais surpreendente de todos • A qualidade do som é incrível, mas o baixo está do lado baixo. • A qualidade de construção é bem feita quase premium, mas pode ser melhorada. • muito confortável mesmo após um longo dia de uso. Basta ser conectado, em vez disso, se você estiver planejando usá -lo para jogos. Tão baixo "ao ar livre. • Às vezes, um fone de ouvido não liga, então eu tenho que ligá -lo manualmente. painel. (Boat diz uma única torneira) Conclusão - se você tiver um pouco mais de orçamento, não compre isso. caso contrário, isso funciona bem., Recentemente, comprei os fones de ouvido sem fio verdadeiros e sem fio e os uso na semana passada. No geral, estou satisfeito com o produto. Os fones de ouvido são confortáveis ​​de usar e têm um bom ajuste, e a qualidade do som é impressionante para o preço. No entanto, fiquei desapontado ao descobrir que os fones de ouvido não têm cancelamento de ruído conforme anunciado. Enquanto bloqueiam algum ruído ambiente, eles não são tão eficazes quanto outros fones de ouvido que usei com a tecnologia de cancelamento de ruído. A duração da bateria foi satisfatória. Os fones de ouvido duram um bom tempo com uma única carga, e o caso é conveniente para cobrar no Go.veally, eu recomendaria os fones de ouvido do Boat AirDopes 181 para quem procura uma opção econômica com boa qualidade de som. Esteja ciente de que eles não têm cancelamento de ruído., Estou escrevendo esta resenha após dois dias de uso. Qualidade do som: os baixos são bons e agradáveis ​​aos ouvidos. A qualidade do baixo é boa. Eu apenas me senti que o agudo é um pouco alto demais, o que faz com que a música de alta frequência pareça um pouco desagradável. No geral, a qualidade é boa, mas não é tão boa quanto um fone de ouvido com fio ou uma banda pescada. (Kaam Chal Jayga) 2. Backup da bateria: já faz 2 dias e ainda não o cobrei ... ainda mostrando 70+% da bateria restante. Portanto, não acho que o backup da bateria seria um problema. (uso moderado) 3. Construído: o estojo é pequeno e útil. Parece resistente. Os brotos se encaixam bem nos ouvidos. O geral construído é bom. Latência: este é para os jogadores. Na verdade, estou impressionado com a baixa latência que tem. Mesmo sem ligar o 'modo de besta', o feedback é quase instantâneo. E depois de ativar o modo de besta, ele se torna impecável. Joguei BGMI e bacalhau e não senti nenhum atraso no som. Ligue para: Tentei ligar para uma atmosfera silenciosa e não houve problema. Atualizará vocês se houver um problema ao ligar em uma área lotada., Em 1399 rúpias, é um bom fone de ouvido. Boa vida de Battary, bom som, bom conectividade- muito baixa qualidade de construção, parece tão barato. Se você é uma pessoa exigente, não gosta do produto., Se você está procurando um fone de ouvido sem fio abaixo de 1500, vá em frente. Este produto é bom, o vazamento de som não há dúvida, mas você não sentirá nenhum tipo de distorção, o Airdrops 181 é muito útil, compacto em tamanho, bateria duradoura para o seu tamanho e a conectividade é muito boa junto com o som A qualidade, embora tenha um espaço para melhorias no cancelamento de ruído, mas ainda tem um desempenho muito bom para esse preço., É uma boa qualidade de som do produto também é um dia, mas o cancelamento de ruído é média, é um bom produto, mas apenas por 4-5 meses.</v>
      </c>
    </row>
    <row r="693">
      <c r="A693" s="9" t="s">
        <v>2739</v>
      </c>
      <c r="B693" s="29" t="str">
        <f>VLOOKUP(dados!A693, reviews!A:G, 5, FALSE)</f>
        <v>**UPDATE MARCH2021**Decent for a USB 2.0 Device but don't expect anything above SBC *FALSE*aptX,Works very well, for Linux too,Using it to connect with ps5 controller on pc, no issues !,Not bad,Nice product with some cons,Overall good product 👌,Okay if on tight budget,Nice</v>
      </c>
      <c r="C693" s="29" t="str">
        <f>VLOOKUP(dados!A693, reviews!A:G, 6, FALSE)</f>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v>
      </c>
      <c r="D693" s="29" t="str">
        <f>IFERROR(__xludf.DUMMYFUNCTION("GOOGLETRANSLATE(B693, ""en"", ""pt-br"")"),"** ATUALIZAÇÃO MARÇO2021 ** Decent para um dispositivo USB 2.0, mas não espere nada acima do SBC*FALSE*APTX, funciona muito bem, para Linux também, usando -o para se conectar com o controlador PS5 no PC, sem problemas!, NÃO RUIM, Bom produto com alguns co"&amp;"ntras, bom produto em geral 👌, tudo bem se com um orçamento apertado, legal")</f>
        <v>** ATUALIZAÇÃO MARÇO2021 ** Decent para um dispositivo USB 2.0, mas não espere nada acima do SBC*FALSE*APTX, funciona muito bem, para Linux também, usando -o para se conectar com o controlador PS5 no PC, sem problemas!, NÃO RUIM, Bom produto com alguns contras, bom produto em geral 👌, tudo bem se com um orçamento apertado, legal</v>
      </c>
      <c r="E693" s="29" t="str">
        <f>IFERROR(__xludf.DUMMYFUNCTION("GOOGLETRANSLATE(C693, ""en"", ""pt-br"")"),"*** Esta é a atualização de março **. Quero fazer um grande ponto para quem não tiver uma boa distância, posso sugerir comprar qualquer um dos cabos de extensão, porque eles são o que eu uso e eles funcionam muito bem, Fedus USB 3.0/2.0 macho a para fêmea"&amp;" um cabo de extensão ORStorite 2 pacote USB 3.0 Male A para fêmea Um cabo de extensão. Eu tenho meu cabo de extensão da porta USB do laptop pendurada na luz da tubelão e isso aumentou minha faixa de BT para um raio de 25-50 pés. Somente minha área de trab"&amp;"alho de cozinha, com 3 paredes e 30 pés de distância, a conexão intermitente. . Apenas o anker possui conexão aptx.I adquiri as curvas ANKER Soundbuds AK-A3263011 e esse conjunto possui aptx, ao conectar esse fone de ouvido, o software CSR reconheceu o AP"&amp;"TX. Existe uma diferença no SBC/APTX? Eu realmente não posso dizer na qualidade do áudio, mas a conexão é mais estável. Além disso, não descobri uma maneira de alternar entre smartphones SBC/APTX. Ele se conecta automaticamente como aptx. Ele continuou co"&amp;"rrendo no modo seme -see (mono). Para comparar, parece ouvir a estação de rádio AM. Se você experimentar o mesmo efeito, pode ser uma maneira de corrigir isso ******* --- antes de conectar seu dispositivo BT ---- Clique com o botão direito do clique no íc"&amp;"one BT-&gt; Clique em Configurações Bluetooth-&gt; Clique em Audio/ Guia de vídeo-&gt; Você verá o SCMS-T Conteúdo Protection etc. Na caixa de diálogo Clique na caixa para ativar o fone de ouvido habilitado para proteção de conteúdo, apenas o acerto do APLIM APLIM"&amp;"ENTO OK. Clique com o botão direito do mouse no ícone BT na barra de tarefas-&gt; Adicionar dispositivo Bluetooth --.audio/video dispositivo e depois pesquise o dispositivo BT ... agora quando você se conectar, dê cerca de 10 segundos-&gt; Depois que conectado,"&amp;" ele deve fornecer o modo estéreo sob Ícone do orador na barra de tarefas. Depois de se desconectar, dependendo de qualquer outro fone de ouvido, você precisará voltar a essas configurações e desativar o dispositivo protegido por conteúdo. Para o meu OneP"&amp;"lus Bullets Wireless Z, tenho que desativar ou eles só se conectam no modo mono.Um muito curto passo a passo para conectar fone de ouvido .... verifique se o ícone BT está ligado - Blue Color = On - White = OFF no Windows TaskBright Click e criará a mesa "&amp;"com os títulos que o primeiro é ligar/desligar o rádio BT, que é o próprio dongle. (BT Signal é transmissão de rádio) O segundo título é para ativar/desligar a descoberta (transmitir/receber liga/desliga). Ao destacar isso, ele traz a tabela que mostra te"&amp;"lefones, computador, dispositivo de áudio/vídeo, impressora/dispositivo de imagem e teclado/mouse, tudo. O 4º título é exibir dispositivos Bluetooth (dispositivos que já estão conectados) O 5º cabeçalho é Configurações do Bluetooth (apenas para o dongle B"&amp;"luetooth, não a bordo do Bluetooth), o sexto e o último título que a mina mostra é (isso traz à tona o provedor de software e o vers. UB400) Eu só uso dispositivos de áudio, não tenho outros produtos BT, por isso não consigo testar além dos fones de ouvid"&amp;"o. conecte -se a este computador. No canto inferior direito, clique em Pesquise (verifique se o seu fone de ouvido está ligado e não está conectado a nenhum outro sistema/home theater/smartphone.ence o dispositivo aparecer, você pode clicar nele e, em seg"&amp;"uida, em seguida na parte inferior da página ou você pode clicar duas vezes. Qualquer um deles se conectará ao dispositivo. Depois de ""conectado"", dê cerca de 10 a 15 segundos para o Windows reconhecer a conexão. Você verá quais são as opções na próxima"&amp;" descrição -&gt; na barra de tarefas, clique no perfil de áudio (ícone do alto -falante ) Aqui existem 4 opções que aparecem para mim ---&gt; (** Nota-se você ver apenas 2 ou 3, leia a seção acima que diz que alguns fones de ouvido podem não funcionar corretame"&amp;"nte) som de TV, alto-falantes de laptop, Bluetooth Audio Renderer (Estéreo) e Bluetooth Hands Free Audio (Mono) .Click On Bluetooth Audio Renderer (estéreo) Espere alguns segundos para que ele obtenha. Agora seu fone de ouvido deve estar conectado. Em ass"&amp;"istir o YouTube, eu recebo algum atraso, mas com diferentes fones de ouvido, o atraso aumenta ou diminui. Funcionaria. Qualquer um que tenha qualquer entrada para isso, use uma ou qualquer minha postagem e adicione a ela. Isso seria útil para muitas pesso"&amp;"as.* Primeira postagem* Então, por alguns meses, eu o usava estritamente através do Win10, utilizando drivers Win10 e página de conexão Bluetooth através de configurações/sistema. Mas algumas vezes eu tentei usar com streaming de música para a Sony XB400 "&amp;"ou OnePlus Buds Wireless Bass Edition e haveria gotas intermitentes. Além disso, quando se tratava de emparelhar e conectar, diminuiria consistentemente meu laptop de chipset HP AMD A6. Além disso, sempre que tirei o dongle, isso também afetaria a descone"&amp;"ctar meu thumbdrive. Então, presumi que era um acelerador acontecendo com minhas portas USB. Eu tenho Sandisk Dual Drive, WD Passport, DVI para HDMI e Dongle Logitech. Então, um por um, desconectei tudo e deixei o dongle BT e foi um pouco melhor. Então, v"&amp;"erifiquei o site da TP Link India para qualquer FAQ relacionado. Quando pesquisei na seção Downloads-&gt; Drivers, havia driver de software presente. Então eu baixei, instalei e Win10 Taskbar mostra o ícone BT para usar o Dongle Thebt. O software do driver é"&amp;" do CSR Harmony Wireless Software Stack Versão 2.1.63.0.Emo instalado Há mais opções que podem ser acessadas através do ícone BT na barra de tarefas. O ícone BT fica na bandeja do sistema como antes. A transmissão de áudio pode ser alterada entre estéreo "&amp;"e mono. Além disso, se você estiver reproduzindo um arquivo de vídeo ou áudio e iniciar o processo de emparelhamento, uma vez conectado, haverá uma pequena pausa, ele se conectará à saída no estéreo. Funciona muito bem, eu comprei um longo cabo USB para f"&amp;"êmea e agora tenho um pouco mais de aumento na distância. Eu não tentei isso para transferência de arquivos. Se e quando eu encontrar a necessidade, vou atualizar. Porque agora, a esse preço, isso me dá liberdade para conectar meu equipamento de áudio BT "&amp;"em vez de comprar uma unidade mais cara para dar aos meus capabilitos de laptop BT. E isso é tão pequeno, se não menor, que alguns divilitadores. Ah, e eu também comprei um hub USB, alimentado por QZ separado, para minhas unidades. Portanto, os únicos dis"&amp;"positivos USB conectados são o dongle e o hub. Agora, quando eu desconecto o bt dongle, minhas unidades permanecem conectadas. Espero que essas informações sejam úteis, tentei não fazer muito tempo, mas aconteceu. Se surgirem perguntas, envie -me uma linh"&amp;"a e eu responderei com qualquer ajuda que eu possa dar., Os produtos TP Link geralmente funcionam bem ... enquanto a longevidade com uso contínuo pode variar, mas esses dispositivos não são destinados a uso prolongado ou contínuo. .Eu tive vários para vin"&amp;"cular dispositivos que variam de adaptadores Wi-Fi, roteadores, extensores de alcance, etc. agora eu tentei este adaptador Bluetooth..Pros: -Minuscule, você pode manter anexado ao dispositivo, não perceptível, mas não recomendado para fazer Então ... como"&amp;" geralmente está definido como descoberta durante a configuração e possui um alcance decente ... então, se um é cético demais, pode levar a problemas de segurança. Embora o hacker tenha que estar na mesma casa provavelmente! Range é decente .. Funciona be"&amp;"m na mesma sala ... esse tipo de dispositivo geralmente se destina a conectividade local, geralmente sem barreiras ... eu o uso para conectar fones de ouvido ao PC e funciona bem para isso ... anteriormente, tive um adaptador Bluetooth 2.0 do Entre e isso"&amp;" funcionou bem também, exceto para o alcance e a largura de banda necessária hoje em dia. Bem com o Linux ... eu uso o Ubuntu baseado em Debian ... e está quase plug and play ... eu tinha o Blueman Bluetooth Manager instalado no adaptador anterior que eu "&amp;"tinha .. e quando eu o conectei ... eu não precisei fazer Qualquer outra coisa ... tão diferente do que o site diz, apenas no Windows, ele definitivamente funciona com o Linux ... não posso dizer se a versão 5.0 UB500 funcionará ... enquanto instalava o d"&amp;"river no Windows, notei que estava instalando CSR Stack e CSR Original Chip (há muitos falsos) é conhecido por trabalhar com o Linux ... então talvez seja por isso que funcionou bem ... no Windows, eu tenho Win7.Eu tive o bluesoleil pré-instalado e funcio"&amp;"nou com ele. Não precisou instalar nenhum driver separadamente ... mas há um motorista disponível em seu site para XP/7..in Win8 e acima, deveria ser plug and play ... então não há problemas lá ... agora os contras: -Um preço um pouco alto do que o resto "&amp;"das empresas. Provavelmente pode melhorar isso ... Eu comprei para a qualidade 400udio é bom, mas de alguma forma, em comparação com o meu bluetooth 2.0 pilha .. o áudio foi um pouco suave. teve que aumentar o volume mais alto para atingir o mesmo nível d"&amp;"e sonoridade ... mas mesmo assim, sinto, uma ligeira redução na faixa dinâmica do áudio. Não faço ideia se esse é um problema de software ou hardware. . Não é muito perceptível. Especialmente de alguém não tem nada com que comparar ... pouco, o driver do "&amp;"Windows é de 400 MB! Grande para um motorista desses dispositivos ... nem bluesoleil/blueman cruzar 30 MB ... então eu não sei o que está sendo embalado nesses motoristas ... também, de alguma forma o motorista não tinha uma instalação limpa no meu sistem"&amp;"a, algo para fazer com o carregamento incorreto da biblioteca C ++ ... não importava, pois eu já tinha outro driver instalado ... um pouco de dispositivo bacana. Não tenho necessidade de 5.0 Bluetooth, pois não tenho nenhum dispositivo que o requer .. Eu "&amp;"só precisava de um adaptador 4.0 para resolver o problema da largura de banda ... e esse objetivo é bem servido e que funciona tanto no Win quanto no Linux é muito útil. semanas. Basta conectar, instalar drivers e você está pronto! Parece menos conexão co"&amp;"m o controlador PS5! A latência é muito baixa em torno de 1ms. Portanto, basicamente a conexão é ainda mais rápida que a conexão com fio (2ms). Mas quando eu conecto simultaneamente airpods Gen 2, a saída de som era muito fraca, foi abafada! Mas serve ao "&amp;"meu principal objetivo com o controlador PS5., Aparentemente, parece que é o adaptador Bluetooth mais relevante por aí boa conectividade e todo tipo de material como esse, geralmente vem em um adaptador BT que eu diria que o único golpe é a instalação Par"&amp;"te demorou um pouco, que foi o site e os drivers do UB500, além disso, tudo é fabuloso., Muito fácil de instalar, a conectividade também é boa, mas às vezes enquanto usa os fones de ouvido Bluetooth rachaduras também compartilhamento de Bluetooth é bastan"&amp;"te lento .... . Esse é tudo*, caso contrário, o produto é muito bom*, 1) fácil de instalar, quero dizer, basta conectar .2) A conectividade é de todos os pontos, mas 1-2 tempo, sinto problemas de fumble.3) A qualidade do som depende de seu alto -falante s"&amp;"em fio., Se você é um orçamento apertado, tudo bem. Caso contrário, se puder gastar 150/- extra, vá para a versão BT 5.0. Muito melhor tanto no alcance quanto na conectividade., Como")</f>
        <v>*** Esta é a atualização de março **. Quero fazer um grande ponto para quem não tiver uma boa distância, posso sugerir comprar qualquer um dos cabos de extensão, porque eles são o que eu uso e eles funcionam muito bem, Fedus USB 3.0/2.0 macho a para fêmea um cabo de extensão ORStorite 2 pacote USB 3.0 Male A para fêmea Um cabo de extensão. Eu tenho meu cabo de extensão da porta USB do laptop pendurada na luz da tubelão e isso aumentou minha faixa de BT para um raio de 25-50 pés. Somente minha área de trabalho de cozinha, com 3 paredes e 30 pés de distância, a conexão intermitente. . Apenas o anker possui conexão aptx.I adquiri as curvas ANKER Soundbuds AK-A3263011 e esse conjunto possui aptx, ao conectar esse fone de ouvido, o software CSR reconheceu o APTX. Existe uma diferença no SBC/APTX? Eu realmente não posso dizer na qualidade do áudio, mas a conexão é mais estável. Além disso, não descobri uma maneira de alternar entre smartphones SBC/APTX. Ele se conecta automaticamente como aptx. Ele continuou correndo no modo seme -see (mono). Para comparar, parece ouvir a estação de rádio AM. Se você experimentar o mesmo efeito, pode ser uma maneira de corrigir isso ******* --- antes de conectar seu dispositivo BT ---- Clique com o botão direito do clique no ícone BT-&gt; Clique em Configurações Bluetooth-&gt; Clique em Audio/ Guia de vídeo-&gt; Você verá o SCMS-T Conteúdo Protection etc. Na caixa de diálogo Clique na caixa para ativar o fone de ouvido habilitado para proteção de conteúdo, apenas o acerto do APLIM APLIMENTO OK. Clique com o botão direito do mouse no ícone BT na barra de tarefas-&gt; Adicionar dispositivo Bluetooth --.audio/video dispositivo e depois pesquise o dispositivo BT ... agora quando você se conectar, dê cerca de 10 segundos-&gt; Depois que conectado, ele deve fornecer o modo estéreo sob Ícone do orador na barra de tarefas. Depois de se desconectar, dependendo de qualquer outro fone de ouvido, você precisará voltar a essas configurações e desativar o dispositivo protegido por conteúdo. Para o meu OnePlus Bullets Wireless Z, tenho que desativar ou eles só se conectam no modo mono.Um muito curto passo a passo para conectar fone de ouvido .... verifique se o ícone BT está ligado - Blue Color = On - White = OFF no Windows TaskBright Click e criará a mesa com os títulos que o primeiro é ligar/desligar o rádio BT, que é o próprio dongle. (BT Signal é transmissão de rádio) O segundo título é para ativar/desligar a descoberta (transmitir/receber liga/desliga). Ao destacar isso, ele traz a tabela que mostra telefones, computador, dispositivo de áudio/vídeo, impressora/dispositivo de imagem e teclado/mouse, tudo. O 4º título é exibir dispositivos Bluetooth (dispositivos que já estão conectados) O 5º cabeçalho é Configurações do Bluetooth (apenas para o dongle Bluetooth, não a bordo do Bluetooth), o sexto e o último título que a mina mostra é (isso traz à tona o provedor de software e o vers. UB400) Eu só uso dispositivos de áudio, não tenho outros produtos BT, por isso não consigo testar além dos fones de ouvido. conecte -se a este computador. No canto inferior direito, clique em Pesquise (verifique se o seu fone de ouvido está ligado e não está conectado a nenhum outro sistema/home theater/smartphone.ence o dispositivo aparecer, você pode clicar nele e, em seguida, em seguida na parte inferior da página ou você pode clicar duas vezes. Qualquer um deles se conectará ao dispositivo. Depois de "conectado", dê cerca de 10 a 15 segundos para o Windows reconhecer a conexão. Você verá quais são as opções na próxima descrição -&gt; na barra de tarefas, clique no perfil de áudio (ícone do alto -falante ) Aqui existem 4 opções que aparecem para mim ---&gt; (** Nota-se você ver apenas 2 ou 3, leia a seção acima que diz que alguns fones de ouvido podem não funcionar corretamente) som de TV, alto-falantes de laptop, Bluetooth Audio Renderer (Estéreo) e Bluetooth Hands Free Audio (Mono) .Click On Bluetooth Audio Renderer (estéreo) Espere alguns segundos para que ele obtenha. Agora seu fone de ouvido deve estar conectado. Em assistir o YouTube, eu recebo algum atraso, mas com diferentes fones de ouvido, o atraso aumenta ou diminui. Funcionaria. Qualquer um que tenha qualquer entrada para isso, use uma ou qualquer minha postagem e adicione a ela. Isso seria útil para muitas pessoas.* Primeira postagem* Então, por alguns meses, eu o usava estritamente através do Win10, utilizando drivers Win10 e página de conexão Bluetooth através de configurações/sistema. Mas algumas vezes eu tentei usar com streaming de música para a Sony XB400 ou OnePlus Buds Wireless Bass Edition e haveria gotas intermitentes. Além disso, quando se tratava de emparelhar e conectar, diminuiria consistentemente meu laptop de chipset HP AMD A6. Além disso, sempre que tirei o dongle, isso também afetaria a desconectar meu thumbdrive. Então, presumi que era um acelerador acontecendo com minhas portas USB. Eu tenho Sandisk Dual Drive, WD Passport, DVI para HDMI e Dongle Logitech. Então, um por um, desconectei tudo e deixei o dongle BT e foi um pouco melhor. Então, verifiquei o site da TP Link India para qualquer FAQ relacionado. Quando pesquisei na seção Downloads-&gt; Drivers, havia driver de software presente. Então eu baixei, instalei e Win10 Taskbar mostra o ícone BT para usar o Dongle Thebt. O software do driver é do CSR Harmony Wireless Software Stack Versão 2.1.63.0.Emo instalado Há mais opções que podem ser acessadas através do ícone BT na barra de tarefas. O ícone BT fica na bandeja do sistema como antes. A transmissão de áudio pode ser alterada entre estéreo e mono. Além disso, se você estiver reproduzindo um arquivo de vídeo ou áudio e iniciar o processo de emparelhamento, uma vez conectado, haverá uma pequena pausa, ele se conectará à saída no estéreo. Funciona muito bem, eu comprei um longo cabo USB para fêmea e agora tenho um pouco mais de aumento na distância. Eu não tentei isso para transferência de arquivos. Se e quando eu encontrar a necessidade, vou atualizar. Porque agora, a esse preço, isso me dá liberdade para conectar meu equipamento de áudio BT em vez de comprar uma unidade mais cara para dar aos meus capabilitos de laptop BT. E isso é tão pequeno, se não menor, que alguns divilitadores. Ah, e eu também comprei um hub USB, alimentado por QZ separado, para minhas unidades. Portanto, os únicos dispositivos USB conectados são o dongle e o hub. Agora, quando eu desconecto o bt dongle, minhas unidades permanecem conectadas. Espero que essas informações sejam úteis, tentei não fazer muito tempo, mas aconteceu. Se surgirem perguntas, envie -me uma linha e eu responderei com qualquer ajuda que eu possa dar., Os produtos TP Link geralmente funcionam bem ... enquanto a longevidade com uso contínuo pode variar, mas esses dispositivos não são destinados a uso prolongado ou contínuo. .Eu tive vários para vincular dispositivos que variam de adaptadores Wi-Fi, roteadores, extensores de alcance, etc. agora eu tentei este adaptador Bluetooth..Pros: -Minuscule, você pode manter anexado ao dispositivo, não perceptível, mas não recomendado para fazer Então ... como geralmente está definido como descoberta durante a configuração e possui um alcance decente ... então, se um é cético demais, pode levar a problemas de segurança. Embora o hacker tenha que estar na mesma casa provavelmente! Range é decente .. Funciona bem na mesma sala ... esse tipo de dispositivo geralmente se destina a conectividade local, geralmente sem barreiras ... eu o uso para conectar fones de ouvido ao PC e funciona bem para isso ... anteriormente, tive um adaptador Bluetooth 2.0 do Entre e isso funcionou bem também, exceto para o alcance e a largura de banda necessária hoje em dia. Bem com o Linux ... eu uso o Ubuntu baseado em Debian ... e está quase plug and play ... eu tinha o Blueman Bluetooth Manager instalado no adaptador anterior que eu tinha .. e quando eu o conectei ... eu não precisei fazer Qualquer outra coisa ... tão diferente do que o site diz, apenas no Windows, ele definitivamente funciona com o Linux ... não posso dizer se a versão 5.0 UB500 funcionará ... enquanto instalava o driver no Windows, notei que estava instalando CSR Stack e CSR Original Chip (há muitos falsos) é conhecido por trabalhar com o Linux ... então talvez seja por isso que funcionou bem ... no Windows, eu tenho Win7.Eu tive o bluesoleil pré-instalado e funcionou com ele. Não precisou instalar nenhum driver separadamente ... mas há um motorista disponível em seu site para XP/7..in Win8 e acima, deveria ser plug and play ... então não há problemas lá ... agora os contras: -Um preço um pouco alto do que o resto das empresas. Provavelmente pode melhorar isso ... Eu comprei para a qualidade 400udio é bom, mas de alguma forma, em comparação com o meu bluetooth 2.0 pilha .. o áudio foi um pouco suave. teve que aumentar o volume mais alto para atingir o mesmo nível de sonoridade ... mas mesmo assim, sinto, uma ligeira redução na faixa dinâmica do áudio. Não faço ideia se esse é um problema de software ou hardware. . Não é muito perceptível. Especialmente de alguém não tem nada com que comparar ... pouco, o driver do Windows é de 400 MB! Grande para um motorista desses dispositivos ... nem bluesoleil/blueman cruzar 30 MB ... então eu não sei o que está sendo embalado nesses motoristas ... também, de alguma forma o motorista não tinha uma instalação limpa no meu sistema, algo para fazer com o carregamento incorreto da biblioteca C ++ ... não importava, pois eu já tinha outro driver instalado ... um pouco de dispositivo bacana. Não tenho necessidade de 5.0 Bluetooth, pois não tenho nenhum dispositivo que o requer .. Eu só precisava de um adaptador 4.0 para resolver o problema da largura de banda ... e esse objetivo é bem servido e que funciona tanto no Win quanto no Linux é muito útil. semanas. Basta conectar, instalar drivers e você está pronto! Parece menos conexão com o controlador PS5! A latência é muito baixa em torno de 1ms. Portanto, basicamente a conexão é ainda mais rápida que a conexão com fio (2ms). Mas quando eu conecto simultaneamente airpods Gen 2, a saída de som era muito fraca, foi abafada! Mas serve ao meu principal objetivo com o controlador PS5., Aparentemente, parece que é o adaptador Bluetooth mais relevante por aí boa conectividade e todo tipo de material como esse, geralmente vem em um adaptador BT que eu diria que o único golpe é a instalação Parte demorou um pouco, que foi o site e os drivers do UB500, além disso, tudo é fabuloso., Muito fácil de instalar, a conectividade também é boa, mas às vezes enquanto usa os fones de ouvido Bluetooth rachaduras também compartilhamento de Bluetooth é bastante lento .... . Esse é tudo*, caso contrário, o produto é muito bom*, 1) fácil de instalar, quero dizer, basta conectar .2) A conectividade é de todos os pontos, mas 1-2 tempo, sinto problemas de fumble.3) A qualidade do som depende de seu alto -falante sem fio., Se você é um orçamento apertado, tudo bem. Caso contrário, se puder gastar 150/- extra, vá para a versão BT 5.0. Muito melhor tanto no alcance quanto na conectividade., Como</v>
      </c>
    </row>
    <row r="694">
      <c r="A694" s="9" t="s">
        <v>87</v>
      </c>
      <c r="B694" s="29" t="str">
        <f>VLOOKUP(dados!A694, reviews!A:G, 5, FALSE)</f>
        <v>Great but,Worked well for 6 six months that’s it,Compatible with Apple iPad 2nd generation and charging very well.,CABLE,The product is good but the phone gets disconnected at multiple occasions.,Not a fast charging cable,Good item. Value,Amazing product and value for money</v>
      </c>
      <c r="C694" s="29" t="str">
        <f>VLOOKUP(dados!A694, reviews!A:G, 6, FALSE)</f>
        <v>Loosing charging cable of apple is costly affair. This wire was great purchase made to correct it,Worked well for six months that’s it, now it’s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v>
      </c>
      <c r="D694" s="29" t="str">
        <f>IFERROR(__xludf.DUMMYFUNCTION("GOOGLETRANSLATE(B694, ""en"", ""pt-br"")"),"Ótimo, mas funcionou bem por 6 seis meses, é compatível com o Apple iPad 2ª geração e carregando muito bem. Valor, produto incrível e valor pelo dinheiro")</f>
        <v>Ótimo, mas funcionou bem por 6 seis meses, é compatível com o Apple iPad 2ª geração e carregando muito bem. Valor, produto incrível e valor pelo dinheiro</v>
      </c>
      <c r="E694" s="29" t="str">
        <f>IFERROR(__xludf.DUMMYFUNCTION("GOOGLETRANSLATE(C694, ""en"", ""pt-br"")"),"Perder o cabo de carregamento da Apple é um caso caro. Esse fio foi feito para corrigi -lo, funcionou bem por seis meses, agora parou de funcionar, agora planejando comprar mais um porque o preço caiu para 150, um produto muito bom. Compatível com o iPad "&amp;"2ª geração e carregamento muito bem. A qualidade do produto é muito boa e também funciona bem. Totalmente vale a pena por seu preço., O produto é super, estou usando dos últimos 6 meses. Até agora, estava bom funcionamento. Agora notei que o telefone é de"&amp;"sconectado em várias ocasiões. pode ser o cabo pode ser danificado. O geral funcionou bem por 6 meses., leva de 5 a 6 horas para cobrar., Bom item. Valor, é o melhor produto que já usei até agora.")</f>
        <v>Perder o cabo de carregamento da Apple é um caso caro. Esse fio foi feito para corrigi -lo, funcionou bem por seis meses, agora parou de funcionar, agora planejando comprar mais um porque o preço caiu para 150, um produto muito bom. Compatível com o iPad 2ª geração e carregamento muito bem. A qualidade do produto é muito boa e também funciona bem. Totalmente vale a pena por seu preço., O produto é super, estou usando dos últimos 6 meses. Até agora, estava bom funcionamento. Agora notei que o telefone é desconectado em várias ocasiões. pode ser o cabo pode ser danificado. O geral funcionou bem por 6 meses., leva de 5 a 6 horas para cobrar., Bom item. Valor, é o melhor produto que já usei até agora.</v>
      </c>
    </row>
    <row r="695">
      <c r="A695" s="9" t="s">
        <v>2746</v>
      </c>
      <c r="B695" s="29" t="str">
        <f>VLOOKUP(dados!A695, reviews!A:G, 5, FALSE)</f>
        <v>Ya Nice..value for money..,Overall decent Product,Great deal for 1200,Good but heats up a little and error issues,Fast and efficient loved it,Does the job,Very good,superb</v>
      </c>
      <c r="C695" s="29" t="str">
        <f>VLOOKUP(dados!A695, reviews!A:G, 6, FALSE)</f>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v>
      </c>
      <c r="D695" s="29" t="str">
        <f>IFERROR(__xludf.DUMMYFUNCTION("GOOGLETRANSLATE(B695, ""en"", ""pt-br"")"),"Você é legal .. valor por dinheiro .., produto decente geral, excelente negócio para 1200, bom, mas aquece um pouco e problemas de erro, rápido e eficiente adoram, faz o trabalho, muito bom, excelente")</f>
        <v>Você é legal .. valor por dinheiro .., produto decente geral, excelente negócio para 1200, bom, mas aquece um pouco e problemas de erro, rápido e eficiente adoram, faz o trabalho, muito bom, excelente</v>
      </c>
      <c r="E695" s="29" t="str">
        <f>IFERROR(__xludf.DUMMYFUNCTION("GOOGLETRANSLATE(C695, ""en"", ""pt-br"")"),"Eu acho que é valor para dinheiro. Teste de velocidade# LEIT VELOCIDADE USB 2.0: 80-90 MB/S USB 3: 85-95 MB/S USB TIPO C: 85-95 MB/S# Velocidade de gravação USB 2.0: 20 MB/S USB 3: 21-25 MB/S USB TIPO C: 20-25 MB/SPROS:-* Corpo de metal e não pesado* Fáci"&amp;"l Uso* tem C* Good QualityCons:-* O produto fica muito quente enquanto está conectado (porque ele é um corpo de metal)* Não estamos obtendo a velocidade que eles disseram., Gosto do corpo de metal e da qualidade de construção, mas ao mesmo tempo é metal, "&amp;"por isso aquece muito e a velocidade é boa, atinge 140-145 Mbps, velocidade de gravação Quando está frio quando fica quente, a velocidade fica baixa em 8 Mbps e o armazenamento não é bom, comprei uma variente de 128 GB e recebi apenas 115 GB de 15 GB de a"&amp;"rmazenamento. SomTime consistente, ele fornece velocidade de 20 Mbps e às vezes 5-15 MBPS.3) Posso dizer que é uma relação custo são os mesmos em velocidade. Além disso, o calor de plástico menos, o Pendrive é bastante bom. Para a operação de gravação, es"&amp;"tou recebendo 10-15 MBs, ele aquece mais quando realizamos operação R/W por um longo tempo continuamente. Quando conectamos o celular e depois no PC, estou recebendo algum tipo de erro, mas os arquivos estão intactos e capazes de copiá -lo, eu gosto da ve"&amp;"locidade do design e da qualidade de construção, mas há um ponto negetivo depois que você vira o lado por 10 a 20 vezes você Descobrirá que a capa de flip está começando a se soltar, até agora tudo bem, é cedo para corrigir uma revisão, conforme meu uso, "&amp;"atualizarei de acordo, bom e amigável")</f>
        <v>Eu acho que é valor para dinheiro. Teste de velocidade# LEIT VELOCIDADE USB 2.0: 80-90 MB/S USB 3: 85-95 MB/S USB TIPO C: 85-95 MB/S# Velocidade de gravação USB 2.0: 20 MB/S USB 3: 21-25 MB/S USB TIPO C: 20-25 MB/SPROS:-* Corpo de metal e não pesado* Fácil Uso* tem C* Good QualityCons:-* O produto fica muito quente enquanto está conectado (porque ele é um corpo de metal)* Não estamos obtendo a velocidade que eles disseram., Gosto do corpo de metal e da qualidade de construção, mas ao mesmo tempo é metal, por isso aquece muito e a velocidade é boa, atinge 140-145 Mbps, velocidade de gravação Quando está frio quando fica quente, a velocidade fica baixa em 8 Mbps e o armazenamento não é bom, comprei uma variente de 128 GB e recebi apenas 115 GB de 15 GB de armazenamento. SomTime consistente, ele fornece velocidade de 20 Mbps e às vezes 5-15 MBPS.3) Posso dizer que é uma relação custo são os mesmos em velocidade. Além disso, o calor de plástico menos, o Pendrive é bastante bom. Para a operação de gravação, estou recebendo 10-15 MBs, ele aquece mais quando realizamos operação R/W por um longo tempo continuamente. Quando conectamos o celular e depois no PC, estou recebendo algum tipo de erro, mas os arquivos estão intactos e capazes de copiá -lo, eu gosto da velocidade do design e da qualidade de construção, mas há um ponto negetivo depois que você vira o lado por 10 a 20 vezes você Descobrirá que a capa de flip está começando a se soltar, até agora tudo bem, é cedo para corrigir uma revisão, conforme meu uso, atualizarei de acordo, bom e amigável</v>
      </c>
    </row>
    <row r="696">
      <c r="A696" s="9" t="s">
        <v>1828</v>
      </c>
      <c r="B696" s="29" t="str">
        <f>VLOOKUP(dados!A696, reviews!A:G, 5, FALSE)</f>
        <v>Noise smartwatch,The product is good overall,Good Battery backup,Okayish product,Satisfied.,Good,It's great watch,Noise</v>
      </c>
      <c r="C696" s="29" t="str">
        <f>VLOOKUP(dados!A696, reviews!A:G, 6, FALSE)</f>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too.,Activity Record, sleep tracking is Good.,Good product,I bought it for my wife and she was very glad.,Good</v>
      </c>
      <c r="D696" s="29" t="str">
        <f>IFERROR(__xludf.DUMMYFUNCTION("GOOGLETRANSLATE(B696, ""en"", ""pt-br"")"),"Ruído smartwatch, o produto é bom no geral, bom backup de bateria, produto okyish, satisfeito., Bom, é um ótimo relógio, ruído")</f>
        <v>Ruído smartwatch, o produto é bom no geral, bom backup de bateria, produto okyish, satisfeito., Bom, é um ótimo relógio, ruído</v>
      </c>
      <c r="E696" s="29" t="str">
        <f>IFERROR(__xludf.DUMMYFUNCTION("GOOGLETRANSLATE(C696, ""en"", ""pt-br"")"),"Bom ajuste, bom relógio inteligente nessa faixa de preço, especialmente para aqueles que precisam apenas de recursos básicos. Comprei a cor cinza, já faz muito tempo que estou usando isso agora. Não tem problemas. A bateria, a tela de toque, a conexão Blu"&amp;"etooth tudo funciona bem. Eu estava procurando por algo simples e consegui isso. Bom design e funções não podem se conectar ao WhatsApp e a outro aplicativo de mídia social 👎, os modos no relógio são bons. A interface do usuário é uma merda. A capacidade"&amp;" de resposta poderia ter sido melhor. A duração da bateria é moderadamente até 3-4 dias, se usada constantemente. A cor da banda também está um pouco desbotada., Registro de atividades, rastreamento do sono é bom., Bom produto, eu comprei para minha espos"&amp;"a e ela ficou muito feliz., Bom")</f>
        <v>Bom ajuste, bom relógio inteligente nessa faixa de preço, especialmente para aqueles que precisam apenas de recursos básicos. Comprei a cor cinza, já faz muito tempo que estou usando isso agora. Não tem problemas. A bateria, a tela de toque, a conexão Bluetooth tudo funciona bem. Eu estava procurando por algo simples e consegui isso. Bom design e funções não podem se conectar ao WhatsApp e a outro aplicativo de mídia social 👎, os modos no relógio são bons. A interface do usuário é uma merda. A capacidade de resposta poderia ter sido melhor. A duração da bateria é moderadamente até 3-4 dias, se usada constantemente. A cor da banda também está um pouco desbotada., Registro de atividades, rastreamento do sono é bom., Bom produto, eu comprei para minha esposa e ela ficou muito feliz., Bom</v>
      </c>
    </row>
    <row r="697">
      <c r="A697" s="9" t="s">
        <v>2751</v>
      </c>
      <c r="B697" s="29" t="str">
        <f>VLOOKUP(dados!A697, reviews!A:G, 5, FALSE)</f>
        <v>Tiny helping hand,Good product,As a whole good product,It works,Used ,as of now satisfied with the product,beep sound while connected,Good product,USB to C adopter</v>
      </c>
      <c r="C697" s="29" t="str">
        <f>VLOOKUP(dados!A697, reviews!A:G, 6, FALSE)</f>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doesn’t look much durable.</v>
      </c>
      <c r="D697" s="29" t="str">
        <f>IFERROR(__xludf.DUMMYFUNCTION("GOOGLETRANSLATE(B697, ""en"", ""pt-br"")"),"Pequena mão amiga, bom produto, como um bom produto, ele funciona, usado, agora satisfeito com o produto, bipe som enquanto conectado, bom produto, USB para adotar")</f>
        <v>Pequena mão amiga, bom produto, como um bom produto, ele funciona, usado, agora satisfeito com o produto, bipe som enquanto conectado, bom produto, USB para adotar</v>
      </c>
      <c r="E697" s="29" t="str">
        <f>IFERROR(__xludf.DUMMYFUNCTION("GOOGLETRANSLATE(C697, ""en"", ""pt-br"")"),"Isso elimina a necessidade de comprar carregadores para os novos cabos de carregamento USB-C. Os adaptadores tendem a esquentar enquanto carregam com o carregador rápido da Samsung., Bom produto, valor pelo dinheiro, funciona vale o dinheiro, valor por di"&amp;"nheiro, seu jogo continuamente reproduzido Um som de bipe enquanto está conectado ao laptop, o que é irritante., Nada para reclamar!, bom produto, mas o acabamento poderia ter sido melhor. Como não funcionar bem, mas não parece muito durável.")</f>
        <v>Isso elimina a necessidade de comprar carregadores para os novos cabos de carregamento USB-C. Os adaptadores tendem a esquentar enquanto carregam com o carregador rápido da Samsung., Bom produto, valor pelo dinheiro, funciona vale o dinheiro, valor por dinheiro, seu jogo continuamente reproduzido Um som de bipe enquanto está conectado ao laptop, o que é irritante., Nada para reclamar!, bom produto, mas o acabamento poderia ter sido melhor. Como não funcionar bem, mas não parece muito durável.</v>
      </c>
    </row>
    <row r="698">
      <c r="A698" s="9" t="s">
        <v>2757</v>
      </c>
      <c r="B698" s="29" t="str">
        <f>VLOOKUP(dados!A698, reviews!A:G, 5, FALSE)</f>
        <v>On average is ok ok pricing,Good,Quality good.,Better,The original ink cartridges are always the best,Costly,Expensive but the product was good,Good</v>
      </c>
      <c r="C698" s="29" t="str">
        <f>VLOOKUP(dados!A698, reviews!A:G, 6, FALSE)</f>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v>
      </c>
      <c r="D698" s="29" t="str">
        <f>IFERROR(__xludf.DUMMYFUNCTION("GOOGLETRANSLATE(B698, ""en"", ""pt-br"")"),"Em média, é ok ok preços, boa, qualidade boa., Melhor, os cartuchos originais são sempre os melhores, caros, caros, mas o produto foi bom, bom")</f>
        <v>Em média, é ok ok preços, boa, qualidade boa., Melhor, os cartuchos originais são sempre os melhores, caros, caros, mas o produto foi bom, bom</v>
      </c>
      <c r="E698" s="29" t="str">
        <f>IFERROR(__xludf.DUMMYFUNCTION("GOOGLETRANSLATE(C698, ""en"", ""pt-br"")"),"Muitas pessoas classificam esse produto baixo, pois há outras razões subjacentes para que Catridge não funcione, o vendedor está dando uma política de retorno de 7 dias o suficiente para testar o Catridge, boa, qualidade é boa ,, melhor do que recarregar "&amp;"Cartidge, cartuchos de tinta originais da HP Para as impressoras HP, são sempre as melhores e mais seguras de percorrer!, muito caro, fácil de instalar, ajuste perfeito para as impressoras mencionadas. Mas é caro, bom")</f>
        <v>Muitas pessoas classificam esse produto baixo, pois há outras razões subjacentes para que Catridge não funcione, o vendedor está dando uma política de retorno de 7 dias o suficiente para testar o Catridge, boa, qualidade é boa ,, melhor do que recarregar Cartidge, cartuchos de tinta originais da HP Para as impressoras HP, são sempre as melhores e mais seguras de percorrer!, muito caro, fácil de instalar, ajuste perfeito para as impressoras mencionadas. Mas é caro, bom</v>
      </c>
    </row>
    <row r="699">
      <c r="A699" s="9" t="s">
        <v>2761</v>
      </c>
      <c r="B699" s="29" t="str">
        <f>VLOOKUP(dados!A699, reviews!A:G, 5, FALSE)</f>
        <v>Good product but low quality at less price,I took for meetings and it working well.,Good but built quality ok,Problem with comfort for long hours calling,Headphone,It does the job well.,Noise cancellation is quite good in this price range.,Work with teams! perfect budget headphones.</v>
      </c>
      <c r="C699" s="29" t="str">
        <f>VLOOKUP(dados!A699, reviews!A:G, 6, FALSE)</f>
        <v>Sound quality is ok, noise cancellation is not Upto the mark, volume is good. Overall for the price it’s worth product. The cushion on the mic comes out easily , couldn’t have been fixed properly,Good,The built design is ok for the product. Everytime i wear and do the resizing my hair gets stuck in the band which is irritating. Rest sound and all is good👍🏻,I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v>
      </c>
      <c r="D699" s="29" t="str">
        <f>IFERROR(__xludf.DUMMYFUNCTION("GOOGLETRANSLATE(B699, ""en"", ""pt-br"")"),"Bom produto, mas de baixa qualidade a menos preço, tomei para reuniões e está funcionando bem., Boa, mas construída, qualidade, problema, problema de conforto por longas horas chamadas, fone de ouvido, ele faz bem o trabalho. O cancelamento de ruído é mui"&amp;"to bom nesse preço Range., Trabalhe com equipes! fones de ouvido orçamentários perfeitos.")</f>
        <v>Bom produto, mas de baixa qualidade a menos preço, tomei para reuniões e está funcionando bem., Boa, mas construída, qualidade, problema, problema de conforto por longas horas chamadas, fone de ouvido, ele faz bem o trabalho. O cancelamento de ruído é muito bom nesse preço Range., Trabalhe com equipes! fones de ouvido orçamentários perfeitos.</v>
      </c>
      <c r="E699" s="29" t="str">
        <f>IFERROR(__xludf.DUMMYFUNCTION("GOOGLETRANSLATE(C699, ""en"", ""pt-br"")"),"A qualidade do som está OK, o cancelamento de ruído não está até a marca, o volume é bom. No geral, pelo preço que vale a pena. A almofada no microfone sai facilmente, não poderia ter sido corrigida corretamente, bom, o design construído é bom para o prod"&amp;"uto. Toda vez que eu uso e faço o redimensionamento, meu cabelo fica preso na banda, o que é irritante. Som descanso e tudo é bom, parei de usá -lo depois de usar continuamente por 3 horas para uso do escritório. Não pode ser usado para chamadas de longa "&amp;"duração ou reuniões de volta para voltar. As orelhas começam a dor após 2-3 horas de uso. A capa do alto -falante é muito fina. Vou dar este dispositivo a alguém carente. A qualidade e a qualidade construída é agradável, mas o conforto é um enorme problem"&amp;"a com este dispositivo devido à sua faixa aérea apertada. Mantém os dois lados na orelha para obter um som melhor ou no cancelamento de noice. Mas quem está procurando por cancelamento de Noice comprará fones de ouvido maiores da orelha. Eu uso todos os t"&amp;"ipos de fones de ouvido, ouvidos de orelha, ouvido. Anteriormente, usou fones de ouvido Sennheiser On-Ear, mas nunca dá dor. Alguma atenção ao som no seu quarto, por exemplo, de olho nas crianças enquanto se encontrava. O preenchimento básico ou as tampas"&amp;" suaves de várias camadas para a orelha serão úteis. Custou menos comparar com este dispositivo Logitech. No entanto, isso ainda é uma boa compra por até 60 minutos de uso para 1 sessão/chamada/reunião e depois uma pausa. Somente edição para as pessoas qu"&amp;"e tenham as reuniões de volta para voltar., Boa qualidade, comprei isso porque tive que trabalhar em casa e tive que receber ligações. Minha única preocupação foi o cancelamento do barulho porque moro ao lado de uma estrada movimentada. E estou feliz com "&amp;"a compra, pois o cancelamento de ruído está funcionando muito bem. As pessoas do outro lado da chamada nunca se queixaram de qualquer tipo de ruído de fundo. A qualidade de plástico usada é ótima e não é estridente. O fio é longo o suficiente. A saída de "&amp;"som é boa o suficiente, mas não pretendo ouvir música nelas. Se você precisa de algo para a música, este é um produto errado. Eu tive algumas almofadas extras, então adicionei aquelas sobre o ouvido., A qualidade de construção não é tão boa, mas a qualida"&amp;"de do som, o cancelamento de ruído é o melhor na faixa de menos de 1000., depois que o covid-19 nossa vida muda muito. Reunião on -line, conferências, webinar e até aulas on -line se tornaram novas normais. Nesta situação, um bom fone de ouvido com microf"&amp;"one é necessário para funcionar perfeitamente e este fone de ouvido tem tudo o que eu precisava.1) A qualidade do áudio é boa e cristalina sem qualquer ruído adicional2) O microfone também é muito bom com um bom cancelamento de ruído3) graças à Amazon por"&amp;" seu serviço e entrega on -line. Obter entrega antecipada para o produto foi um pouco urgente para mim e foi entregue em quase 6 horas após a ordem, estou totalmente satisfeito com o produto altamente recomendável para estudantes e profissionais que traba"&amp;"lham com orçamento limitado, você não se arrependerá. :) 4. A única coisa que estou perdendo é controle de volume no fone de ouvido")</f>
        <v>A qualidade do som está OK, o cancelamento de ruído não está até a marca, o volume é bom. No geral, pelo preço que vale a pena. A almofada no microfone sai facilmente, não poderia ter sido corrigida corretamente, bom, o design construído é bom para o produto. Toda vez que eu uso e faço o redimensionamento, meu cabelo fica preso na banda, o que é irritante. Som descanso e tudo é bom, parei de usá -lo depois de usar continuamente por 3 horas para uso do escritório. Não pode ser usado para chamadas de longa duração ou reuniões de volta para voltar. As orelhas começam a dor após 2-3 horas de uso. A capa do alto -falante é muito fina. Vou dar este dispositivo a alguém carente. A qualidade e a qualidade construída é agradável, mas o conforto é um enorme problema com este dispositivo devido à sua faixa aérea apertada. Mantém os dois lados na orelha para obter um som melhor ou no cancelamento de noice. Mas quem está procurando por cancelamento de Noice comprará fones de ouvido maiores da orelha. Eu uso todos os tipos de fones de ouvido, ouvidos de orelha, ouvido. Anteriormente, usou fones de ouvido Sennheiser On-Ear, mas nunca dá dor. Alguma atenção ao som no seu quarto, por exemplo, de olho nas crianças enquanto se encontrava. O preenchimento básico ou as tampas suaves de várias camadas para a orelha serão úteis. Custou menos comparar com este dispositivo Logitech. No entanto, isso ainda é uma boa compra por até 60 minutos de uso para 1 sessão/chamada/reunião e depois uma pausa. Somente edição para as pessoas que tenham as reuniões de volta para voltar., Boa qualidade, comprei isso porque tive que trabalhar em casa e tive que receber ligações. Minha única preocupação foi o cancelamento do barulho porque moro ao lado de uma estrada movimentada. E estou feliz com a compra, pois o cancelamento de ruído está funcionando muito bem. As pessoas do outro lado da chamada nunca se queixaram de qualquer tipo de ruído de fundo. A qualidade de plástico usada é ótima e não é estridente. O fio é longo o suficiente. A saída de som é boa o suficiente, mas não pretendo ouvir música nelas. Se você precisa de algo para a música, este é um produto errado. Eu tive algumas almofadas extras, então adicionei aquelas sobre o ouvido., A qualidade de construção não é tão boa, mas a qualidade do som, o cancelamento de ruído é o melhor na faixa de menos de 1000., depois que o covid-19 nossa vida muda muito. Reunião on -line, conferências, webinar e até aulas on -line se tornaram novas normais. Nesta situação, um bom fone de ouvido com microfone é necessário para funcionar perfeitamente e este fone de ouvido tem tudo o que eu precisava.1) A qualidade do áudio é boa e cristalina sem qualquer ruído adicional2) O microfone também é muito bom com um bom cancelamento de ruído3) graças à Amazon por seu serviço e entrega on -line. Obter entrega antecipada para o produto foi um pouco urgente para mim e foi entregue em quase 6 horas após a ordem, estou totalmente satisfeito com o produto altamente recomendável para estudantes e profissionais que trabalham com orçamento limitado, você não se arrependerá. :) 4. A única coisa que estou perdendo é controle de volume no fone de ouvido</v>
      </c>
    </row>
    <row r="700">
      <c r="A700" s="9" t="s">
        <v>2765</v>
      </c>
      <c r="B700" s="29" t="str">
        <f>VLOOKUP(dados!A700, reviews!A:G, 5, FALSE)</f>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v>
      </c>
      <c r="C700" s="29" t="str">
        <f>VLOOKUP(dados!A700, reviews!A:G, 6, FALSE)</f>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v>
      </c>
      <c r="D700" s="29" t="str">
        <f>IFERROR(__xludf.DUMMYFUNCTION("GOOGLETRANSLATE(B700, ""en"", ""pt-br"")"),"Vale a pena uma compra. Produto de boa qualidade, canal forte, mutiple, durável .. vale a pena ..., robusto, durável (o suporte do telefone é adicionado, mas não mencionado nos detalhes do produto), realmente gostei!, Mast h, bom produto incrível, é bom, "&amp;"mas não Recebido portador móvel e este produto Compre apenas o vídeo Reiview, muito útil e a qualidade de construção é boa neste preço")</f>
        <v>Vale a pena uma compra. Produto de boa qualidade, canal forte, mutiple, durável .. vale a pena ..., robusto, durável (o suporte do telefone é adicionado, mas não mencionado nos detalhes do produto), realmente gostei!, Mast h, bom produto incrível, é bom, mas não Recebido portador móvel e este produto Compre apenas o vídeo Reiview, muito útil e a qualidade de construção é boa neste preço</v>
      </c>
      <c r="E700" s="29" t="str">
        <f>IFERROR(__xludf.DUMMYFUNCTION("GOOGLETRANSLATE(C700, ""en"", ""pt-br"")"),"Geralmente não escrevo críticas na Amazon. Mas este produto vale cada centavo. É Sturdy2. Um bom metal de qualidade pesada é usada, mas ainda assim leve e portátil. Pode ser facilmente transportado em 1 mão4. Em plena altura aberta, a altura total atinge "&amp;"5 pés 9in (então pode até cobrir se houver um palco) depois de comprar isso, até pesquisei o mercado local, agora posso dizer com confiança que investi no produto certo. Existem produtos disponíveis para 1.000 Rs , mas pagar outros apenas 500rs por um pro"&amp;"duto de qualidade é uma decisão melhor (tendo em mente o uso a longo prazo)., Faz 1 Yerar 3 meses estou usando o suporte dos meus graus de vídeo ... seja interno ou externo .. O estande é tão forte e tantas opções para gerenciar sua estabilidade e ângulo."&amp;" Mesmo é tão útil que muitas vezes eu o uso apenas segurando -o como um gimble (embora não estabilize o vídeo), mas eu sou muito útil De seu visual compacto ... vá FR IT ... você não se arrependerá 🤞🏻, gosta: robusto, durável, muito bem montado. parte d"&amp;"escendente como as pernas do tripé vêm em cena. Como mencionado nos detalhes do produto, o titular do telefone não incluído. Comprei um novo junto com este produto. No entanto, havia um titular de telefone dado na caixa de tripé. Devido a esse falso detal"&amp;"he, tive que comprar mais um titular de telefone que está em categoria de produtos não retornáveis ​​e deve ser mantido agora., O mesmo que mostrado em pictuodgood e bem que desejava um para o meu vídeo que se fotografa tem para câmera e smartphonesthey d"&amp;"izer Ele não possui porta -telefone, mas eles enviaram um incluído, então não pedem um. Muito obrigado por esse comerciante., Mastttt, eu realmente gosto desse produto incrível. Dinheiro digno comprando. Não se preocupe com críticas negativas. Vale a pena"&amp;" comprar. TQs, ok,")</f>
        <v>Geralmente não escrevo críticas na Amazon. Mas este produto vale cada centavo. É Sturdy2. Um bom metal de qualidade pesada é usada, mas ainda assim leve e portátil. Pode ser facilmente transportado em 1 mão4. Em plena altura aberta, a altura total atinge 5 pés 9in (então pode até cobrir se houver um palco) depois de comprar isso, até pesquisei o mercado local, agora posso dizer com confiança que investi no produto certo. Existem produtos disponíveis para 1.000 Rs , mas pagar outros apenas 500rs por um produto de qualidade é uma decisão melhor (tendo em mente o uso a longo prazo)., Faz 1 Yerar 3 meses estou usando o suporte dos meus graus de vídeo ... seja interno ou externo .. O estande é tão forte e tantas opções para gerenciar sua estabilidade e ângulo. Mesmo é tão útil que muitas vezes eu o uso apenas segurando -o como um gimble (embora não estabilize o vídeo), mas eu sou muito útil De seu visual compacto ... vá FR IT ... você não se arrependerá 🤞🏻, gosta: robusto, durável, muito bem montado. parte descendente como as pernas do tripé vêm em cena. Como mencionado nos detalhes do produto, o titular do telefone não incluído. Comprei um novo junto com este produto. No entanto, havia um titular de telefone dado na caixa de tripé. Devido a esse falso detalhe, tive que comprar mais um titular de telefone que está em categoria de produtos não retornáveis ​​e deve ser mantido agora., O mesmo que mostrado em pictuodgood e bem que desejava um para o meu vídeo que se fotografa tem para câmera e smartphonesthey dizer Ele não possui porta -telefone, mas eles enviaram um incluído, então não pedem um. Muito obrigado por esse comerciante., Mastttt, eu realmente gosto desse produto incrível. Dinheiro digno comprando. Não se preocupe com críticas negativas. Vale a pena comprar. TQs, ok,</v>
      </c>
    </row>
    <row r="701">
      <c r="A701" s="9" t="s">
        <v>90</v>
      </c>
      <c r="B701" s="29" t="str">
        <f>VLOOKUP(dados!A701, reviews!A:G, 5, FALSE)</f>
        <v>Good product,using this product 8months It is done  I have not faced any problem so far, its build quality best,I really liked this one.,Very strong and support fast charging ,,Nice cable,Best data cable charging fast,Good job,Good but need some improvement</v>
      </c>
      <c r="C701" s="29" t="str">
        <f>VLOOKUP(dados!A701, reviews!A:G, 6, FALSE)</f>
        <v>I like it 👍👍,Best charging power . I used this cable on note 8 pro mi. Using 8month also fast working.,350 might be a little expensive but physically it’s so good. Feels premium. But power limitation is there it is not suitable for fast charging.,,https://m.media-amazon.com/images/W/WEBP_402378-T1/images/I/61WnvIUaIwL._SY88.jpg,Best data cable charging fast,Very good quality and good durability,Overall good but need some improvement...</v>
      </c>
      <c r="D701" s="29" t="str">
        <f>IFERROR(__xludf.DUMMYFUNCTION("GOOGLETRANSLATE(B701, ""en"", ""pt-br"")"),"Bom produto, usando este produto 8 meses que está feito, eu não enfrentei nenhum problema até agora, sua qualidade de construção mais, eu realmente gostei deste., Muito forte e suportar carregamento rápido ,, bom cabo, melhor carregamento de cabo de dados"&amp;" rápido, bom trabalho , Bom, mas preciso de alguma melhoria")</f>
        <v>Bom produto, usando este produto 8 meses que está feito, eu não enfrentei nenhum problema até agora, sua qualidade de construção mais, eu realmente gostei deste., Muito forte e suportar carregamento rápido ,, bom cabo, melhor carregamento de cabo de dados rápido, bom trabalho , Bom, mas preciso de alguma melhoria</v>
      </c>
      <c r="E701" s="29" t="str">
        <f>IFERROR(__xludf.DUMMYFUNCTION("GOOGLETRANSLATE(C701, ""en"", ""pt-br"")"),"Eu gosto 👍👍, melhor poder de carregamento. Eu usei este cabo no Note 8 Pro Mi. Usando 8 meses também funcionando rápido., 350 pode ser um pouco caro, mas fisicamente é tão bom. Parece premium. Mas a limitação de energia existe, não é adequada para carre"&amp;"gamento rápido., Https: //m.media-amazon.com/images/w/webp_402378-t1/images/i/61wnviuaiwl._sy88.jpg, cobrança de cabo mais rápido , Muito boa qualidade e boa durabilidade, em geral, mas preciso de alguma melhoria ...")</f>
        <v>Eu gosto 👍👍, melhor poder de carregamento. Eu usei este cabo no Note 8 Pro Mi. Usando 8 meses também funcionando rápido., 350 pode ser um pouco caro, mas fisicamente é tão bom. Parece premium. Mas a limitação de energia existe, não é adequada para carregamento rápido., Https: //m.media-amazon.com/images/w/webp_402378-t1/images/i/61wnviuaiwl._sy88.jpg, cobrança de cabo mais rápido , Muito boa qualidade e boa durabilidade, em geral, mas preciso de alguma melhoria ...</v>
      </c>
    </row>
    <row r="702">
      <c r="A702" s="9" t="s">
        <v>113</v>
      </c>
      <c r="B702" s="29" t="str">
        <f>VLOOKUP(dados!A702, reviews!A:G, 5, FALSE)</f>
        <v>Good cable for car,Good substitute for orginal,Better Value for money Product,Way better than the original,Absolutely amazing.,Namm hi kafi hai,Very good,As the names say Durable cell it a durable cable ;-)</v>
      </c>
      <c r="C702" s="29" t="str">
        <f>VLOOKUP(dados!A702, reviews!A:G, 6, FALSE)</f>
        <v>I trust this product! Works well with car play!,Very good quality and charging is fine. As good as original,Build quality is awesome, best lightening cable ever seen, better than a official  lightening from If ur looking for a cable close your eyes and go for it 🔥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v>
      </c>
      <c r="D702" s="29" t="str">
        <f>IFERROR(__xludf.DUMMYFUNCTION("GOOGLETRANSLATE(B702, ""en"", ""pt-br"")"),"Bom cabo para carro, bom substituto para o produto orginal, melhor valor para dinheiro, muito melhor do que o original, absolutamente incrível., Namm hi kafi hai, muito bom, como os nomes dizem célula durável, é um cabo durável ;-)")</f>
        <v>Bom cabo para carro, bom substituto para o produto orginal, melhor valor para dinheiro, muito melhor do que o original, absolutamente incrível., Namm hi kafi hai, muito bom, como os nomes dizem célula durável, é um cabo durável ;-)</v>
      </c>
      <c r="E702" s="29" t="str">
        <f>IFERROR(__xludf.DUMMYFUNCTION("GOOGLETRANSLATE(C702, ""en"", ""pt-br"")"),"Eu confio neste produto! Funciona bem com o jogo de carro!, Muito boa qualidade e carregamento é bom. Tão bom quanto o original, a qualidade de construção é incrível, o melhor cabo de iluminação já visto, melhor do que um iluminação oficial de você procur"&amp;"ar um cabo fechar os olhos e ir em frente 🔥 🔥 Ou você pode comprar um (Amazon Basics) que eu estava usando que, nos últimos 3 anos, um pouco mais barato, recomendo que esses dois cabos tenham melhor qualidade de construção e valor ao dinheiro, o produto"&amp;" Gr8 em geral, simplesmente adorei, muito boa velocidade de carregamento. ,, boa qualidade, bem embalada, todos selados coberto o arame parece de uma qualidade muito boa, recomendada !!!!")</f>
        <v>Eu confio neste produto! Funciona bem com o jogo de carro!, Muito boa qualidade e carregamento é bom. Tão bom quanto o original, a qualidade de construção é incrível, o melhor cabo de iluminação já visto, melhor do que um iluminação oficial de você procurar um cabo fechar os olhos e ir em frente 🔥 🔥 Ou você pode comprar um (Amazon Basics) que eu estava usando que, nos últimos 3 anos, um pouco mais barato, recomendo que esses dois cabos tenham melhor qualidade de construção e valor ao dinheiro, o produto Gr8 em geral, simplesmente adorei, muito boa velocidade de carregamento. ,, boa qualidade, bem embalada, todos selados coberto o arame parece de uma qualidade muito boa, recomendada !!!!</v>
      </c>
    </row>
    <row r="703">
      <c r="A703" s="9" t="s">
        <v>2774</v>
      </c>
      <c r="B703" s="29" t="str">
        <f>VLOOKUP(dados!A703, reviews!A:G, 5, FALSE)</f>
        <v>Okay to use,Worthy product ...!!!!👍,Single band. 2.4 ghz only,Difficult,Valued for money,So far all is good,Ok,it’s for 2.4Ghz</v>
      </c>
      <c r="C703" s="29" t="str">
        <f>VLOOKUP(dados!A703, reviews!A:G, 6, FALSE)</f>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it’s been working perfectly with great signal strength!,It is a good product valued for money but I think it should be sometimes give low speed,I wish I could have ordered dual band ...But so far it's giving satisfactory service,Working fine,Product is ok but it’s only for 2.4ghz mistakenly got it</v>
      </c>
      <c r="D703" s="29" t="str">
        <f>IFERROR(__xludf.DUMMYFUNCTION("GOOGLETRANSLATE(B703, ""en"", ""pt-br"")"),"Ok, produto digno ... !!!! 👍, banda única. 2,4 GHz, difícil, valorizado por dinheiro, até agora tudo está bom, ok, é para 2,4 GHz")</f>
        <v>Ok, produto digno ... !!!! 👍, banda única. 2,4 GHz, difícil, valorizado por dinheiro, até agora tudo está bom, ok, é para 2,4 GHz</v>
      </c>
      <c r="E703" s="29" t="str">
        <f>IFERROR(__xludf.DUMMYFUNCTION("GOOGLETRANSLATE(C703, ""en"", ""pt-br"")"),"É um produto da China para ser claro. Olhar e sentir é bom. A base do dispositivo é um pouco mais larga; portanto, se você tiver pontos de soquete de 3 pinos consecutivamente, o Ysing do próximo soquete pode ser difícil. A força do sinal Wi-Fi é boa como "&amp;"extensa, mas reduz a velocidade da Internet. Por exemplo, minha velocidade da Internet é de 30 Mbps, que recebo se conectada diretamente ao meu roteador / rede principal. Mas se conectado através do Extender, ele rebaixa para 18-19 Mbps. No geral, tudo be"&amp;"m de usar. Eu ficaria feliz em ver um dispositivo fabricado na Índia, pois o preço também não é muito baixo, mas infelizmente a Índia não está fabricando nenhuma. Parece., Https: //m.media-amazon.com/images/w/ Webp_402378-t1/imagens/i/716ubi+jjjl._sy88.jp"&amp;"g, banda única é uma tecnologia antiga. Esse dispositivo fornecerá apenas 2,4 ghz que significa que 5GHz não estará disponível em sua sala onde você escolhe usar isso. Para usar e instalar no começo, depois disso, está funcionando perfeitamente com ótima "&amp;"força de sinal!, é um bom produto avaliado por dinheiro, mas acho que às vezes deve ser baixa velocidade, eu gostaria de poder ter encomendado banda dupla ... mas Até agora, está dando serviço satisfatório, funcionando bem, o produto está ok, mas é apenas"&amp;" para 2,4 ghz erroneamente")</f>
        <v>É um produto da China para ser claro. Olhar e sentir é bom. A base do dispositivo é um pouco mais larga; portanto, se você tiver pontos de soquete de 3 pinos consecutivamente, o Ysing do próximo soquete pode ser difícil. A força do sinal Wi-Fi é boa como extensa, mas reduz a velocidade da Internet. Por exemplo, minha velocidade da Internet é de 30 Mbps, que recebo se conectada diretamente ao meu roteador / rede principal. Mas se conectado através do Extender, ele rebaixa para 18-19 Mbps. No geral, tudo bem de usar. Eu ficaria feliz em ver um dispositivo fabricado na Índia, pois o preço também não é muito baixo, mas infelizmente a Índia não está fabricando nenhuma. Parece., Https: //m.media-amazon.com/images/w/ Webp_402378-t1/imagens/i/716ubi+jjjl._sy88.jpg, banda única é uma tecnologia antiga. Esse dispositivo fornecerá apenas 2,4 ghz que significa que 5GHz não estará disponível em sua sala onde você escolhe usar isso. Para usar e instalar no começo, depois disso, está funcionando perfeitamente com ótima força de sinal!, é um bom produto avaliado por dinheiro, mas acho que às vezes deve ser baixa velocidade, eu gostaria de poder ter encomendado banda dupla ... mas Até agora, está dando serviço satisfatório, funcionando bem, o produto está ok, mas é apenas para 2,4 ghz erroneamente</v>
      </c>
    </row>
    <row r="704">
      <c r="A704" s="9" t="s">
        <v>2778</v>
      </c>
      <c r="B704" s="29" t="str">
        <f>VLOOKUP(dados!A704, reviews!A:G, 5, FALSE)</f>
        <v>Multipurpose and time-saving,Good notepad for travelers,Nice for the personal stuff,Super 👍,Most amazing product.,Too costly,Useful product,Good</v>
      </c>
      <c r="C704" s="29" t="str">
        <f>VLOOKUP(dados!A704, reviews!A:G, 6, FALSE)</f>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v>
      </c>
      <c r="D704" s="29" t="str">
        <f>IFERROR(__xludf.DUMMYFUNCTION("GOOGLETRANSLATE(B704, ""en"", ""pt-br"")"),"Multuração e economia de tempo, bom bloco de notas para viajantes, bom para as coisas pessoais, super 👍, mais incrível produto., Produto muito caro e útil, bom")</f>
        <v>Multuração e economia de tempo, bom bloco de notas para viajantes, bom para as coisas pessoais, super 👍, mais incrível produto., Produto muito caro e útil, bom</v>
      </c>
      <c r="E704" s="29" t="str">
        <f>IFERROR(__xludf.DUMMYFUNCTION("GOOGLETRANSLATE(C704, ""en"", ""pt-br"")"),"Produto compacto a ser usado durante viagens ou mesmo em casa. Não preciso procurar itens diferentes. Eu posso simplesmente pegá -lo e usá -lo para vários propósitos. Vá em frente!, Bom para fazer anotações e lembretes em um único pacote., Isso é especial"&amp;"mente para aqueles que costumam ser mais confortáveis ​​para serem organizados., Bom produto, você pode carregá -lo com você em qualquer lugar ... Não há necessidade de se preocupar com o espaço. Você pode fazer uma lista de makea fazer uma anotação e, ab"&amp;"solutamente, você pode reutilizá-la., O produto é bom, eu queria comprá-lo por muito tempo, mas é caro ,, hoje eu recebi meu pacote e sim, é realmente fofo. A capa, mas no geral é boa. Vale a pena. Está tudo em boas condições e também vem com uma caneta. "&amp;"REALMENTE recomendo que você compre UT.")</f>
        <v>Produto compacto a ser usado durante viagens ou mesmo em casa. Não preciso procurar itens diferentes. Eu posso simplesmente pegá -lo e usá -lo para vários propósitos. Vá em frente!, Bom para fazer anotações e lembretes em um único pacote., Isso é especialmente para aqueles que costumam ser mais confortáveis ​​para serem organizados., Bom produto, você pode carregá -lo com você em qualquer lugar ... Não há necessidade de se preocupar com o espaço. Você pode fazer uma lista de makea fazer uma anotação e, absolutamente, você pode reutilizá-la., O produto é bom, eu queria comprá-lo por muito tempo, mas é caro ,, hoje eu recebi meu pacote e sim, é realmente fofo. A capa, mas no geral é boa. Vale a pena. Está tudo em boas condições e também vem com uma caneta. REALMENTE recomendo que você compre UT.</v>
      </c>
    </row>
    <row r="705">
      <c r="A705" s="9" t="s">
        <v>2783</v>
      </c>
      <c r="B705" s="29" t="str">
        <f>VLOOKUP(dados!A705, reviews!A:G, 5, FALSE)</f>
        <v>The quality is surprisingly good! Happy with the purchase!!!,Perfect,Good,Good product! Original stuff with exp date 2024-05! Worth the money!,Could get used to it,Good,This product should not be played with fiddle with it or or open it roughly,Cool</v>
      </c>
      <c r="C705" s="29" t="str">
        <f>VLOOKUP(dados!A705, reviews!A:G, 6, FALSE)</f>
        <v>https://m.media-amazon.com/images/I/6171Cw2IlPL._SY88.jpg,100% genuine and perfect product.,Good,Worth the money as its a fun experience to use instant cam!Product is original with good packaging!,The top most amazing feature is it makes pictures look like the old 80’s.. but one problem is few don’t develop at all.,Nice, as per expectations,This is bad after 1 month,Okay productWorth the purchase.</v>
      </c>
      <c r="D705" s="29" t="str">
        <f>IFERROR(__xludf.DUMMYFUNCTION("GOOGLETRANSLATE(B705, ""en"", ""pt-br"")"),"A qualidade é surpreendentemente boa! Feliz com a compra !!!, perfeito, bom, bom produto! Coisas originais com EXP Data 2024-05! Vale a pena o dinheiro!, Poderia se acostumar com isso, bom, este produto não deve ser tocado com violento com ele ou ou abri "&amp;"-lo aproximadamente, legal")</f>
        <v>A qualidade é surpreendentemente boa! Feliz com a compra !!!, perfeito, bom, bom produto! Coisas originais com EXP Data 2024-05! Vale a pena o dinheiro!, Poderia se acostumar com isso, bom, este produto não deve ser tocado com violento com ele ou ou abri -lo aproximadamente, legal</v>
      </c>
      <c r="E705" s="29" t="str">
        <f>IFERROR(__xludf.DUMMYFUNCTION("GOOGLETRANSLATE(C705, ""en"", ""pt-br"")"),"https://m.media-amazon.com/images/i/6171cw2ilpl._sy88.jpg,100% Genuine and Perfect Product., Bom, vale o dinheiro como uma experiência divertida para usar CAM instantânea! Produto é original com bom Embalagem!, o principal recurso mais incrível é que faz "&amp;"as fotos parecerem os anos 80.")</f>
        <v>https://m.media-amazon.com/images/i/6171cw2ilpl._sy88.jpg,100% Genuine and Perfect Product., Bom, vale o dinheiro como uma experiência divertida para usar CAM instantânea! Produto é original com bom Embalagem!, o principal recurso mais incrível é que faz as fotos parecerem os anos 80.</v>
      </c>
    </row>
    <row r="706">
      <c r="A706" s="9" t="s">
        <v>1913</v>
      </c>
      <c r="B706" s="29" t="str">
        <f>VLOOKUP(dados!A706, reviews!A:G, 5, FALSE)</f>
        <v>pocket friendly  smart watch for people who loves large  screen.,Value for money,Value for money product,My watch is not charging,Service,Good but it's not working now,GREAT PRODUCT....,Good product</v>
      </c>
      <c r="C706" s="29" t="str">
        <f>VLOOKUP(dados!A706, reviews!A:G, 6, FALSE)</f>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v>
      </c>
      <c r="D706" s="29" t="str">
        <f>IFERROR(__xludf.DUMMYFUNCTION("GOOGLETRANSLATE(B706, ""en"", ""pt-br"")"),"Pocket Friendly Smart Watch for People que adora tela grande., Valor por dinheiro, valor do produto para dinheiro, meu relógio não está cobrando, serviço, bom, mas não está funcionando agora, ótimo produto ...., bom produto")</f>
        <v>Pocket Friendly Smart Watch for People que adora tela grande., Valor por dinheiro, valor do produto para dinheiro, meu relógio não está cobrando, serviço, bom, mas não está funcionando agora, ótimo produto ...., bom produto</v>
      </c>
      <c r="E706" s="29" t="str">
        <f>IFERROR(__xludf.DUMMYFUNCTION("GOOGLETRANSLATE(C706, ""en"", ""pt-br"")"),"O relógio inteligente é bom, com uma grande assistência DisplayVoice Siri para o iPhone Usuários da instalação do Facility FacilityOne uma deficiência de que você não pode enviar ou digitar texto no whatsapp, se você tem um pequeno pulso, não vá em frente"&amp;" ou é uma escolha perfeita para seus entes queridos., Isso é A primeira vez que comprei um relógio inteligente. Um bom relógio para iniciantes como eu com muitas funcionalidades incríveis. Além disso, este relógio é um valor para o dinheiro nessa faixa de"&amp;" preço. O rastreador de sono funciona decentemente bem, poderia ter sido melhor. Podemos ligar diretamente usando o relógio, eu gosto bem desse recurso. Não precisa procurar telefone toda vez. O toque de tela também está bem. Existem muitos rostos de reló"&amp;"gios que você pode alterar ou fazer upload de um da sua própria Galary, que é um ponto positivo. O produto parece exatamente como mostrado nas imagens. O rastreador de calorias e batidas de coração também são bastante precisas. O relógio é um pouco descon"&amp;"fortável de assistir às vezes, mas, caso contrário, as tiras são boas e fortes, uso este relógio há um mês e é realmente ótimo. Todos os recursos estão funcionando muito bem e a conectividade com o telefone também é boa. A qualidade da tela pode ser melho"&amp;"rada. Na verdade, meu relógio inteligente BSW043 Ring 3 não está cobrando de 2 a 3 dias. Está cansado de MSG Fireballs, mas sempre diz para seguir nossa página no Instagram. E quando seguimos o seu mostra suas novas ofertas. Não sei o que fazer agora. Aca"&amp;"bei de enviar o formulário de garantia., O relógio funcionou por 2-3 meses e fui desligado automaticamente e o painel traseiro também foi aberto automaticamente .., não o carreguei por 2 dias, agora depois de carregar também não está recebendo ON, eu uso "&amp;"este relógio desde um mês e é realmente ótimo. Todos os recursos estão funcionando muito bem e a conectividade com o telefone também é boa. A qualidade do produto e a aparência foi boa, mas têm alguns problemas após alguns meses de uso")</f>
        <v>O relógio inteligente é bom, com uma grande assistência DisplayVoice Siri para o iPhone Usuários da instalação do Facility FacilityOne uma deficiência de que você não pode enviar ou digitar texto no whatsapp, se você tem um pequeno pulso, não vá em frente ou é uma escolha perfeita para seus entes queridos., Isso é A primeira vez que comprei um relógio inteligente. Um bom relógio para iniciantes como eu com muitas funcionalidades incríveis. Além disso, este relógio é um valor para o dinheiro nessa faixa de preço. O rastreador de sono funciona decentemente bem, poderia ter sido melhor. Podemos ligar diretamente usando o relógio, eu gosto bem desse recurso. Não precisa procurar telefone toda vez. O toque de tela também está bem. Existem muitos rostos de relógios que você pode alterar ou fazer upload de um da sua própria Galary, que é um ponto positivo. O produto parece exatamente como mostrado nas imagens. O rastreador de calorias e batidas de coração também são bastante precisas. O relógio é um pouco desconfortável de assistir às vezes, mas, caso contrário, as tiras são boas e fortes, uso este relógio há um mês e é realmente ótimo. Todos os recursos estão funcionando muito bem e a conectividade com o telefone também é boa. A qualidade da tela pode ser melhorada. Na verdade, meu relógio inteligente BSW043 Ring 3 não está cobrando de 2 a 3 dias. Está cansado de MSG Fireballs, mas sempre diz para seguir nossa página no Instagram. E quando seguimos o seu mostra suas novas ofertas. Não sei o que fazer agora. Acabei de enviar o formulário de garantia., O relógio funcionou por 2-3 meses e fui desligado automaticamente e o painel traseiro também foi aberto automaticamente .., não o carreguei por 2 dias, agora depois de carregar também não está recebendo ON, eu uso este relógio desde um mês e é realmente ótimo. Todos os recursos estão funcionando muito bem e a conectividade com o telefone também é boa. A qualidade do produto e a aparência foi boa, mas têm alguns problemas após alguns meses de uso</v>
      </c>
    </row>
    <row r="707">
      <c r="A707" s="9" t="s">
        <v>2790</v>
      </c>
      <c r="B707" s="29" t="str">
        <f>VLOOKUP(dados!A707, reviews!A:G, 5, FALSE)</f>
        <v>LTE features (no other feature tested),Decent watch,Good not great,Great watch let down by battery life,Good fit, good apps,Wanted faster charging and better camera feed.,Mobile app Needs to be improved facing connectivity issues,Good</v>
      </c>
      <c r="C707" s="29" t="str">
        <f>VLOOKUP(dados!A707, reviews!A:G, 6, FALSE)</f>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v>
      </c>
      <c r="D707" s="29" t="str">
        <f>IFERROR(__xludf.DUMMYFUNCTION("GOOGLETRANSLATE(B707, ""en"", ""pt-br"")"),"Recursos LTE (nenhum outro recurso testado), relógio decente, bom não ótimo, ótimo relógio decepcionado por duração da bateria, bom ajuste, bons aplicativos, cargo mais rápido e melhor feed de câmera., O aplicativo móvel precisa ser melhorado com problema"&amp;"s de conectividade, bom")</f>
        <v>Recursos LTE (nenhum outro recurso testado), relógio decente, bom não ótimo, ótimo relógio decepcionado por duração da bateria, bom ajuste, bons aplicativos, cargo mais rápido e melhor feed de câmera., O aplicativo móvel precisa ser melhorado com problemas de conectividade, bom</v>
      </c>
      <c r="E707" s="29" t="str">
        <f>IFERROR(__xludf.DUMMYFUNCTION("GOOGLETRANSLATE(C707, ""en"", ""pt-br"")"),"Quando comprei este relógio, pensei que o casal fosse usado para enviar SMS, fazer chamadas, acessar notificações sem estar conectado ao telefone. Eu sabia que as notificações de terceiros exigiam que o telefone estivesse conectado à Internet, mas achei q"&amp;"ue o relógio poderia fazer chamadas e enviar textos, mesmo que o telefone seja desligado. O produto que pedi só pode fazer chamadas quando desconectado do telefone. Recursos como SMS (surpreendente, pois esta é uma versão LTE) e notificações (isso inclui "&amp;"aplicativos de relógio como o Outlook) que exigem a Internet apenas são sincronizados com o relógio e está conectado ao telefone via Bluetoothi ​​não verificou outros recursos, pois o O principal motivo pelo qual pedi que este relógio foi acessibilidade a"&amp;" notificações sem telefone., eu uso isso desde 22 de junho. Parece bom no pulso e tem todos os recursos úteis como chamar, ler e responder mensagens do WhatsApp. A bateria é muito baixa, porém, eu a mantenho desligada à noite (ou seja, nunca a usei para r"&amp;"astrear o sono), mas tenho que carregar a cada alguns dias. Além disso, é carregado devagar., Todos os recursos do relógio são bons, mas o backup da bateria é muito ruim. Após a cobrança total, ele dura 36-40 horas, mas depois que os usos médios serão exe"&amp;"cutados apenas 20-22 horas., É incrível com a função LTE agora eu não carrego meu telefone para a academia !! Mas a duração da bateria é uma merda e precisa carregar duas vezes, especialmente quando eu uso o LTE, também aquece por algum motivo e precisa e"&amp;"sfriar de vez em quando naquele tempo em que o relógio entra automaticamente para a hibernação e começa depois de alguns relógios de tempo de tempo de categoracysleep rastrear2 monitorreto lte conexão Na vida de WristGreat Screennengative Battery, usando "&amp;"-a por 1 mês. Se encaixa bem, tenha carregador sem fio. Você também pode carregá -lo do seu telefone se o seu telefone suportar carregamento sem fio. Uma coisa comum para a maioria dos relógios inteligentes é quando você está viajando de ônibus ou carro e"&amp;"m uma estrada de Brugby, assumirá que você está correndo e parabenizando você por concluir as tarefas diárias 😄, carregar é muito lento, o que é de se esperar. A menos que você tenha um telefone principal da Samsung, não poderá ver o aplicativo de câmera"&amp;" no relógio e terá que obter aplicativos de terceiros, e eles são apenas horríveis., O produto é a precisão da saúde do GoodPros1 é alta. A qualidade do design e construção do Good3 também é o aplicativo GoodCon1 não é tão bom e enfrentando problemas de c"&amp;"onectividade, bom")</f>
        <v>Quando comprei este relógio, pensei que o casal fosse usado para enviar SMS, fazer chamadas, acessar notificações sem estar conectado ao telefone. Eu sabia que as notificações de terceiros exigiam que o telefone estivesse conectado à Internet, mas achei que o relógio poderia fazer chamadas e enviar textos, mesmo que o telefone seja desligado. O produto que pedi só pode fazer chamadas quando desconectado do telefone. Recursos como SMS (surpreendente, pois esta é uma versão LTE) e notificações (isso inclui aplicativos de relógio como o Outlook) que exigem a Internet apenas são sincronizados com o relógio e está conectado ao telefone via Bluetoothi ​​não verificou outros recursos, pois o O principal motivo pelo qual pedi que este relógio foi acessibilidade a notificações sem telefone., eu uso isso desde 22 de junho. Parece bom no pulso e tem todos os recursos úteis como chamar, ler e responder mensagens do WhatsApp. A bateria é muito baixa, porém, eu a mantenho desligada à noite (ou seja, nunca a usei para rastrear o sono), mas tenho que carregar a cada alguns dias. Além disso, é carregado devagar., Todos os recursos do relógio são bons, mas o backup da bateria é muito ruim. Após a cobrança total, ele dura 36-40 horas, mas depois que os usos médios serão executados apenas 20-22 horas., É incrível com a função LTE agora eu não carrego meu telefone para a academia !! Mas a duração da bateria é uma merda e precisa carregar duas vezes, especialmente quando eu uso o LTE, também aquece por algum motivo e precisa esfriar de vez em quando naquele tempo em que o relógio entra automaticamente para a hibernação e começa depois de alguns relógios de tempo de tempo de categoracysleep rastrear2 monitorreto lte conexão Na vida de WristGreat Screennengative Battery, usando -a por 1 mês. Se encaixa bem, tenha carregador sem fio. Você também pode carregá -lo do seu telefone se o seu telefone suportar carregamento sem fio. Uma coisa comum para a maioria dos relógios inteligentes é quando você está viajando de ônibus ou carro em uma estrada de Brugby, assumirá que você está correndo e parabenizando você por concluir as tarefas diárias 😄, carregar é muito lento, o que é de se esperar. A menos que você tenha um telefone principal da Samsung, não poderá ver o aplicativo de câmera no relógio e terá que obter aplicativos de terceiros, e eles são apenas horríveis., O produto é a precisão da saúde do GoodPros1 é alta. A qualidade do design e construção do Good3 também é o aplicativo GoodCon1 não é tão bom e enfrentando problemas de conectividade, bom</v>
      </c>
    </row>
    <row r="708">
      <c r="A708" s="9" t="s">
        <v>2794</v>
      </c>
      <c r="B708" s="29" t="str">
        <f>VLOOKUP(dados!A708, reviews!A:G, 5, FALSE)</f>
        <v>BUDGET TWS,Does its job,Bhomick bhasker,Noise is nice,Des Raj,Noise -Good one,It's sound quality,It's worth it</v>
      </c>
      <c r="C708" s="29" t="str">
        <f>VLOOKUP(dados!A708, reviews!A:G, 6, FALSE)</f>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v>
      </c>
      <c r="D708" s="29" t="str">
        <f>IFERROR(__xludf.DUMMYFUNCTION("GOOGLETRANSLATE(B708, ""en"", ""pt-br"")"),"Orçamento TWS, faz seu trabalho, Bhomick Bhasker, ruído é bom, des raj, ruído -bom, é qualidade de som, vale a pena")</f>
        <v>Orçamento TWS, faz seu trabalho, Bhomick Bhasker, ruído é bom, des raj, ruído -bom, é qualidade de som, vale a pena</v>
      </c>
      <c r="E708" s="29" t="str">
        <f>IFERROR(__xludf.DUMMYFUNCTION("GOOGLETRANSLATE(C708, ""en"", ""pt-br"")"),"Revisão honesta: -Eu obtive esses brotos em ₹ 895/- e eu só compro fones de ouvido por causa da música, filmes, série ... Experiência musical- 4.5/5 (TBH Gosto de ouvir música equilibrada como o Crystal Clear Sound com um equilíbrio equilibrado baixo, mas"&amp;" sim, se você é amante do baixo, pense novamente antes de comprá -lo) Bateria - 5/5hypersync - 5/5bluetooth - 3,5/5 (eu verifiquei a caixa e lá está escrito Bluetooth 5.3, mas seu alcance está baixo e isso não está pronto Minhas expectativas ... mas vai f"&amp;"uncionar para mim ...) Então, sim, se você está comprando para Bluetooth 5.3 ... pense novamente ... Instacharge- 5/5, na verdade funciona muito bem ... Buds- 4.5/5 (no design do ouvido é bom e eles se encaixam perfeitamente também você pode fazer exercíc"&amp;"ios, exercícios, correndo etc ... mas se seus próprios ouvidos são um pouco diferentes como tão grandes, é o seu problema, embora ele venha com tamanhos diferentes pode experimentá -los ...;) Os brotos são realmente tão leves, então sim, eu pessoalmente g"&amp;"osto deles ... Chamando experiência (voz/videochamada) 3.5/5 brotos não vêm com o modo ANC, então, por favor, não os compre apenas para ANC ... e o alcance incall é muito baixo ... :( O que eu realmente não esperava ... (mas funcionará para mim), a qualid"&amp;"ade do som é boa, sem dúvida. Mas em uma nota pessoal, esses botões não se encaixam na minha orelha. Outros que o usaram gostaram, porém, uma qualidade muito ruim do produto. Pare de funcionar após 2 meses. Por favor, não desperdice seu dinheiro neste fon"&amp;"e de ouvido., Bom som/bom baixo/todos os recursos é agradável/bom em quarto ou lugar silencioso ... algum ruído de fundo vem em área aberta como estrada ... durante a viagem ... Mas esse problema em todas as empresas, como a esse preço, mas o cancelamento"&amp;" de ruído não é tão bom., bom produto para esse valor, raramente enfrentando um problema enquanto Redmi 10, para minha listagem de música e tem ótima qualidade, a qualidade do som é muito claro e o alcance é muito bom, mas o baixo não é tão bom")</f>
        <v>Revisão honesta: -Eu obtive esses brotos em ₹ 895/- e eu só compro fones de ouvido por causa da música, filmes, série ... Experiência musical- 4.5/5 (TBH Gosto de ouvir música equilibrada como o Crystal Clear Sound com um equilíbrio equilibrado baixo, mas sim, se você é amante do baixo, pense novamente antes de comprá -lo) Bateria - 5/5hypersync - 5/5bluetooth - 3,5/5 (eu verifiquei a caixa e lá está escrito Bluetooth 5.3, mas seu alcance está baixo e isso não está pronto Minhas expectativas ... mas vai funcionar para mim ...) Então, sim, se você está comprando para Bluetooth 5.3 ... pense novamente ... Instacharge- 5/5, na verdade funciona muito bem ... Buds- 4.5/5 (no design do ouvido é bom e eles se encaixam perfeitamente também você pode fazer exercícios, exercícios, correndo etc ... mas se seus próprios ouvidos são um pouco diferentes como tão grandes, é o seu problema, embora ele venha com tamanhos diferentes pode experimentá -los ...;) Os brotos são realmente tão leves, então sim, eu pessoalmente gosto deles ... Chamando experiência (voz/videochamada) 3.5/5 brotos não vêm com o modo ANC, então, por favor, não os compre apenas para ANC ... e o alcance incall é muito baixo ... :( O que eu realmente não esperava ... (mas funcionará para mim), a qualidade do som é boa, sem dúvida. Mas em uma nota pessoal, esses botões não se encaixam na minha orelha. Outros que o usaram gostaram, porém, uma qualidade muito ruim do produto. Pare de funcionar após 2 meses. Por favor, não desperdice seu dinheiro neste fone de ouvido., Bom som/bom baixo/todos os recursos é agradável/bom em quarto ou lugar silencioso ... algum ruído de fundo vem em área aberta como estrada ... durante a viagem ... Mas esse problema em todas as empresas, como a esse preço, mas o cancelamento de ruído não é tão bom., bom produto para esse valor, raramente enfrentando um problema enquanto Redmi 10, para minha listagem de música e tem ótima qualidade, a qualidade do som é muito claro e o alcance é muito bom, mas o baixo não é tão bom</v>
      </c>
    </row>
    <row r="709">
      <c r="A709" s="9" t="s">
        <v>2798</v>
      </c>
      <c r="B709" s="29" t="str">
        <f>VLOOKUP(dados!A709, reviews!A:G, 5, FALSE)</f>
        <v>Longevity isn’t as long as I thought it would be,Good,Value for money,the expiry date and price covered by an external sticker. Can't make out anything,Good,Excellent customer service..,Good product,Good</v>
      </c>
      <c r="C709" s="29" t="str">
        <f>VLOOKUP(dados!A709, reviews!A:G, 6, FALSE)</f>
        <v>I used these for my wireless mouse which is a razer deathadder v2. One of these would last exactly from a week to two. Was weird because I used the mouse same way with each but some of the batteries would die out quicker than expected. Should be fine if you’re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v>
      </c>
      <c r="D709" s="29" t="str">
        <f>IFERROR(__xludf.DUMMYFUNCTION("GOOGLETRANSLATE(B709, ""en"", ""pt-br"")"),"A longevidade não é tão longa quanto eu pensei que seria, boa, valor ao dinheiro, a data de validade e o preço cobertos por um adesivo externo. Não consigo entender nada, bom, excelente atendimento ao cliente .., bom produto, bom")</f>
        <v>A longevidade não é tão longa quanto eu pensei que seria, boa, valor ao dinheiro, a data de validade e o preço cobertos por um adesivo externo. Não consigo entender nada, bom, excelente atendimento ao cliente .., bom produto, bom</v>
      </c>
      <c r="E709" s="29" t="str">
        <f>IFERROR(__xludf.DUMMYFUNCTION("GOOGLETRANSLATE(C709, ""en"", ""pt-br"")"),"Eu os usei para o meu mouse sem fio, que é um Razer Deathadder V2. Um deles duraria exatamente de uma semana a dois. Era estranho porque eu usei o mouse da mesma maneira com cada um, mas algumas das baterias morreriam mais rápido do que o esperado. Deve e"&amp;"star bem se você estiver usando algo menos cansativo, como um mouse sem fio, bom, para relógios de parede e controles remotos de TV, as baterias entregues em condição OK, mas não conseguem entender a vida ou o preço real, conforme coberto por um externo a"&amp;"desivo em cima, agradável, a duração da bateria é excelente em comparação com outras marcas, bom, bom")</f>
        <v>Eu os usei para o meu mouse sem fio, que é um Razer Deathadder V2. Um deles duraria exatamente de uma semana a dois. Era estranho porque eu usei o mouse da mesma maneira com cada um, mas algumas das baterias morreriam mais rápido do que o esperado. Deve estar bem se você estiver usando algo menos cansativo, como um mouse sem fio, bom, para relógios de parede e controles remotos de TV, as baterias entregues em condição OK, mas não conseguem entender a vida ou o preço real, conforme coberto por um externo adesivo em cima, agradável, a duração da bateria é excelente em comparação com outras marcas, bom, bom</v>
      </c>
    </row>
    <row r="710">
      <c r="A710" s="9" t="s">
        <v>2802</v>
      </c>
      <c r="B710" s="29" t="str">
        <f>VLOOKUP(dados!A710, reviews!A:G, 5, FALSE)</f>
        <v>The price should be less than 500, not a very great product.,Good earphones,Average,Good earphone,Good for common men.,Nice headphone,Good looks but bass is not good as aspected..,Nice product</v>
      </c>
      <c r="C710" s="29" t="str">
        <f>VLOOKUP(dados!A710, reviews!A:G, 6, FALSE)</f>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v>
      </c>
      <c r="D710" s="29" t="str">
        <f>IFERROR(__xludf.DUMMYFUNCTION("GOOGLETRANSLATE(B710, ""en"", ""pt-br"")"),"O preço deve ser inferior a 500, não um produto muito bom., Bons fones de ouvido, médio, bom fone de ouvido, bom para homens comuns., Fone de fone de ouvido, boa aparência, mas o baixo não é bom como aspecto .., bom produto")</f>
        <v>O preço deve ser inferior a 500, não um produto muito bom., Bons fones de ouvido, médio, bom fone de ouvido, bom para homens comuns., Fone de fone de ouvido, boa aparência, mas o baixo não é bom como aspecto .., bom produto</v>
      </c>
      <c r="E710" s="29" t="str">
        <f>IFERROR(__xludf.DUMMYFUNCTION("GOOGLETRANSLATE(C710, ""en"", ""pt-br"")"),"Eu estava usando o JBL C100 SI, e desta vez comprou o JBL C200SI, e honestamente não conseguia sentir muita diferença entre isso. Uma coisa comum sobre isso é a qualidade do fio barato. A JBL poderia ter resolvido isso., Eu o usei para ouvir músicas e pos"&amp;"so dizer que são bons fones de ouvido por esse preço, média, esperados demais, mas a qualidade do som é boa, mas o baixo não é tão bom. No geral, bom produto, o fone de ouvido tem boa qualidade de som, avarage, fone de ouvido agradável, https: //m.media-a"&amp;"mazon.com/images/i/61q50wnb0tl._sy88.jpg,Best Sound Quality. A única questão é o revestimento de tinta começou a sair da peça da cabeça e o fio na extremidade do conector lascada gradualmente.")</f>
        <v>Eu estava usando o JBL C100 SI, e desta vez comprou o JBL C200SI, e honestamente não conseguia sentir muita diferença entre isso. Uma coisa comum sobre isso é a qualidade do fio barato. A JBL poderia ter resolvido isso., Eu o usei para ouvir músicas e posso dizer que são bons fones de ouvido por esse preço, média, esperados demais, mas a qualidade do som é boa, mas o baixo não é tão bom. No geral, bom produto, o fone de ouvido tem boa qualidade de som, avarage, fone de ouvido agradável, https: //m.media-amazon.com/images/i/61q50wnb0tl._sy88.jpg,Best Sound Quality. A única questão é o revestimento de tinta começou a sair da peça da cabeça e o fio na extremidade do conector lascada gradualmente.</v>
      </c>
    </row>
    <row r="711">
      <c r="A711" s="9" t="s">
        <v>2806</v>
      </c>
      <c r="B711" s="29" t="str">
        <f>VLOOKUP(dados!A711, reviews!A:G, 5, FALSE)</f>
        <v>Good monitor in this price range,My Best Buy in 2022,Average product for daily use. And some gaming.,its a good 1080 monitor,Nice product,price relaetd issue,Worth monitor this price,Decent monitor at this price with limitation</v>
      </c>
      <c r="C711" s="29" t="str">
        <f>VLOOKUP(dados!A711, reviews!A:G, 6, FALSE)</f>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v>
      </c>
      <c r="D711" s="29" t="str">
        <f>IFERROR(__xludf.DUMMYFUNCTION("GOOGLETRANSLATE(B711, ""en"", ""pt-br"")"),"Bom monitor nesta faixa de preço, minha melhor compra em 2022, produto médio para uso diário. E alguns jogos., É um bom monitor 1080, bom produto, edição de preços, vale a pena monitorar esse preço, monitor decente a esse preço com limitação")</f>
        <v>Bom monitor nesta faixa de preço, minha melhor compra em 2022, produto médio para uso diário. E alguns jogos., É um bom monitor 1080, bom produto, edição de preços, vale a pena monitorar esse preço, monitor decente a esse preço com limitação</v>
      </c>
      <c r="E711" s="29" t="str">
        <f>IFERROR(__xludf.DUMMYFUNCTION("GOOGLETRANSLATE(C711, ""en"", ""pt-br"")"),"Bom produto, estou dando esta revisão após 2 meses de uso e tenho uma boa experiência com esse único problema que você pode enfrentar é que o painel de controle não é fácil de usar, é diferente operar. No topo deste painel de preço VA de faixa de preço é "&amp;"bom., Está tudo bem, desde que você não esteja esperando Musch, vale a pena por dinheiro e melhor para uso doméstico. O tamanho da tela também é bom e a proteção para os olhos é a melhor, a qualidade vis este produto é bom, mas depois de lidar por outro p"&amp;"edido, o preço repentino se torna alto 35 % por que! Em apenas 1 dia, responda -me! É atento, vale a pena monitorar esse preço, o monitor é bom se você não estiver fazendo uma atividade de design gráfico pesado, porque a tela se torna um pouco pixalada no"&amp;" escuro. Eu verifiquei que isso não é uma questão do meu driver de exibição ou HDMI. Mas a imagem é uma taxa de atualização nítida e boa para aplicativos do escritório. Boa compra a esse preço, mas se você puder pagar um monitor mais caro, procure alguém "&amp;"com opções de ajuste de Hight. Este não está tendo nenhum.")</f>
        <v>Bom produto, estou dando esta revisão após 2 meses de uso e tenho uma boa experiência com esse único problema que você pode enfrentar é que o painel de controle não é fácil de usar, é diferente operar. No topo deste painel de preço VA de faixa de preço é bom., Está tudo bem, desde que você não esteja esperando Musch, vale a pena por dinheiro e melhor para uso doméstico. O tamanho da tela também é bom e a proteção para os olhos é a melhor, a qualidade vis este produto é bom, mas depois de lidar por outro pedido, o preço repentino se torna alto 35 % por que! Em apenas 1 dia, responda -me! É atento, vale a pena monitorar esse preço, o monitor é bom se você não estiver fazendo uma atividade de design gráfico pesado, porque a tela se torna um pouco pixalada no escuro. Eu verifiquei que isso não é uma questão do meu driver de exibição ou HDMI. Mas a imagem é uma taxa de atualização nítida e boa para aplicativos do escritório. Boa compra a esse preço, mas se você puder pagar um monitor mais caro, procure alguém com opções de ajuste de Hight. Este não está tendo nenhum.</v>
      </c>
    </row>
    <row r="712">
      <c r="A712" s="9" t="s">
        <v>2812</v>
      </c>
      <c r="B712" s="29" t="str">
        <f>VLOOKUP(dados!A712, reviews!A:G, 5, FALSE)</f>
        <v>Good,Product as described,Good for the price,Value for money,Good Product,Good product,Continue bright 3days no complaints,59 Rupees worth it</v>
      </c>
      <c r="C712" s="29" t="str">
        <f>VLOOKUP(dados!A712, reviews!A:G, 6, FALSE)</f>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v>
      </c>
      <c r="D712" s="29" t="str">
        <f>IFERROR(__xludf.DUMMYFUNCTION("GOOGLETRANSLATE(B712, ""en"", ""pt-br"")"),"Bom, produto, conforme descrito, bom para o preço, valor pelo dinheiro, bom produto, bom produto, continue brilhante em 3 dias sem queixas, 59 rúpias que valem a pena")</f>
        <v>Bom, produto, conforme descrito, bom para o preço, valor pelo dinheiro, bom produto, bom produto, continue brilhante em 3 dias sem queixas, 59 rúpias que valem a pena</v>
      </c>
      <c r="E712" s="29" t="str">
        <f>IFERROR(__xludf.DUMMYFUNCTION("GOOGLETRANSLATE(C712, ""en"", ""pt-br"")"),"Bom, o produto é como descrito, bom que podemos usá -lo, bom para o preço, eles não são super brilhantes, mas eu gosto deles desde o tamanho pequeno e podem ser dobrados. Às vezes, como luz noturna no meu carregador voltado para o teto ou na parede., ador"&amp;"ei, bom produto digno a esse preço mais baixo, boa iluminação e boa qualidade")</f>
        <v>Bom, o produto é como descrito, bom que podemos usá -lo, bom para o preço, eles não são super brilhantes, mas eu gosto deles desde o tamanho pequeno e podem ser dobrados. Às vezes, como luz noturna no meu carregador voltado para o teto ou na parede., adorei, bom produto digno a esse preço mais baixo, boa iluminação e boa qualidade</v>
      </c>
    </row>
    <row r="713">
      <c r="A713" s="9" t="s">
        <v>2819</v>
      </c>
      <c r="B713" s="29" t="str">
        <f>VLOOKUP(dados!A713, reviews!A:G, 5, FALSE)</f>
        <v>Good product,Value for money,Car charger,Good product,A good product- must have accessory for car,Good charger,Good,बहुत ही अच्छा चार्जर है</v>
      </c>
      <c r="C713" s="29" t="str">
        <f>VLOOKUP(dados!A713, reviews!A:G, 6, FALSE)</f>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v>
      </c>
      <c r="D713" s="29" t="str">
        <f>IFERROR(__xludf.DUMMYFUNCTION("GOOGLETRANSLATE(B713, ""en"", ""pt-br"")"),"Bom produto, valor ao dinheiro, carregador de carro, bom produto, um bom produto- deve ter acessório para carro, bom carregador, bom, बहुत ही अच्छा चार्जर है")</f>
        <v>Bom produto, valor ao dinheiro, carregador de carro, bom produto, um bom produto- deve ter acessório para carro, bom carregador, bom, बहुत ही अच्छा चार्जर है</v>
      </c>
      <c r="E713" s="29" t="str">
        <f>IFERROR(__xludf.DUMMYFUNCTION("GOOGLETRANSLATE(C713, ""en"", ""pt-br"")"),"Ainda usando -o, pedi muito tempo atrás, fácil de usar e instalar, valor por dinheiro, bom, recebi um produto usado primeiro e depois escrevi em comentários para verificação adequada de qualidade de focas que não tamperazon fizeram seu trabalho no QC e me"&amp;" enviou um O novo produto que foi selado e o produto fechado é bom pode carregar 2 dispositivos no mesmo tempo de carregamento paralelo que o carregador o usará somente quando necessário, um bom carregador de carro! Deve ter produto. Eu estava usando isso"&amp;" nos últimos 3 meses, estou carregando meu telefone e bomba de ar. Trabalhando sem problemas sem problemas., Bom, bom, bom")</f>
        <v>Ainda usando -o, pedi muito tempo atrás, fácil de usar e instalar, valor por dinheiro, bom, recebi um produto usado primeiro e depois escrevi em comentários para verificação adequada de qualidade de focas que não tamperazon fizeram seu trabalho no QC e me enviou um O novo produto que foi selado e o produto fechado é bom pode carregar 2 dispositivos no mesmo tempo de carregamento paralelo que o carregador o usará somente quando necessário, um bom carregador de carro! Deve ter produto. Eu estava usando isso nos últimos 3 meses, estou carregando meu telefone e bomba de ar. Trabalhando sem problemas sem problemas., Bom, bom, bom</v>
      </c>
    </row>
    <row r="714">
      <c r="A714" s="9" t="s">
        <v>2823</v>
      </c>
      <c r="B714" s="29" t="str">
        <f>VLOOKUP(dados!A714, reviews!A:G, 5, FALSE)</f>
        <v>To good,Build material,Super,Good product,Budget bluetooth speaker which serves the purpose of low volume on a phone or laptop,best,It's OK to use in small room. But for Outdoor activities it will not meet our expectations.,Awesome product</v>
      </c>
      <c r="C714" s="29" t="str">
        <f>VLOOKUP(dados!A714, reviews!A:G, 6, FALSE)</f>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“M”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don’t consider its music quality a con for the product. There’s one limitation about charging connector to. It comes with a charging port compatible to A/B type connector, so if you have a charger with data cable supporting “C”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“Bluebatt” or “Bluetooth check ringtone and show battery level”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company’s product packaging. Manufacturing date was of May-2021.,I like it,Portability and Bluetooth connection is good.,Awesome 😎👍</v>
      </c>
      <c r="D714" s="29" t="str">
        <f>IFERROR(__xludf.DUMMYFUNCTION("GOOGLETRANSLATE(B714, ""en"", ""pt-br"")"),"Para ser bom, construir material, super, bom produto, alto -falante Bluetooth, que serve ao objetivo de baixo volume em um telefone ou laptop, melhor, não há problema em usar em pequena sala. Mas para atividades ao ar livre, não atenderá às nossas expecta"&amp;"tivas., Produto incrível")</f>
        <v>Para ser bom, construir material, super, bom produto, alto -falante Bluetooth, que serve ao objetivo de baixo volume em um telefone ou laptop, melhor, não há problema em usar em pequena sala. Mas para atividades ao ar livre, não atenderá às nossas expectativas., Produto incrível</v>
      </c>
      <c r="E714" s="29" t="str">
        <f>IFERROR(__xludf.DUMMYFUNCTION("GOOGLETRANSLATE(C714, ""en"", ""pt-br"")"),"Bahut Hi Achha Produto Hai Badhiya Saund e conectividade Bluetooth, o material de construção é o corpo plástico. No entanto, o som foi bom, agradável, a qualidade do som é um bom desempenho, é um alto -falante Bluetooth satisfatório e é uma escolha perfei"&amp;"ta para quem procura um alto -falante sem fio orçamentário para seu laptop ou telefone celular com problemas de baixo volume ou para quem precisa Algum dispositivo de música portátil e que não querem gastar muito dinheiro. Serve muito bem a esse propósito"&amp;" e não é caro. Por que estou dizendo tudo isso …… as primeiras coisas primeiro, recebi isso em 549 (o preto apenas como o restante das cores era muito caro e a escolha das cores pode ser sacrificada nesse caso). 2. Meu laptop e volume de telefone estão mu"&amp;"ito baixos e assistir a um vídeo ou ouvir música nesses dispositivos não é uma boa experiência. Então, aqui também, esse alto -falante serviu ao objetivo, pois a conectividade é excelente, o tamanho do alto -falante é convenientemente pequeno, leve e o ba"&amp;"ckup da bateria é incrível. Após uma cobrança completa, usei esse alto -falante continuamente por cerca de 6 horas, com cerca de 80% de volume e ainda o alto -falante fica com 60% de carga. Não posso comentar agora o tempo de carregamento, pois chegou com"&amp;" mais de 70% de carga e acabei de encomendá -la. A conectividade Bluetooth é excepcionalmente boa até 10 mtrs. A recepção do FM é média sem conectar o cabo de dados/carregamento, mas é incrível se o cabo estiver conectado. Possui apenas quatro botões e to"&amp;"das as funções são controladas apenas por esses botões. O primeiro botão “M” é o modo que, quando pressionado, interruita de Bluetooth para FM para Aux para USB/cartão de memória. A transição da troca é impecável. As teclas de volume para cima/para baixo "&amp;"são usadas para alterar o volume e alternar os canais. A imprensa longa altera o volume e o pressione/clique curto altera os canais no FM ou altera a faixa via aux. O recurso mais útil deste alto -falante é o seu microfone. Sim, você pode realmente usar e"&amp;"sse alto -falante (quando conectado ao telefone) para conversar com alguém e isso também sem problemas de conectividade. A clareza de voz é muito boa para as chamadas feitas. A clareza musical não é muito boa. (Leia os contras para isso). A qualidade dos "&amp;"plásticos usados ​​parece boa e parece durável. A qualidade do som é apenas média. A clareza da chamada de voz é muito boa onde a música não é dominante. Mas quando se trata de música, esse orador luta para oferecer qualidade. As pessoas estão reclamando "&amp;"de críticas que não produz nenhum baixo, mas na verdade é o baixo produzido pelo alto -falante que deteriora a qualidade. Isso é compreensível para este produto, pois possui apenas um pequeno alto -falante dentro e, se o fabricante o produzir, definitivam"&amp;"ente deteriorará a qualidade da música. Mas isso é gerenciável e você pode ajustar os equalizadores musicais no seu laptop ou telefone para obter uma qualidade musical bastante decente. Esta é a razão pela qual não considero sua qualidade musical um golpe"&amp;" para o produto. Há uma limitação sobre a cobrança do conector. Ele vem com uma porta de carregamento compatível com o conector do tipo A/B; portanto, se você tiver um carregador com o cabo de dados que suporta conectores do tipo ""C"", você deve usar o c"&amp;"abo de carregamento fornecido apenas com o alto -falante. Portanto, você não pode manter apenas um cabo comum com você para carregar o telefone e o alto -falante. Em vez disso, você terá que transportar dois cabos diferentes. Este orador não vem com um ca"&amp;"rregador, então você terá que usar seu carregador de celulares (5V, 1A) para esse fim. Mas, pelo preço da raiva, isso parece razoável. Dica útil para os compradores: a maioria dos smartphones exibirá porcentagem de bateria deixada no alto -falante. Mas vo"&amp;"cê pode instalar qualquer um desses dois aplicativos ""Bluebatt"" ou ""Bluetooth Check Ringtone e mostrar o nível da bateria"" do Playstore, se, caso seu telefone não puder buscar dados da bateria do alto -falante. O que você obtém no pacote completo: 1 u"&amp;"nidade de O alto -falante Bluetooth, 1 cabo que possui conector AUX, conector USB e (tipo A/B) Micro USB Connector, 1 Manual de Usuário minúsculo. A data de fabricação era de maio de 2021., Gosto, a portabilidade e a conexão Bluetooth são boas., Incrível "&amp;"😎👍")</f>
        <v>Bahut Hi Achha Produto Hai Badhiya Saund e conectividade Bluetooth, o material de construção é o corpo plástico. No entanto, o som foi bom, agradável, a qualidade do som é um bom desempenho, é um alto -falante Bluetooth satisfatório e é uma escolha perfeita para quem procura um alto -falante sem fio orçamentário para seu laptop ou telefone celular com problemas de baixo volume ou para quem precisa Algum dispositivo de música portátil e que não querem gastar muito dinheiro. Serve muito bem a esse propósito e não é caro. Por que estou dizendo tudo isso …… as primeiras coisas primeiro, recebi isso em 549 (o preto apenas como o restante das cores era muito caro e a escolha das cores pode ser sacrificada nesse caso). 2. Meu laptop e volume de telefone estão muito baixos e assistir a um vídeo ou ouvir música nesses dispositivos não é uma boa experiência. Então, aqui também, esse alto -falante serviu ao objetivo, pois a conectividade é excelente, o tamanho do alto -falante é convenientemente pequeno, leve e o backup da bateria é incrível. Após uma cobrança completa, usei esse alto -falante continuamente por cerca de 6 horas, com cerca de 80% de volume e ainda o alto -falante fica com 60% de carga. Não posso comentar agora o tempo de carregamento, pois chegou com mais de 70% de carga e acabei de encomendá -la. A conectividade Bluetooth é excepcionalmente boa até 10 mtrs. A recepção do FM é média sem conectar o cabo de dados/carregamento, mas é incrível se o cabo estiver conectado. Possui apenas quatro botões e todas as funções são controladas apenas por esses botões. O primeiro botão “M” é o modo que, quando pressionado, interruita de Bluetooth para FM para Aux para USB/cartão de memória. A transição da troca é impecável. As teclas de volume para cima/para baixo são usadas para alterar o volume e alternar os canais. A imprensa longa altera o volume e o pressione/clique curto altera os canais no FM ou altera a faixa via aux. O recurso mais útil deste alto -falante é o seu microfone. Sim, você pode realmente usar esse alto -falante (quando conectado ao telefone) para conversar com alguém e isso também sem problemas de conectividade. A clareza de voz é muito boa para as chamadas feitas. A clareza musical não é muito boa. (Leia os contras para isso). A qualidade dos plásticos usados ​​parece boa e parece durável. A qualidade do som é apenas média. A clareza da chamada de voz é muito boa onde a música não é dominante. Mas quando se trata de música, esse orador luta para oferecer qualidade. As pessoas estão reclamando de críticas que não produz nenhum baixo, mas na verdade é o baixo produzido pelo alto -falante que deteriora a qualidade. Isso é compreensível para este produto, pois possui apenas um pequeno alto -falante dentro e, se o fabricante o produzir, definitivamente deteriorará a qualidade da música. Mas isso é gerenciável e você pode ajustar os equalizadores musicais no seu laptop ou telefone para obter uma qualidade musical bastante decente. Esta é a razão pela qual não considero sua qualidade musical um golpe para o produto. Há uma limitação sobre a cobrança do conector. Ele vem com uma porta de carregamento compatível com o conector do tipo A/B; portanto, se você tiver um carregador com o cabo de dados que suporta conectores do tipo "C", você deve usar o cabo de carregamento fornecido apenas com o alto -falante. Portanto, você não pode manter apenas um cabo comum com você para carregar o telefone e o alto -falante. Em vez disso, você terá que transportar dois cabos diferentes. Este orador não vem com um carregador, então você terá que usar seu carregador de celulares (5V, 1A) para esse fim. Mas, pelo preço da raiva, isso parece razoável. Dica útil para os compradores: a maioria dos smartphones exibirá porcentagem de bateria deixada no alto -falante. Mas você pode instalar qualquer um desses dois aplicativos "Bluebatt" ou "Bluetooth Check Ringtone e mostrar o nível da bateria" do Playstore, se, caso seu telefone não puder buscar dados da bateria do alto -falante. O que você obtém no pacote completo: 1 unidade de O alto -falante Bluetooth, 1 cabo que possui conector AUX, conector USB e (tipo A/B) Micro USB Connector, 1 Manual de Usuário minúsculo. A data de fabricação era de maio de 2021., Gosto, a portabilidade e a conexão Bluetooth são boas., Incrível 😎👍</v>
      </c>
    </row>
    <row r="715">
      <c r="A715" s="9" t="s">
        <v>1867</v>
      </c>
      <c r="B715" s="29" t="str">
        <f>VLOOKUP(dados!A715, reviews!A:G, 5, FALSE)</f>
        <v>Really Satisfied with purchase.,DO NOT BELIEVE ANSWERS FOR QUESTIONS SAYING IT WORKS ON iPad Pro 10.5 inch (A1701),Does all the necessary stuff,No Double Tap Gesture,5 star product at this price,Very good product,Automatically off's itself,Value for money pen</v>
      </c>
      <c r="C715" s="29" t="str">
        <f>VLOOKUP(dados!A715, reviews!A:G, 6, FALSE)</f>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I’ve seen it turn off in just 30 seconds a couple of times but that’s all. By the way, I ordered it for my old iPad Pro 10.5 inch A1701 as I don’t want to buy new Apple Pencil at full price and I somehow couldn’t find the right alternative for 1st gen Apple Pencil either.. but I found some questions here answering it works for A1701.. after delivery, I found out it actually won’t work and then magically the right model of stylus was on my Amazon Home Screen when I wanted to return this. Gonna order a new one which KINGONE says works with A1701. Let’s see..,Very good product build quality is aluminium so feels premium working is good as well best for note taking and basic operations budget friendly .,Full recharge is completed in 18 mins👍 affordable price.👍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v>
      </c>
      <c r="D715" s="29" t="str">
        <f>IFERROR(__xludf.DUMMYFUNCTION("GOOGLETRANSLATE(B715, ""en"", ""pt-br"")"),"Realmente satisfeito com a compra., Não acredite em respostas para perguntas dizendo que funciona no iPad Pro 10,5 polegadas (A1701), faz todas as coisas necessárias, sem gesto de toque duplo, produto de 5 estrelas a esse preço, produto muito bom, automat"&amp;"icamente Pen do valor para dinheiro")</f>
        <v>Realmente satisfeito com a compra., Não acredite em respostas para perguntas dizendo que funciona no iPad Pro 10,5 polegadas (A1701), faz todas as coisas necessárias, sem gesto de toque duplo, produto de 5 estrelas a esse preço, produto muito bom, automaticamente Pen do valor para dinheiro</v>
      </c>
      <c r="E715" s="29" t="str">
        <f>IFERROR(__xludf.DUMMYFUNCTION("GOOGLETRANSLATE(C715, ""en"", ""pt-br"")"),"Prós -realmente como a caneta. Funciona bem, usando -o dos últimos dois meses. Excelente para anotações. A qualidade da gorjeta é boa não se desgastando. Dicas extras fornecidas. Ele fornece todas as funções mencionadas. Acusações rapidamente. O tempo de "&amp;"resposta é muito rápido. Few -wew Times, ele desligou automaticamente durante o uso, mas não é uma grande preocupação, pois acontece raramente. Não para esboçar e desenhar profissionais, pois é claramente mencionado que não suporta recursos de pressão. Pr"&amp;"eço abaixo de 2k Eu acho que é a melhor caneta. Estou usando -o com iPad Air 5. Não enfrentaram problemas até agora, então não sei como é útil suporte de atendimento ao cliente. Então, a qualidade da embalagem e da qualidade do produto é muito bom. Eu já "&amp;"vi isso desligado em apenas 30 segundos algumas vezes, mas isso é tudo. A propósito, eu pedi para o meu antigo iPad Pro 10,5 polegadas A1701, pois não quero comprar novo Apple lápis a preço total e de alguma forma não consegui encontrar a alternativa cert"&amp;"a para a 1ª geração Apple lápis. Mas eu encontrei Algumas perguntas aqui respondendo funciona para o A1701 .. Após a entrega, descobri que ele realmente não funciona e, magicamente, o modelo certo de Stylus estava na minha tela inicial da Amazon quando eu"&amp;" queria devolver isso. Vou pedir um novo que Kingone diz que trabalha com o A1701. Vamos ver .., muito boa qualidade de construção do produto é o alumínio, então sente que o trabalho premium também é bom para a tomada de anotações e as operações básicas. "&amp;"Apple Pencil 2-Nd Gen., Facilidade de uso, preciso, tudo está bom até agora e também parece bom, parece bom, parece premium. O produto a esse preço merece 5 estrelas, um bom produto, enquanto o usa automaticamente fora, isso acontece quando está em uso. M"&amp;"as vale a pena comprar do que um caro Apple Pencil ✏,")</f>
        <v>Prós -realmente como a caneta. Funciona bem, usando -o dos últimos dois meses. Excelente para anotações. A qualidade da gorjeta é boa não se desgastando. Dicas extras fornecidas. Ele fornece todas as funções mencionadas. Acusações rapidamente. O tempo de resposta é muito rápido. Few -wew Times, ele desligou automaticamente durante o uso, mas não é uma grande preocupação, pois acontece raramente. Não para esboçar e desenhar profissionais, pois é claramente mencionado que não suporta recursos de pressão. Preço abaixo de 2k Eu acho que é a melhor caneta. Estou usando -o com iPad Air 5. Não enfrentaram problemas até agora, então não sei como é útil suporte de atendimento ao cliente. Então, a qualidade da embalagem e da qualidade do produto é muito bom. Eu já vi isso desligado em apenas 30 segundos algumas vezes, mas isso é tudo. A propósito, eu pedi para o meu antigo iPad Pro 10,5 polegadas A1701, pois não quero comprar novo Apple lápis a preço total e de alguma forma não consegui encontrar a alternativa certa para a 1ª geração Apple lápis. Mas eu encontrei Algumas perguntas aqui respondendo funciona para o A1701 .. Após a entrega, descobri que ele realmente não funciona e, magicamente, o modelo certo de Stylus estava na minha tela inicial da Amazon quando eu queria devolver isso. Vou pedir um novo que Kingone diz que trabalha com o A1701. Vamos ver .., muito boa qualidade de construção do produto é o alumínio, então sente que o trabalho premium também é bom para a tomada de anotações e as operações básicas. Apple Pencil 2-Nd Gen., Facilidade de uso, preciso, tudo está bom até agora e também parece bom, parece bom, parece premium. O produto a esse preço merece 5 estrelas, um bom produto, enquanto o usa automaticamente fora, isso acontece quando está em uso. Mas vale a pena comprar do que um caro Apple Pencil ✏,</v>
      </c>
    </row>
    <row r="716">
      <c r="A716" s="9" t="s">
        <v>109</v>
      </c>
      <c r="B716" s="29" t="str">
        <f>VLOOKUP(dados!A716, reviews!A:G, 5, FALSE)</f>
        <v>Sound quality,Very nice,Value for money,Good,Good for its price.,Good item,Budget friendly,Good</v>
      </c>
      <c r="C716" s="29" t="str">
        <f>VLOOKUP(dados!A716, reviews!A:G, 6, FALSE)</f>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v>
      </c>
      <c r="D716" s="29" t="str">
        <f>IFERROR(__xludf.DUMMYFUNCTION("GOOGLETRANSLATE(B716, ""en"", ""pt-br"")"),"Qualidade do som, muito agradável, valor ao dinheiro, bom, bom para o seu preço., Bom item, amigável ao orçamento, bom")</f>
        <v>Qualidade do som, muito agradável, valor ao dinheiro, bom, bom para o seu preço., Bom item, amigável ao orçamento, bom</v>
      </c>
      <c r="E716" s="29" t="str">
        <f>IFERROR(__xludf.DUMMYFUNCTION("GOOGLETRANSLATE(C716, ""en"", ""pt-br"")"),"A LG sempre foi boa, entrega correta, bom serviço, mas a qualidade do som era ruim. Os alto -falantes foram montados abaixo da TV. Sem som claro. Esse foi o único problema., Bom vício de videogood, a qualidade da imagem é incrível., Bom nesse preço, produ"&amp;"to OK, o sistema operacional tem atrasos após cerca de um ano de uso. Este é o melhor que você pode obter para o preço que ele vem., Eu gosto, melhor quando se trata de BugDet, instalação fácil e recursos úteis., Bom")</f>
        <v>A LG sempre foi boa, entrega correta, bom serviço, mas a qualidade do som era ruim. Os alto -falantes foram montados abaixo da TV. Sem som claro. Esse foi o único problema., Bom vício de videogood, a qualidade da imagem é incrível., Bom nesse preço, produto OK, o sistema operacional tem atrasos após cerca de um ano de uso. Este é o melhor que você pode obter para o preço que ele vem., Eu gosto, melhor quando se trata de BugDet, instalação fácil e recursos úteis., Bom</v>
      </c>
    </row>
    <row r="717">
      <c r="A717" s="9" t="s">
        <v>2829</v>
      </c>
      <c r="B717" s="29" t="str">
        <f>VLOOKUP(dados!A717, reviews!A:G, 5, FALSE)</f>
        <v>light weight okay in this price range,Value for money,Good,EASY TO USE,Value for money,this is no soft touch keyboard,Good product in this price range,Budget friendly</v>
      </c>
      <c r="C717" s="29" t="str">
        <f>VLOOKUP(dados!A717, reviews!A:G, 6, FALSE)</f>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v>
      </c>
      <c r="D717" s="29" t="str">
        <f>IFERROR(__xludf.DUMMYFUNCTION("GOOGLETRANSLATE(B717, ""en"", ""pt-br"")"),"Peso leve, bem nessa faixa de preço, valor para dinheiro, bom, fácil de usar, valor para dinheiro, isso não é teclado de toque suave, bom produto nessa faixa de preço, amigável para o orçamento")</f>
        <v>Peso leve, bem nessa faixa de preço, valor para dinheiro, bom, fácil de usar, valor para dinheiro, isso não é teclado de toque suave, bom produto nessa faixa de preço, amigável para o orçamento</v>
      </c>
      <c r="E717" s="29" t="str">
        <f>IFERROR(__xludf.DUMMYFUNCTION("GOOGLETRANSLATE(C717, ""en"", ""pt-br"")"),"O design do teclado e do mouse do fio do fio é curto., Valor do dinheiro que vale a pena., Produto bom e agradável, bom para uso leve. Jogos ocasionais podem ser feitos. Chaves elevadas. Mantenha as mãos macias durante a digitação., Embora seja bastante b"&amp;"arato e funcione bem para mim, acho que isso não é para aqueles que procuram teclado de toque suave. Keys 'Feel' perde e precisava ser atingido um pouco mais. Além disso, a tecla Enter está de cabeça para baixo em comparação com a maioria dos teclados. Co"&amp;"mo resultado, o '\ |' A chave está na segunda linha em vez da primeira. Pode ser irritante para aqueles caras de digitação rápida., Vá em frente, valor ao dinheiro 💸")</f>
        <v>O design do teclado e do mouse do fio do fio é curto., Valor do dinheiro que vale a pena., Produto bom e agradável, bom para uso leve. Jogos ocasionais podem ser feitos. Chaves elevadas. Mantenha as mãos macias durante a digitação., Embora seja bastante barato e funcione bem para mim, acho que isso não é para aqueles que procuram teclado de toque suave. Keys 'Feel' perde e precisava ser atingido um pouco mais. Além disso, a tecla Enter está de cabeça para baixo em comparação com a maioria dos teclados. Como resultado, o '\ |' A chave está na segunda linha em vez da primeira. Pode ser irritante para aqueles caras de digitação rápida., Vá em frente, valor ao dinheiro 💸</v>
      </c>
    </row>
    <row r="718">
      <c r="A718" s="9" t="s">
        <v>2833</v>
      </c>
      <c r="B718" s="29" t="str">
        <f>VLOOKUP(dados!A718, reviews!A:G, 5, FALSE)</f>
        <v>Good headphones, the sound is good, not sure about comfort,Just Ok,Budget Entry Level Banger Headset,Good quality product,Good multipoint connectivity. Falls off the ear,Good quality, but battery draining,ANC very bad,Bluetooth not working after 4 month</v>
      </c>
      <c r="C718" s="29" t="str">
        <f>VLOOKUP(dados!A718, reviews!A:G, 6, FALSE)</f>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v>
      </c>
      <c r="D718" s="29" t="str">
        <f>IFERROR(__xludf.DUMMYFUNCTION("GOOGLETRANSLATE(B718, ""en"", ""pt-br"")"),"Bons fones de ouvido, o som é bom, não tenho certeza sobre o conforto, apenas ok, fone de ouvido Banger de nível de entrada, produto de boa qualidade, boa conectividade multiponto. Cai da orelha, de boa qualidade, mas a drenagem da bateria, o ANC muito ru"&amp;"im, o Bluetooth não está funcionando após 4 meses")</f>
        <v>Bons fones de ouvido, o som é bom, não tenho certeza sobre o conforto, apenas ok, fone de ouvido Banger de nível de entrada, produto de boa qualidade, boa conectividade multiponto. Cai da orelha, de boa qualidade, mas a drenagem da bateria, o ANC muito ruim, o Bluetooth não está funcionando após 4 meses</v>
      </c>
      <c r="E718" s="29" t="str">
        <f>IFERROR(__xludf.DUMMYFUNCTION("GOOGLETRANSLATE(C718, ""en"", ""pt-br"")"),"A faixa da cabeça é realmente fina; portanto, começa a doer após 15 minutos de uso, envolvi um guardanapo em torno dele para uma almofada extra, mas isso não parece bom se estiver usando fora. Eu gostaria que o nível de conforto fosse melhor, esperou um p"&amp;"roduto melhor da JBL. O baixo é bastante baixo e também tem algum distúrbio., Melhor fone de ouvido NC de nível básico com melhor qualidade de som. NC não é tão bom, mas cancela ruídos sutis e desligando outros ruídos. As pessoas que conversam não são can"&amp;"celadas, apenas silenciadas. O som é bom para a faixa de preço (4/5). Se você estiver procurando por NC superior, tente comprar a Sony XM4S WheB, há uma oferta que é o meu próximo fone de ouvido para comprar. As almofadas são pequenas demais para cobrir c"&amp;"ompletamente a orelha, elas meio que repousam nas bordas da orelha, o que é meio doloroso com o uso longo. Não houve problema de transpiração, pois o fone de ouvido tem orifícios de ar e fornece a circulação de ar às orelhas. O tempo de carregamento foi d"&amp;"e cerca de 1 hora. A duração da bateria é tão perfeita, como você pode carregar isso e usá -la por um tempo sem NC com cerca de 5 a6 horas de uso diário. Portanto, o veredicto final é o Bang para o Bucks. Se você estiver no nc, basta comprar xm4s ... 🏃, "&amp;"produto de boa qualidade, muito bom para telefonemas. O microfone é excelente. Muito melhor do que a maioria dos fones de ouvido Bluetooth. O áudio é claro, mas a forma dos fones de ouvido falha em direcionar o áudio de maneira confiável em diferentes tip"&amp;"os de tamanhos de orelha.jbl tentou replicar a forma do ouvido da Apple. Não se encaixa na orelha confortável. Formula frequentemente., É um produto de boa qualidade, mas a bateria é muito rápida., O ANC é apenas um truque neste, o baixo é ruim, não compr"&amp;"e se precisar de baixo. A qualidade é boa, parece boa. Com conforto, a força de aperto é um pouco apertada, se você gosta da sensação aconchegante, boa para a academia ou correr. O isolamento do som é bom. Os fones de ouvido são um pouco pequenos para a o"&amp;"relha exagerada, continuavam tocando as bordas dos seus ouvidos, você pode se acostumar ou não. Além do baixo, o som é bom. A duração da bateria e a conectividade também são boas. O barco tem uma base melhor e mais conforto, mas eles também se encaixam, e"&amp;"stes se encaixam mais.")</f>
        <v>A faixa da cabeça é realmente fina; portanto, começa a doer após 15 minutos de uso, envolvi um guardanapo em torno dele para uma almofada extra, mas isso não parece bom se estiver usando fora. Eu gostaria que o nível de conforto fosse melhor, esperou um produto melhor da JBL. O baixo é bastante baixo e também tem algum distúrbio., Melhor fone de ouvido NC de nível básico com melhor qualidade de som. NC não é tão bom, mas cancela ruídos sutis e desligando outros ruídos. As pessoas que conversam não são canceladas, apenas silenciadas. O som é bom para a faixa de preço (4/5). Se você estiver procurando por NC superior, tente comprar a Sony XM4S WheB, há uma oferta que é o meu próximo fone de ouvido para comprar. As almofadas são pequenas demais para cobrir completamente a orelha, elas meio que repousam nas bordas da orelha, o que é meio doloroso com o uso longo. Não houve problema de transpiração, pois o fone de ouvido tem orifícios de ar e fornece a circulação de ar às orelhas. O tempo de carregamento foi de cerca de 1 hora. A duração da bateria é tão perfeita, como você pode carregar isso e usá -la por um tempo sem NC com cerca de 5 a6 horas de uso diário. Portanto, o veredicto final é o Bang para o Bucks. Se você estiver no nc, basta comprar xm4s ... 🏃, produto de boa qualidade, muito bom para telefonemas. O microfone é excelente. Muito melhor do que a maioria dos fones de ouvido Bluetooth. O áudio é claro, mas a forma dos fones de ouvido falha em direcionar o áudio de maneira confiável em diferentes tipos de tamanhos de orelha.jbl tentou replicar a forma do ouvido da Apple. Não se encaixa na orelha confortável. Formula frequentemente., É um produto de boa qualidade, mas a bateria é muito rápida., O ANC é apenas um truque neste, o baixo é ruim, não compre se precisar de baixo. A qualidade é boa, parece boa. Com conforto, a força de aperto é um pouco apertada, se você gosta da sensação aconchegante, boa para a academia ou correr. O isolamento do som é bom. Os fones de ouvido são um pouco pequenos para a orelha exagerada, continuavam tocando as bordas dos seus ouvidos, você pode se acostumar ou não. Além do baixo, o som é bom. A duração da bateria e a conectividade também são boas. O barco tem uma base melhor e mais conforto, mas eles também se encaixam, estes se encaixam mais.</v>
      </c>
    </row>
    <row r="719">
      <c r="A719" s="9" t="s">
        <v>2837</v>
      </c>
      <c r="B719" s="29" t="str">
        <f>VLOOKUP(dados!A719, reviews!A:G, 5, FALSE)</f>
        <v>Very fine product..,Good,Worth the money,Does what it says,Value for money product but brush is not good.,Easy to use,Good product,Worthable</v>
      </c>
      <c r="C719" s="29" t="str">
        <f>VLOOKUP(dados!A719, reviews!A:G, 6, FALSE)</f>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v>
      </c>
      <c r="D719" s="29" t="str">
        <f>IFERROR(__xludf.DUMMYFUNCTION("GOOGLETRANSLATE(B719, ""en"", ""pt-br"")"),"Produto muito bom .., bom, vale o dinheiro, faz o que diz, valor para o produto em dinheiro, mas o pincel não é bom., Fácil de usar, bom produto, valioso")</f>
        <v>Produto muito bom .., bom, vale o dinheiro, faz o que diz, valor para o produto em dinheiro, mas o pincel não é bom., Fácil de usar, bom produto, valioso</v>
      </c>
      <c r="E719" s="29" t="str">
        <f>IFERROR(__xludf.DUMMYFUNCTION("GOOGLETRANSLATE(C719, ""en"", ""pt-br"")"),"Utilizável para limpeza de kits de tecnologia., Bom produto a esse preço, os panos de microfibra eram objetos perfeitos para limpar a tela do meu laptop. O pincel foi um pouco áspero, e as cerdas tipo fãs enquanto limpavam e você precisa usar os dedos par"&amp;"a colocá -lo de volta à sua forma original de vez em quando, o que não é higiênico. Não usei a solução de limpeza, por isso não pode comentar sobre isso., Bem embalado e o produto funciona muito bem, tudo é bom, mas o pincel não é uma relação custo / bene"&amp;"fício., Fácil de limpar o laptop e até o telefone. Produtos para viagens., O produto é bom, no entanto, a qualidade do pano pode ter melhor a esse preço. É um pouco caro., Valor")</f>
        <v>Utilizável para limpeza de kits de tecnologia., Bom produto a esse preço, os panos de microfibra eram objetos perfeitos para limpar a tela do meu laptop. O pincel foi um pouco áspero, e as cerdas tipo fãs enquanto limpavam e você precisa usar os dedos para colocá -lo de volta à sua forma original de vez em quando, o que não é higiênico. Não usei a solução de limpeza, por isso não pode comentar sobre isso., Bem embalado e o produto funciona muito bem, tudo é bom, mas o pincel não é uma relação custo / benefício., Fácil de limpar o laptop e até o telefone. Produtos para viagens., O produto é bom, no entanto, a qualidade do pano pode ter melhor a esse preço. É um pouco caro., Valor</v>
      </c>
    </row>
    <row r="720">
      <c r="A720" s="9" t="s">
        <v>2844</v>
      </c>
      <c r="B720" s="29" t="str">
        <f>VLOOKUP(dados!A720, reviews!A:G, 5, FALSE)</f>
        <v>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v>
      </c>
      <c r="C720" s="29" t="str">
        <f>VLOOKUP(dados!A720, reviews!A:G, 6, FALSE)</f>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today’s comfort-seeking world, who’s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“SanDisk Ultra - Dual Drive m3.0” and is the newer 2017 version of its previous iteration. Here I need to quote that the term “Ultra”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that’s a relief to anyone.The format would surely work well with most of the TVs, tablets and mobiles though check it with the car audio head unit and try to change to NTFS if it doesn’t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“Ultra”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 write which looked like a mere consolation. Transfer between my Samsung S7 mobile &amp; S2 tablet too was not fast.Verdict : Yes my friends , all other reviews about this being slow to the point of being unbearable are absolutely right and maybe San disk should retag it as “Ultra-slow”.@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Hपेनड्राइव ओरिजिनल हैं क्वालिटी भी काफी अच्छी हैं थोड़ा सा स्टोरेज कम मिलता हैं तीन जीबी का 64 जीबी कि जगह 61 जीबी ही मिलता हैं पर काम अच्छा करता हैं, इस्तेमाल करते टाइम थोड़ा गर्म  होता हैं पर अच्छा काम करता हैं |,Good</v>
      </c>
      <c r="D720" s="29" t="str">
        <f>IFERROR(__xludf.DUMMYFUNCTION("GOOGLETRANSLATE(B720, ""en"", ""pt-br"")"),"Leva uma eternidade - para transferir qualquer coisa. Talvez eu - incompreendido ""Ultra"" ou alguém perdido ""Ultra -Slow"" no slogan modelo., Revisão abrangente de produto, empresa e vendedor, desigh e uso, boa compra não melhor, cartão SD, produto de b"&amp;"oa qualidade, qualidade pendrive para Aacchi H par, armazenamento 64 GB Ki Jagah 61 GB Hi Milta H 3 GB Kam Milta H, Good")</f>
        <v>Leva uma eternidade - para transferir qualquer coisa. Talvez eu - incompreendido "Ultra" ou alguém perdido "Ultra -Slow" no slogan modelo., Revisão abrangente de produto, empresa e vendedor, desigh e uso, boa compra não melhor, cartão SD, produto de boa qualidade, qualidade pendrive para Aacchi H par, armazenamento 64 GB Ki Jagah 61 GB Hi Milta H 3 GB Kam Milta H, Good</v>
      </c>
      <c r="E720" s="29" t="str">
        <f>IFERROR(__xludf.DUMMYFUNCTION("GOOGLETRANSLATE(C720, ""en"", ""pt-br"")"),"Update:I returned the drive with money reverted back.Seller was cooperative &amp; reverted without hassle or communication.ABOUT THE BRAND SANDISK :xxxxxxxxxxxxxxxxxxxxxxxxxxxxxxxxxxxxxxxxxSanDisk is an Israeli-American manufacturer of flash memory products, "&amp;"including memory cards and readers, USB flash drives, and solid unidades estaduais. Em fevereiro de 2015, é o terceiro maior fabricante de memória flash.Sandisk foi fundado em 1988 por Eli Harari, Sanjay Mehrotra e Jack Yuan, com Sanjay Mehrotra sendo o p"&amp;"residente e o CEO. Em 12 de maio de 2016, Sandisk foi adquirido por hard drive manufacturer Western Digital in a US$19 billion deal.WHY A DUAL- DRIVE, WHY 64 GB &amp; WHY SANDISK?xxxxxxxxxxxxxxxxxxxxxxxxxxxxxxxxxxxxxxxxxxxxxxxxxxxxxxxxxxxxBefore we proceed wi"&amp;"th the muscle-merits or the key features of the device, let's have a quick look upon my personal selection Process.Dual Drive: Além da minha necessidade de uma unidade básica de caneta com armazenamento suficiente, escolhi usar uma unidade dupla que poder"&amp;"ia funcionar com meus dispositivos móveis para descarregá -lo dos encargos da memória e tocar alguma mídia armazenada no instante sempre que um desejo atravessa. Eu poderia ter ido com um pendrive básico com um cabo adaptador USB para OTG, mas então perce"&amp;"bi, no mundo de busca de conforto de hoje, que vai acompanhar o pequeno cabo adaptador ou, além disso , no caso de um repentino balanço de humor para qualquer requisito de mídia móvel.64 GB: essa capacidade parecia oferecer um compromisso decente entre ar"&amp;"mazenamento, preço e prova futura, como nas câmeras móveis modernas, fotos e vídeos são principalmente de alta resolução e tamanho maior. 64 GB garante que você não precise esvaziá -lo antes ou regularmente. Oferece o melhor valor para as ofertas de dinhe"&amp;"iro para um uso médio. Além disso, não conseguiu encontrar muito, marcas de renome no armazenamento com o recurso OTG.A Nota: os entusiastas da velocidade, no entanto Como Transcend, Samsung. Sobre o nosso produto: xxxxxxxxxxxxxxxxxxxxxxxxxxxxxxxxxxxxxxxx"&amp;"xxxx@ O dispositivo vem com o título “Sandisk Ultra - Dune Drive M3.0” e é a nova versão de 2017 da sua versão anterior. Aqui eu preciso citar que o termo ""ultra"" foi uma surpresa para mim, pois não encontrei nada nas filas com um entendimento comum de "&amp;"Ultra. Discutiremos isso em detalhes nas próximas colunas de velocidade.@ Com um conector micro-USB em uma extremidade e um conector USB 3.0 no outro, a unidade permite mover o conteúdo facilmente entre seus telefones Android, tablets (com portas micro US"&amp;"B ) ou laptops. Ambos os conectores são esculpidos em Metal e o conector USB 3.0 é compatível com as portas USB 2.0. Tedioso para descobrir se extraviado. O USB se sai cerca de uma polegada em perfeitas condições fechadas e 1,5 ”polegadas quando expandida"&amp;" na extremidade USB.@ Construção: o dispositivo possui um corpo de plástico e a construção geral da unidade é apenas média. A coluna plástica retrátil parece o link mais fraco de todos e certamente quebraria se você acidentalmente pisasse. No entanto, a p"&amp;"arte real de armazenamento de acionamento é construída com um plástico rígido e não desiste com tanta facilidade. Ambas as portas USB são construídas de metal, que novamente é um alívio.@ Fit &amp; TomB Precisa de alguns que se acostumam, mas a maioria das un"&amp;"idades de OTG é projetada pequena e, portanto, tem alguma ou outra maneira estranha de conservar o tamanho. As portas USB se encaixam confortavelmente em dispositivos e extraí -lo também é bastante fácil. A versão FAT32 anterior tinha uma limitação do tam"&amp;"anho da transferência de arquivo de um máximo de 4 GB para um único arquivo &amp; ntfs não foi compatível com o Mac OS, portanto, com o aumento do tamanho do arquivo ex Compatível com Mac também. Portanto, nossa unidade possui apenas formatos EX FAT &amp; NTFS pa"&amp;"ra escolher e vem em Fat por padrão com tamanho de alocação de arquivos de 128 kb. Aumentar o tamanho da alocação de arquivos pode aumentar um pouco as velocidades de transferência, mas também afetará a capacidade de armazenamento. Mudando de 128 para 256"&amp;" kb aumentou minhas velocidades de gravação de 13 Mb/s para 15 Mb/s se isso for um alívio para alguém. O formato certamente funcionaria bem com a maioria das TVs, tablets e celulares, embora verifique com o áudio do carro Unidade principal e tente mudar p"&amp;"ara o NTFS se não funcionar.@ Speed ​​(o detalhe de merda): eu fui um grande gadgets louca por toda a minha vida e preliminar à minha compra que tive dúvidas sobre sua velocidade, conforme citado pelo companheiro Compradores, mas então eu não tinha veloci"&amp;"dade em minha mente como motivo principal para isso e não havia muitas opções para o dispositivo OTG duplo, então dei um salto de fé e fui adiante com a compra. Minha intenção básica era carregar filmes em massa de Meu laptop nele e assista na minha TV ou"&amp;" celular, no entanto, quando eu estava transferindo 6 filmes de tamanho total de 8,1 GB, começou a mostrar 15 minutos que continuavam ficando mais altos e parecia esperar para sempre que aconteceu. Um único filme de 1,8 GB levou 2 minutos 30 segundos por "&amp;"cronômetro para transferir. As velocidades de gravação começaram com 13 MB/s e desceram para 10-11 Mb/s. Mesmo com o meu Kingston DT Elite 3.0 mais antigo, as velocidades de gravação ultrapassaram 21 MB/seg.Eu admitir que tenho uma porta USB 2.0 no meu la"&amp;"ptop, mas nunca estive acostumado a velocidades tão baixas. O slogan “Ultra” e as velocidades mencionadas de 130 MB/s (que eu suponho são as velocidades máximas classificadas nas portas USB 3.0) pareciam um sonho e além do exagero. Mesmo no formato NTFS, "&amp;"as velocidades eram as mesmas. Eu nunca esperava que fosse tão lento nesta era moderna de 2018, então finalmente decidi devolvê-lo, mas suponho que só vou receber uma substituição e não reverter. As velocidades de gravação dependem de muitos fatores, incl"&amp;"uindo tipo de arquivo transferido, configuração de formato da unidade, configuração do dispositivo de hospedeiro e de destino etc.Cenchmark Crystal Disk Mark Scores para uma transferência de arquivo de tamanho de 500 Mb foram 34 Mb/S -leitura e 19 MB/ S -"&amp;" Escreva que parecia um mero consolo. A transferência entre meu tablet Samsung S7 Mobile &amp; S2 também não foi rápido. @ Armazenamento: fora da classificação total da placa de nomes de 64 GB, o espaço alocado real para uso é de cerca de 57 GB, o que é bom o"&amp;" suficiente.@ Garantia: O produto vem com uma garantia limitada de 5 anos, que é uma das melhores ofertas do segmento. @ Preço: comprei o dispositivo por 1530 dólares, o que foi razoável para mim, dado o tamanho do armazenamento, a unidade dupla e a image"&amp;"m da marca. O MRP sobre o pacote foi impresso em 2190 Bucks e foi marcado na Malásia. Somente se, foi um pouco mais rápido. Difícil de poupar taxas de gravação de leitura tão baixas. Mesmo para tarefas de rotina que ele continuará lembrando o compromisso "&amp;"que você fez por um preço total. Poderia ter sido um ótimo dispositivo polivalente, juntamente com a boa reputação da marca de Sandisk e 5 anos de garantia, se sua velocidade tivesse sido melhor., Coberto aqui: espaço de armazenamento real, aquecimento, t"&amp;"elefones celulares, ajuste apertado em telefones celulares, Velocidade, formatação do sistema de arquivos, valor para dinheiro, aplicativo gratuito, empresa, marca, vendedora. Companhia, produto e vendedor: 1. A Sandisk Ultra é uma marca da Western Digita"&amp;"l, que é a mesma empresa que vende dispositivos de armazenamento de disco rígido externos sob a marca WD Elements e WD Portable.2. Cerca de 3 a 5 anos atrás, elementos WD e unidades portáteis de 2 TB e 4 TB tinham preço de Rs. 1200 a menos que os preços d"&amp;"o dia atual. Eles foram vendidos pela Cloudtail Seller na Amazon.3. Agora, as unidades de Sandisk e WD são vendidas pelo vendedor de varejo de aparelhos na Amazon.4. Para os melhores preços dos produtos Sandisk e WD na Índia, o vendedor atual possui os pr"&amp;"eços mais baixos para novos produtos autênticos. Razão para preços mais altos para os dispositivos de armazenamento de mesma capacidade da mesma marca podem ser vários - como tarefas de importação, impostos, custos de fabricação, maior demanda pela marca,"&amp;" etc. Review: Sandisk Ultra Dual Dual 64 GB USB 3.0 OTG Pen Drive (ouro): 1. Espaço de armazenamento: assim como nas unidades de disco rígido externas, o espaço de armazenamento utilizável real será menor do que o mencionado no produto. O mesmo que outros"&amp;": para a unidade de 64 GB, o espaço de armazenamento real disponível é de 57,2 GB. Isso é normal e não uma fraude ou anúncio falso. Isso ocorre porque possui sistema de arquivos FAT32. Além disso, o dispositivo usa algum espaço para sua funcionalidade e u"&amp;"so. Portanto, isso é de 4 GB mais do que o que o Windows OS calcula usando seu sistema de arquivos NTFS.3. Aquecimento: Mesmo com apenas 10 minutos de uso, você pode tocar e sentir que a parte do metal da unidade de caneta está sendo aquecida. Mas o desem"&amp;"penho da unidade não foi afetado pelo calor. Esse aquecimento não acontece em disco rígido externo da WD e parece ser exclusivo de pequenas unidades de caneta de várias marcas. Telefones celulares: o Pen Drive trabalha com o sistema operacional Android de"&amp;" telefones MI, como o Redmi Note, executando o Android, incluindo o antigo Android versão 9 também.5. Muito apertado para os telefones: a unidade de caneta é um ajuste apertado em telefones celulares e tablets - portanto, tenha cuidado ao retirá -lo para "&amp;"não danificar o telefone - porque esse também é o ponto de carregamento do seu telefone. Se você acha que seu telefone está muito apertado para esta unidade de caneta, é melhor não usá -lo para gerenciamento de armazenamento de dados do telefone. Valor do"&amp;" dinheiro: mesmo se você não usar esta unidade de caneta para celular - ainda é o melhor preço para uma unidade de caneta de 64 GB com um USB 3.0 compatível com portas USB mais antigas em laptops e computadores mais antigos. Velocidade: a velocidade é ext"&amp;"remamente boa para o laptop Windows OS, laptop Linux OS e telefones celulares Android.8. Sistema de arquivos formatando a unidade de caneta: a menos que você tenha certeza de que não usará sua unidade de caneta em um dispositivo específico, não formate a "&amp;"caneta para alterar seu sistema de arquivos FAT32. Mas, por exemplo, se você decidiu que ganhou ' T use -o em telefones celulares ou tablets porque o encaixe é muito apertado e você não deseja arriscar danos a esse ponto, que é usado principalmente para c"&amp;"arregar - depois vá em frente e formate a caneta para o seu laptop.- com NTFS formatando você verá um aumento no espaço de armazenamento disponível em sua caneta. Com telefones celulares, tablets, laptops que não possuem sistema operacional Windows. Da me"&amp;"sma forma, se você formatar a unidade de caneta para o sistema de arquivos Linux OS, ele não será reconhecido em laptops Windows, telefones Android, tablets, etc.- Se, como a maioria das pessoas, você usará essa unidade de caneta em laptops ou outros disp"&amp;"ositivos de Amigos ou colegas de trabalho e depois deixe o sistema de arquivos FAT32 existente como é. Aplicativo gratuito: o aplicativo de zona de memória para Android é agrupado gratuitamente nesta unidade de caneta. É fácil de instalar e não recebe nen"&amp;"huma permissões de telefone além de acesso ao armazenamento. É um aplicativo muito útil com interface do usuário fácil. O App ocupa o espaço de armazenamento de 64 MB nos telefones Android.- Os recursos incluem: Limpeza de arquivos lixo que você talvez nã"&amp;"o conheça através do aplicativo Gerenciador de arquivos do seu telefone. Habilite ou desative o backup automático na sua unidade de caneta. Adicione o armazenamento em nuvem, como o Google Drive ou o Microsoft One Drive, e adicione o armazenamento de cart"&amp;"ão microSD para gerenciar todos os seus arquivos de apenas um aplicativo de zona de memória. Restaurar backup. Copie, mova, exclua, arquivos e limpe os arquivos relacionados ao WhatsApp. Veja o espaço de armazenamento disponível no seu telefone. Consulte "&amp;"os dados classificados em fotos, vídeos, música, documentos. Cuidado - os usuários do aplicativo de zona de memória devem saber que eles concordam com os termos de uso, que incluem que, se alguma agência governamental solicitar à empresa informações contr"&amp;"a a pirataria - como cópia ilegal, armazenamento, distribuição de filmes, música, software, livros etc. De acordo com as leis de direitos autorais da DMCA, então a Companhia fornecerá os dados do usuário à agência de investigação do governo para proteger "&amp;"a propriedade intelectual dos proprietários de conteúdo. Especificações., Valor para o dinheiro. Pode ser que o Desig pode ser melhorado para deslizar e manusear, foi bom com compatibilidade e armazenamento de dados, mas sua lenta transferência de dados. "&amp;"Leva muito tempo para mover e cópia de arquivos, boa qualidade, produto de boa qualidade, qualidade do pendrive para aacchi h par, armazenamento 64 gb ki jagah 61 gb hi milta h 3gb kam milta h par accha hai hai काफी अच्छी हैं थोड़ा सा स्टोरेज कम मिलता हैं"&amp;" तीन जीबी का 64 जीबी कि जगह 61 जीबी ही मिलता हैं पर काम अच्छा करता हैं, इस्तेमाल करते टाइम थोड़ा गर्म  होता हैं पर अच्छा काम करता हैं |,Good")</f>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unidades estaduais. Em fevereiro de 2015, é o terceiro maior fabricante de memória flash.Sandisk foi fundado em 1988 por Eli Harari, Sanjay Mehrotra e Jack Yuan, com Sanjay Mehrotra sendo o presidente e o CEO. Em 12 de maio de 2016, Sandisk foi adquirido por hard drive manufacturer Western Digital in a US$19 billion deal.WHY A DUAL- DRIVE, WHY 64 GB &amp; WHY SANDISK?xxxxxxxxxxxxxxxxxxxxxxxxxxxxxxxxxxxxxxxxxxxxxxxxxxxxxxxxxxxxBefore we proceed with the muscle-merits or the key features of the device, let's have a quick look upon my personal selection Process.Dual Drive: Além da minha necessidade de uma unidade básica de caneta com armazenamento suficiente, escolhi usar uma unidade dupla que poderia funcionar com meus dispositivos móveis para descarregá -lo dos encargos da memória e tocar alguma mídia armazenada no instante sempre que um desejo atravessa. Eu poderia ter ido com um pendrive básico com um cabo adaptador USB para OTG, mas então percebi, no mundo de busca de conforto de hoje, que vai acompanhar o pequeno cabo adaptador ou, além disso , no caso de um repentino balanço de humor para qualquer requisito de mídia móvel.64 GB: essa capacidade parecia oferecer um compromisso decente entre armazenamento, preço e prova futura, como nas câmeras móveis modernas, fotos e vídeos são principalmente de alta resolução e tamanho maior. 64 GB garante que você não precise esvaziá -lo antes ou regularmente. Oferece o melhor valor para as ofertas de dinheiro para um uso médio. Além disso, não conseguiu encontrar muito, marcas de renome no armazenamento com o recurso OTG.A Nota: os entusiastas da velocidade, no entanto Como Transcend, Samsung. Sobre o nosso produto: xxxxxxxxxxxxxxxxxxxxxxxxxxxxxxxxxxxxxxxxxxxx@ O dispositivo vem com o título “Sandisk Ultra - Dune Drive M3.0” e é a nova versão de 2017 da sua versão anterior. Aqui eu preciso citar que o termo "ultra" foi uma surpresa para mim, pois não encontrei nada nas filas com um entendimento comum de Ultra. Discutiremos isso em detalhes nas próximas colunas de velocidade.@ Com um conector micro-USB em uma extremidade e um conector USB 3.0 no outro, a unidade permite mover o conteúdo facilmente entre seus telefones Android, tablets (com portas micro USB ) ou laptops. Ambos os conectores são esculpidos em Metal e o conector USB 3.0 é compatível com as portas USB 2.0. Tedioso para descobrir se extraviado. O USB se sai cerca de uma polegada em perfeitas condições fechadas e 1,5 ”polegadas quando expandida na extremidade USB.@ Construção: o dispositivo possui um corpo de plástico e a construção geral da unidade é apenas média. A coluna plástica retrátil parece o link mais fraco de todos e certamente quebraria se você acidentalmente pisasse. No entanto, a parte real de armazenamento de acionamento é construída com um plástico rígido e não desiste com tanta facilidade. Ambas as portas USB são construídas de metal, que novamente é um alívio.@ Fit &amp; TomB Precisa de alguns que se acostumam, mas a maioria das unidades de OTG é projetada pequena e, portanto, tem alguma ou outra maneira estranha de conservar o tamanho. As portas USB se encaixam confortavelmente em dispositivos e extraí -lo também é bastante fácil. A versão FAT32 anterior tinha uma limitação do tamanho da transferência de arquivo de um máximo de 4 GB para um único arquivo &amp; ntfs não foi compatível com o Mac OS, portanto, com o aumento do tamanho do arquivo ex Compatível com Mac também. Portanto, nossa unidade possui apenas formatos EX FAT &amp; NTFS para escolher e vem em Fat por padrão com tamanho de alocação de arquivos de 128 kb. Aumentar o tamanho da alocação de arquivos pode aumentar um pouco as velocidades de transferência, mas também afetará a capacidade de armazenamento. Mudando de 128 para 256 kb aumentou minhas velocidades de gravação de 13 Mb/s para 15 Mb/s se isso for um alívio para alguém. O formato certamente funcionaria bem com a maioria das TVs, tablets e celulares, embora verifique com o áudio do carro Unidade principal e tente mudar para o NTFS se não funcionar.@ Speed ​​(o detalhe de merda): eu fui um grande gadgets louca por toda a minha vida e preliminar à minha compra que tive dúvidas sobre sua velocidade, conforme citado pelo companheiro Compradores, mas então eu não tinha velocidade em minha mente como motivo principal para isso e não havia muitas opções para o dispositivo OTG duplo, então dei um salto de fé e fui adiante com a compra. Minha intenção básica era carregar filmes em massa de Meu laptop nele e assista na minha TV ou celular, no entanto, quando eu estava transferindo 6 filmes de tamanho total de 8,1 GB, começou a mostrar 15 minutos que continuavam ficando mais altos e parecia esperar para sempre que aconteceu. Um único filme de 1,8 GB levou 2 minutos 30 segundos por cronômetro para transferir. As velocidades de gravação começaram com 13 MB/s e desceram para 10-11 Mb/s. Mesmo com o meu Kingston DT Elite 3.0 mais antigo, as velocidades de gravação ultrapassaram 21 MB/seg.Eu admitir que tenho uma porta USB 2.0 no meu laptop, mas nunca estive acostumado a velocidades tão baixas. O slogan “Ultra” e as velocidades mencionadas de 130 MB/s (que eu suponho são as velocidades máximas classificadas nas portas USB 3.0) pareciam um sonho e além do exagero. Mesmo no formato NTFS, as velocidades eram as mesmas. Eu nunca esperava que fosse tão lento nesta era moderna de 2018, então finalmente decidi devolvê-lo, mas suponho que só vou receber uma substituição e não reverter. As velocidades de gravação dependem de muitos fatores, incluindo tipo de arquivo transferido, configuração de formato da unidade, configuração do dispositivo de hospedeiro e de destino etc.Cenchmark Crystal Disk Mark Scores para uma transferência de arquivo de tamanho de 500 Mb foram 34 Mb/S -leitura e 19 MB/ S - Escreva que parecia um mero consolo. A transferência entre meu tablet Samsung S7 Mobile &amp; S2 também não foi rápido. @ Armazenamento: fora da classificação total da placa de nomes de 64 GB, o espaço alocado real para uso é de cerca de 57 GB, o que é bom o suficiente.@ Garantia: O produto vem com uma garantia limitada de 5 anos, que é uma das melhores ofertas do segmento. @ Preço: comprei o dispositivo por 1530 dólares, o que foi razoável para mim, dado o tamanho do armazenamento, a unidade dupla e a imagem da marca. O MRP sobre o pacote foi impresso em 2190 Bucks e foi marcado na Malásia. Somente se, foi um pouco mais rápido. Difícil de poupar taxas de gravação de leitura tão baixas. Mesmo para tarefas de rotina que ele continuará lembrando o compromisso que você fez por um preço total. Poderia ter sido um ótimo dispositivo polivalente, juntamente com a boa reputação da marca de Sandisk e 5 anos de garantia, se sua velocidade tivesse sido melhor., Coberto aqui: espaço de armazenamento real, aquecimento, telefones celulares, ajuste apertado em telefones celulares, Velocidade, formatação do sistema de arquivos, valor para dinheiro, aplicativo gratuito, empresa, marca, vendedora. Companhia, produto e vendedor: 1. A Sandisk Ultra é uma marca da Western Digital, que é a mesma empresa que vende dispositivos de armazenamento de disco rígido externos sob a marca WD Elements e WD Portable.2. Cerca de 3 a 5 anos atrás, elementos WD e unidades portáteis de 2 TB e 4 TB tinham preço de Rs. 1200 a menos que os preços do dia atual. Eles foram vendidos pela Cloudtail Seller na Amazon.3. Agora, as unidades de Sandisk e WD são vendidas pelo vendedor de varejo de aparelhos na Amazon.4. Para os melhores preços dos produtos Sandisk e WD na Índia, o vendedor atual possui os preços mais baixos para novos produtos autênticos. Razão para preços mais altos para os dispositivos de armazenamento de mesma capacidade da mesma marca podem ser vários - como tarefas de importação, impostos, custos de fabricação, maior demanda pela marca, etc. Review: Sandisk Ultra Dual Dual 64 GB USB 3.0 OTG Pen Drive (ouro): 1. Espaço de armazenamento: assim como nas unidades de disco rígido externas, o espaço de armazenamento utilizável real será menor do que o mencionado no produto. O mesmo que outros: para a unidade de 64 GB, o espaço de armazenamento real disponível é de 57,2 GB. Isso é normal e não uma fraude ou anúncio falso. Isso ocorre porque possui sistema de arquivos FAT32. Além disso, o dispositivo usa algum espaço para sua funcionalidade e uso. Portanto, isso é de 4 GB mais do que o que o Windows OS calcula usando seu sistema de arquivos NTFS.3. Aquecimento: Mesmo com apenas 10 minutos de uso, você pode tocar e sentir que a parte do metal da unidade de caneta está sendo aquecida. Mas o desempenho da unidade não foi afetado pelo calor. Esse aquecimento não acontece em disco rígido externo da WD e parece ser exclusivo de pequenas unidades de caneta de várias marcas. Telefones celulares: o Pen Drive trabalha com o sistema operacional Android de telefones MI, como o Redmi Note, executando o Android, incluindo o antigo Android versão 9 também.5. Muito apertado para os telefones: a unidade de caneta é um ajuste apertado em telefones celulares e tablets - portanto, tenha cuidado ao retirá -lo para não danificar o telefone - porque esse também é o ponto de carregamento do seu telefone. Se você acha que seu telefone está muito apertado para esta unidade de caneta, é melhor não usá -lo para gerenciamento de armazenamento de dados do telefone. Valor do dinheiro: mesmo se você não usar esta unidade de caneta para celular - ainda é o melhor preço para uma unidade de caneta de 64 GB com um USB 3.0 compatível com portas USB mais antigas em laptops e computadores mais antigos. Velocidade: a velocidade é extremamente boa para o laptop Windows OS, laptop Linux OS e telefones celulares Android.8. Sistema de arquivos formatando a unidade de caneta: a menos que você tenha certeza de que não usará sua unidade de caneta em um dispositivo específico, não formate a caneta para alterar seu sistema de arquivos FAT32. Mas, por exemplo, se você decidiu que ganhou ' T use -o em telefones celulares ou tablets porque o encaixe é muito apertado e você não deseja arriscar danos a esse ponto, que é usado principalmente para carregar - depois vá em frente e formate a caneta para o seu laptop.- com NTFS formatando você verá um aumento no espaço de armazenamento disponível em sua caneta. Com telefones celulares, tablets, laptops que não possuem sistema operacional Windows. Da mesma forma, se você formatar a unidade de caneta para o sistema de arquivos Linux OS, ele não será reconhecido em laptops Windows, telefones Android, tablets, etc.- Se, como a maioria das pessoas, você usará essa unidade de caneta em laptops ou outros dispositivos de Amigos ou colegas de trabalho e depois deixe o sistema de arquivos FAT32 existente como é. Aplicativo gratuito: o aplicativo de zona de memória para Android é agrupado gratuitamente nesta unidade de caneta. É fácil de instalar e não recebe nenhuma permissões de telefone além de acesso ao armazenamento. É um aplicativo muito útil com interface do usuário fácil. O App ocupa o espaço de armazenamento de 64 MB nos telefones Android.- Os recursos incluem: Limpeza de arquivos lixo que você talvez não conheça através do aplicativo Gerenciador de arquivos do seu telefone. Habilite ou desative o backup automático na sua unidade de caneta. Adicione o armazenamento em nuvem, como o Google Drive ou o Microsoft One Drive, e adicione o armazenamento de cartão microSD para gerenciar todos os seus arquivos de apenas um aplicativo de zona de memória. Restaurar backup. Copie, mova, exclua, arquivos e limpe os arquivos relacionados ao WhatsApp. Veja o espaço de armazenamento disponível no seu telefone. Consulte os dados classificados em fotos, vídeos, música, documentos. Cuidado - os usuários do aplicativo de zona de memória devem saber que eles concordam com os termos de uso, que incluem que, se alguma agência governamental solicitar à empresa informações contra a pirataria - como cópia ilegal, armazenamento, distribuição de filmes, música, software, livros etc. De acordo com as leis de direitos autorais da DMCA, então a Companhia fornecerá os dados do usuário à agência de investigação do governo para proteger a propriedade intelectual dos proprietários de conteúdo. Especificações., Valor para o dinheiro. Pode ser que o Desig pode ser melhorado para deslizar e manusear, foi bom com compatibilidade e armazenamento de dados, mas sua lenta transferência de dados. Leva muito tempo para mover e cópia de arquivos, boa qualidade, produto de boa qualidade, qualidade do pendrive para aacchi h par, armazenamento 64 gb ki jagah 61 gb hi milta h 3gb kam milta h par accha hai hai काफी अच्छी हैं थोड़ा सा स्टोरेज कम मिलता हैं तीन जीबी का 64 जीबी कि जगह 61 जीबी ही मिलता हैं पर काम अच्छा करता हैं, इस्तेमाल करते टाइम थोड़ा गर्म  होता हैं पर अच्छा काम करता हैं |,Good</v>
      </c>
    </row>
    <row r="721">
      <c r="A721" s="9" t="s">
        <v>2848</v>
      </c>
      <c r="B721" s="29" t="str">
        <f>VLOOKUP(dados!A721, reviews!A:G, 5, FALSE)</f>
        <v>VFM indoor use (living room/bedrrom) use and clear view upto 120sqft rooms,Best camera in its segment but the app lags,Best,You have to pay to avail all services,All good,I was sent a used product...,Good Product,Upto mark</v>
      </c>
      <c r="C721" s="29" t="str">
        <f>VLOOKUP(dados!A721, reviews!A:G, 6, FALSE)</f>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v>
      </c>
      <c r="D721" s="29" t="str">
        <f>IFERROR(__xludf.DUMMYFUNCTION("GOOGLETRANSLATE(B721, ""en"", ""pt-br"")"),"Uso interno do VFM (sala de estar/Bedrrom) e vista clara de até 120 pés quadrados, melhor câmera em seu segmento, mas o aplicativo fica, melhor, você deve pagar para aproveitar todos os serviços, tudo de bom, recebi um produto usado ... , Bom produto, até"&amp;" Mark")</f>
        <v>Uso interno do VFM (sala de estar/Bedrrom) e vista clara de até 120 pés quadrados, melhor câmera em seu segmento, mas o aplicativo fica, melhor, você deve pagar para aproveitar todos os serviços, tudo de bom, recebi um produto usado ... , Bom produto, até Mark</v>
      </c>
      <c r="E721" s="29" t="str">
        <f>IFERROR(__xludf.DUMMYFUNCTION("GOOGLETRANSLATE(C721, ""en"", ""pt-br"")"),"Uso interno do VFM (sala de estar/Bedrrom) e vista clara de até 120 pés quadrados.configuration é muito fácil para qualquer novato. O modo noturno também é bom. Apenas a falha que sinto é que a parte da cabeça é volumosa enquanto seu suporte de repouso nã"&amp;"o é pesado, levando aos movimentos da câmera se não forem para baixo., A melhor câmera me impressionou a qualidade do vídeo é osome, mas o aplicativo fica, eu Assim, é um produto muito compacto que pode se encaixar em quase qualquer lugar. A única desvant"&amp;"agem é que a maioria dos recursos que ele oferece é baseada em nuvem e exige que você pague para aproveitá -los. Caros como ""Notificação Rica"", onde as notificações por telefone também contêm uma captura de tela quando a moção é detectada, deveria ter s"&amp;"ido incluída como parte do serviço gratuito (pelo menos quando conectado ao mesmo wifi). A partir de agora, a única notificação gratuita que você recebe é um alerta com a data e a hora em que a moção foi detectada e você precisa abrir o aplicativo e esper"&amp;"ar que ele carregue antes de saber que movimento ocorreu. foi um recurso gratuito disponível localmente em vez de confiar na nuvem. A detecção normal de movimento não é muito perfeita e possui poucos falsos positivos. Além disso, uma interface da web teri"&amp;"a sido bom de se ter, em vez de confiar apenas no aplicativo TAPO para visualizar e configurar as configurações. Overall, como uma câmera IP normal com gravação, Isso é ótimo, mas a maioria dos recursos que ele fornece requer conectividade em nuvem paga q"&amp;"ue foi decepcionante e não possui uma interface da web. Por isso, eu recomendaria que você verifique outras marcas antes de decidir comprar isso., Muito bom para pequenas lojas ou em ambientes internos para cuidados domésticos, definitivamente não era um "&amp;"novo produto selado. Parecia um produto devolvido revendido para mim ... estava empoeirado por dentro, adesivo original desgastado etc. mas o produto funciona e estou bem com ele. Registre até 3 dias e continue no modo Loop. Podemos ver eventos de detecçã"&amp;"o de pessoa e movimento")</f>
        <v>Uso interno do VFM (sala de estar/Bedrrom) e vista clara de até 120 pés quadrados.configuration é muito fácil para qualquer novato. O modo noturno também é bom. Apenas a falha que sinto é que a parte da cabeça é volumosa enquanto seu suporte de repouso não é pesado, levando aos movimentos da câmera se não forem para baixo., A melhor câmera me impressionou a qualidade do vídeo é osome, mas o aplicativo fica, eu Assim, é um produto muito compacto que pode se encaixar em quase qualquer lugar. A única desvantagem é que a maioria dos recursos que ele oferece é baseada em nuvem e exige que você pague para aproveitá -los. Caros como "Notificação Rica", onde as notificações por telefone também contêm uma captura de tela quando a moção é detectada, deveria ter sido incluída como parte do serviço gratuito (pelo menos quando conectado ao mesmo wifi). A partir de agora, a única notificação gratuita que você recebe é um alerta com a data e a hora em que a moção foi detectada e você precisa abrir o aplicativo e esperar que ele carregue antes de saber que movimento ocorreu. foi um recurso gratuito disponível localmente em vez de confiar na nuvem. A detecção normal de movimento não é muito perfeita e possui poucos falsos positivos. Além disso, uma interface da web teria sido bom de se ter, em vez de confiar apenas no aplicativo TAPO para visualizar e configurar as configurações. Overall, como uma câmera IP normal com gravação, Isso é ótimo, mas a maioria dos recursos que ele fornece requer conectividade em nuvem paga que foi decepcionante e não possui uma interface da web. Por isso, eu recomendaria que você verifique outras marcas antes de decidir comprar isso., Muito bom para pequenas lojas ou em ambientes internos para cuidados domésticos, definitivamente não era um novo produto selado. Parecia um produto devolvido revendido para mim ... estava empoeirado por dentro, adesivo original desgastado etc. mas o produto funciona e estou bem com ele. Registre até 3 dias e continue no modo Loop. Podemos ver eventos de detecção de pessoa e movimento</v>
      </c>
    </row>
    <row r="722">
      <c r="A722" s="9" t="s">
        <v>2855</v>
      </c>
      <c r="B722" s="29" t="str">
        <f>VLOOKUP(dados!A722, reviews!A:G, 5, FALSE)</f>
        <v>Good,Bluetooth range coverage is poor,Good product,Below average product model,Good product.,Complaint,To be honest these ear buds are actually decent and legit,Nice Product</v>
      </c>
      <c r="C722" s="29" t="str">
        <f>VLOOKUP(dados!A722, reviews!A:G, 6, FALSE)</f>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v>
      </c>
      <c r="D722" s="29" t="str">
        <f>IFERROR(__xludf.DUMMYFUNCTION("GOOGLETRANSLATE(B722, ""en"", ""pt-br"")"),"Cobertura boa, Bluetooth Range é ruim, bom produto, modelo de produto abaixo da média, bom produto., Reclamação, para ser honesto Esses fones de ouvido são na verdade decente e legítima, produto agradável")</f>
        <v>Cobertura boa, Bluetooth Range é ruim, bom produto, modelo de produto abaixo da média, bom produto., Reclamação, para ser honesto Esses fones de ouvido são na verdade decente e legítima, produto agradável</v>
      </c>
      <c r="E722" s="29" t="str">
        <f>IFERROR(__xludf.DUMMYFUNCTION("GOOGLETRANSLATE(C722, ""en"", ""pt-br"")"),"Bom, bom produto, mas a cobertura do Bluetooth é ruim. É desconectado com frequência., Bom produto, mas não confortável, não instalado corretamente, estou escrevendo esta resenha após um ano, recebi esses fones de ouvido. Há quase 14 meses agora, a peça d"&amp;"a orelha certa não está carregando bem, mesmo que eu mantenha o escritório no escritório no Caixa por 4 horas 4 a 5 horas como o carregamento é muito baixo, não está cheio, não está ficando cheio, então este produto dura apenas por 1 ano e neste ano a qua"&amp;"lidade do som que posso dizer que é muito bom, mas quando eu o uso Para atender às ligações, o microfone é muito pobre de outra pessoa realmente não pode me ouvir corretamente e também muito barulho., Descendente de produtos. Eu comprei este produto em ab"&amp;"ril de 2022 e ainda o usando sem problemas., Meu lado esquerdo não está funcionando, eu redefini isso de acordo com o manual, mas ainda não está funcionando, por favor, me ajude, eu realmente gosto da qualidade do som e também menos nos brotos do ouvido. "&amp;"Além disso, a qualidade do baixo é boa, mas poderia ter sido um pouco melhor. No geral, este produto é incrível 4/5 homenageado, para a música, seu próprio bensee é um pouco maior, pois a qualidade que a escala está acima da média")</f>
        <v>Bom, bom produto, mas a cobertura do Bluetooth é ruim. É desconectado com frequência., Bom produto, mas não confortável, não instalado corretamente, estou escrevendo esta resenha após um ano, recebi esses fones de ouvido. Há quase 14 meses agora, a peça da orelha certa não está carregando bem, mesmo que eu mantenha o escritório no escritório no Caixa por 4 horas 4 a 5 horas como o carregamento é muito baixo, não está cheio, não está ficando cheio, então este produto dura apenas por 1 ano e neste ano a qualidade do som que posso dizer que é muito bom, mas quando eu o uso Para atender às ligações, o microfone é muito pobre de outra pessoa realmente não pode me ouvir corretamente e também muito barulho., Descendente de produtos. Eu comprei este produto em abril de 2022 e ainda o usando sem problemas., Meu lado esquerdo não está funcionando, eu redefini isso de acordo com o manual, mas ainda não está funcionando, por favor, me ajude, eu realmente gosto da qualidade do som e também menos nos brotos do ouvido. Além disso, a qualidade do baixo é boa, mas poderia ter sido um pouco melhor. No geral, este produto é incrível 4/5 homenageado, para a música, seu próprio bensee é um pouco maior, pois a qualidade que a escala está acima da média</v>
      </c>
    </row>
    <row r="723">
      <c r="A723" s="9" t="s">
        <v>2859</v>
      </c>
      <c r="B723" s="29" t="str">
        <f>VLOOKUP(dados!A723, reviews!A:G, 5, FALSE)</f>
        <v>Works Good,Perfect replacement cell for trimmer,Wow,As they said in ad worth it,A good product,Fit for phillips trimmer.,Good,Good Product</v>
      </c>
      <c r="C723" s="29" t="str">
        <f>VLOOKUP(dados!A723, reviews!A:G, 6, FALSE)</f>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v>
      </c>
      <c r="D723" s="29" t="str">
        <f>IFERROR(__xludf.DUMMYFUNCTION("GOOGLETRANSLATE(B723, ""en"", ""pt-br"")"),"Funciona uma célula de substituição boa e perfeita para Trimmer, uau, como eles disseram em anúncios, um bom produto, adequado para Phillips Trimmer., Bom, bom produto")</f>
        <v>Funciona uma célula de substituição boa e perfeita para Trimmer, uau, como eles disseram em anúncios, um bom produto, adequado para Phillips Trimmer., Bom, bom produto</v>
      </c>
      <c r="E723" s="29" t="str">
        <f>IFERROR(__xludf.DUMMYFUNCTION("GOOGLETRANSLATE(C723, ""en"", ""pt-br"")"),"Funciona bem, comprei -o para substituir o meu phillips Qt4005 Trimmer, com 7 anos de idade. superfícies da nova célula da bateria. Salvou um dispositivo eletrônico de ser obsoleto. Dá um backup de mais de 4-5 dias, realmente performance amezimg. Eu não e"&amp;"sperava esse desempenho muito bom e longo. Estou usando o Diff Company Charger ainda essas baterias se encaixam bem. E funciona por meses. Bom desempenho em bom preço, carregamento é deusa e a bateria dura mais após uma carga, https: //m.media-amazon.com/"&amp;"images/i/714qcj-oghl._sy88.jpg,Good,it mostra uma boa duração da bateria como de agora.")</f>
        <v>Funciona bem, comprei -o para substituir o meu phillips Qt4005 Trimmer, com 7 anos de idade. superfícies da nova célula da bateria. Salvou um dispositivo eletrônico de ser obsoleto. Dá um backup de mais de 4-5 dias, realmente performance amezimg. Eu não esperava esse desempenho muito bom e longo. Estou usando o Diff Company Charger ainda essas baterias se encaixam bem. E funciona por meses. Bom desempenho em bom preço, carregamento é deusa e a bateria dura mais após uma carga, https: //m.media-amazon.com/images/i/714qcj-oghl._sy88.jpg,Good,it mostra uma boa duração da bateria como de agora.</v>
      </c>
    </row>
    <row r="724">
      <c r="A724" s="9" t="s">
        <v>117</v>
      </c>
      <c r="B724" s="29" t="str">
        <f>VLOOKUP(dados!A724, reviews!A:G, 5, FALSE)</f>
        <v>Good product ; Average Finishing,Save it purpose well without any issue. I am satisfied,No issues,NO NEED TO PUT AUX CABLE FOR CONNECTING AUDIO FROM SECONDARY MONITOR,Good product,Not so Bad,Good,Worked will for only 3-4 months.</v>
      </c>
      <c r="C724" s="29" t="str">
        <f>VLOOKUP(dados!A724, reviews!A:G, 6, FALSE)</f>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v>
      </c>
      <c r="D724" s="29" t="str">
        <f>IFERROR(__xludf.DUMMYFUNCTION("GOOGLETRANSLATE(B724, ""en"", ""pt-br"")"),"Bom produto ; Acabamento médio, economize bem, sem nenhum problema. Estou satisfeito, sem problemas, não há necessidade de colocar o cabo aux para conectar áudio do monitor secundário, bom produto, não tão ruim, bom, trabalhado por apenas 3-4 meses.")</f>
        <v>Bom produto ; Acabamento médio, economize bem, sem nenhum problema. Estou satisfeito, sem problemas, não há necessidade de colocar o cabo aux para conectar áudio do monitor secundário, bom produto, não tão ruim, bom, trabalhado por apenas 3-4 meses.</v>
      </c>
      <c r="E724" s="29" t="str">
        <f>IFERROR(__xludf.DUMMYFUNCTION("GOOGLETRANSLATE(C724, ""en"", ""pt-br"")"),"Este conector forneceu como benefício para o meu antigo monitor Samsung LCD e estou usando proativamente o monitor como a segunda tela apenas se o acabamento do produto puder ser melhorado, então seria uma opção de compra melhor. Economize bem o objetivo,"&amp;" sem nenhum emitir. Estou satisfeito, trabalhando bem, vá em frente, funciona corretamente produto, mas é baixa qualidade, compro este produto depois de tantas críticas. Este produto não é muito claro. Mas faz o trabalho. Você pode comprar apenas para obt"&amp;"er exibição. não muito claro. Mas o preço ainda é muito bom em comparação com outros produtos., Bom, funcionou muito bem por 3-4 meses, mas agora começou a mostrar seu lado ""barato chinês"". A tela continua se desconectando aleatoriamente e voltará. É um"&amp;"a dor de cabeça ler/trabalhar no monitor externo agora, pois continua desconectando o monitor externo e depois o reconecta.")</f>
        <v>Este conector forneceu como benefício para o meu antigo monitor Samsung LCD e estou usando proativamente o monitor como a segunda tela apenas se o acabamento do produto puder ser melhorado, então seria uma opção de compra melhor. Economize bem o objetivo, sem nenhum emitir. Estou satisfeito, trabalhando bem, vá em frente, funciona corretamente produto, mas é baixa qualidade, compro este produto depois de tantas críticas. Este produto não é muito claro. Mas faz o trabalho. Você pode comprar apenas para obter exibição. não muito claro. Mas o preço ainda é muito bom em comparação com outros produtos., Bom, funcionou muito bem por 3-4 meses, mas agora começou a mostrar seu lado "barato chinês". A tela continua se desconectando aleatoriamente e voltará. É uma dor de cabeça ler/trabalhar no monitor externo agora, pois continua desconectando o monitor externo e depois o reconecta.</v>
      </c>
    </row>
    <row r="725">
      <c r="A725" s="9" t="s">
        <v>121</v>
      </c>
      <c r="B725" s="29" t="str">
        <f>VLOOKUP(dados!A725, reviews!A:G, 5, FALSE)</f>
        <v>Good,Sound is very low another brand comparing in better,Service provider not meet my home refuse, tv i am not using bad service,Good product,Ok super,Floor stand does not come with it ...,Good,A budget friendly TV with a clumsy UI and Remote</v>
      </c>
      <c r="C725" s="29" t="str">
        <f>VLOOKUP(dados!A725, reviews!A:G, 6, FALSE)</f>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v>
      </c>
      <c r="D725" s="29" t="str">
        <f>IFERROR(__xludf.DUMMYFUNCTION("GOOGLETRANSLATE(B725, ""en"", ""pt-br"")"),"Bom, som é muito baixo outra marca comparada em melhor, o provedor de serviços não atende a minha casa lixo, TV, não estou usando um serviço ruim, bom produto, ok super, suporte de piso não vem com ele ..., bom, um orçamento amigável TV com uma interface "&amp;"do usuário desajeitada e remoto")</f>
        <v>Bom, som é muito baixo outra marca comparada em melhor, o provedor de serviços não atende a minha casa lixo, TV, não estou usando um serviço ruim, bom produto, ok super, suporte de piso não vem com ele ..., bom, um orçamento amigável TV com uma interface do usuário desajeitada e remoto</v>
      </c>
      <c r="E725" s="29" t="str">
        <f>IFERROR(__xludf.DUMMYFUNCTION("GOOGLETRANSLATE(C725, ""en"", ""pt-br"")"),"No geral, boa., Imagem da TV OK SMART MELHORSOUND muito baixo Outra marca, provedor de serviços RECUSE Instale minha TV, serviço ruim e Samsung, estou chamando 3 vezes o provedor de serviços. Não encontro meu endereço residencial. Por que? Bad Bad, eles n"&amp;"ão vieram com o suporte de suporte ou o gancho pendurado na parede para instalar a TV, a qualidade da imagem é muito ruim em cabos, o suporte do piso não vem com ele ... você precisa comprá -lo separadamente. Solicite a Amazon para mencioná -lo no ADD. Vo"&amp;"cê terá que pagar acusações separadas pelo cara da instalação para comprar o suporte do piso., Bom,")</f>
        <v>No geral, boa., Imagem da TV OK SMART MELHORSOUND muito baixo Outra marca, provedor de serviços RECUSE Instale minha TV, serviço ruim e Samsung, estou chamando 3 vezes o provedor de serviços. Não encontro meu endereço residencial. Por que? Bad Bad, eles não vieram com o suporte de suporte ou o gancho pendurado na parede para instalar a TV, a qualidade da imagem é muito ruim em cabos, o suporte do piso não vem com ele ... você precisa comprá -lo separadamente. Solicite a Amazon para mencioná -lo no ADD. Você terá que pagar acusações separadas pelo cara da instalação para comprar o suporte do piso., Bom,</v>
      </c>
    </row>
    <row r="726">
      <c r="A726" s="9" t="s">
        <v>2865</v>
      </c>
      <c r="B726" s="29" t="str">
        <f>VLOOKUP(dados!A726, reviews!A:G, 5, FALSE)</f>
        <v>Handy Mouse,Good quality mouse,Good one.,Good,Good cheap reliable,Gud quality mouse,Very comfortable,Quality + Less Price Makes it Best to buy.</v>
      </c>
      <c r="C726" s="29" t="str">
        <f>VLOOKUP(dados!A726, reviews!A:G, 6, FALSE)</f>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v>
      </c>
      <c r="D726" s="29" t="str">
        <f>IFERROR(__xludf.DUMMYFUNCTION("GOOGLETRANSLATE(B726, ""en"", ""pt-br"")"),"Mouse útil, mouse de boa qualidade, bom., Bom, bom barato confiável, mouse de qualidade Gud, muito confortável, qualidade + menor preço torna melhor comprar.")</f>
        <v>Mouse útil, mouse de boa qualidade, bom., Bom, bom barato confiável, mouse de qualidade Gud, muito confortável, qualidade + menor preço torna melhor comprar.</v>
      </c>
      <c r="E726" s="29" t="str">
        <f>IFERROR(__xludf.DUMMYFUNCTION("GOOGLETRANSLATE(C726, ""en"", ""pt-br"")"),"Gostei deste produto, https: //m.media-amazon.com/images/i/710c5jpdcrl._sy88.jpg,purchased para um laptop. Mouse perfeitamente funcionando, bom e muito bom para uma configuração de orçamento., Útil. ... Gud Quality, a coisa boa desse mouse é que você pode"&amp;" remover o clipe de rolagem preso dentro da roda de rolagem e a roda se torna muito suave para rolar, o melhor deste mouse é a sua qualidade conforme descrição, vale totalmente a pena , melhor para uso profissional, se procurar jogos também adequado, mas "&amp;"não tiver opções de DPI; portanto, para jogos antecipados, você pode pesquisar outra coisa pode ser o Melhor Mouse Logitech G102 (com opções DPI), caso contrário, vá com isso.")</f>
        <v>Gostei deste produto, https: //m.media-amazon.com/images/i/710c5jpdcrl._sy88.jpg,purchased para um laptop. Mouse perfeitamente funcionando, bom e muito bom para uma configuração de orçamento., Útil. ... Gud Quality, a coisa boa desse mouse é que você pode remover o clipe de rolagem preso dentro da roda de rolagem e a roda se torna muito suave para rolar, o melhor deste mouse é a sua qualidade conforme descrição, vale totalmente a pena , melhor para uso profissional, se procurar jogos também adequado, mas não tiver opções de DPI; portanto, para jogos antecipados, você pode pesquisar outra coisa pode ser o Melhor Mouse Logitech G102 (com opções DPI), caso contrário, vá com isso.</v>
      </c>
    </row>
    <row r="727">
      <c r="A727" s="9" t="s">
        <v>2869</v>
      </c>
      <c r="B727" s="29" t="str">
        <f>VLOOKUP(dados!A727, reviews!A:G, 5, FALSE)</f>
        <v>Best for this price,Nice starter smartwatch,Work,Very light weight watch,Smart watch,Good looking,Super,Good</v>
      </c>
      <c r="C727" s="29" t="str">
        <f>VLOOKUP(dados!A727, reviews!A:G, 6, FALSE)</f>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v>
      </c>
      <c r="D727" s="29" t="str">
        <f>IFERROR(__xludf.DUMMYFUNCTION("GOOGLETRANSLATE(B727, ""en"", ""pt-br"")"),"Melhor para esse preço, bom smartwatch, trabalho, relógio muito leve, relógio inteligente, bonito, super, bom")</f>
        <v>Melhor para esse preço, bom smartwatch, trabalho, relógio muito leve, relógio inteligente, bonito, super, bom</v>
      </c>
      <c r="E727" s="29" t="str">
        <f>IFERROR(__xludf.DUMMYFUNCTION("GOOGLETRANSLATE(C727, ""en"", ""pt-br"")"),"O relógio é bom, o aplicativo é muito ruim, sem integração do Google Fit ou algo assim, o rosto de assumir é quase personalizável, não sei por que eles usaram o novo aplicativo Prime Fit Prime com ele, o aplicativo é muito falhado. Se você quiser Este rel"&amp;"ógio para ligar, vá em frente, caso contrário, não, espero que eles tornem este relógio compatível com o app de ruído real. Para a faixa de preço. Comprei para o meu filho e ele está muito feliz. Pode emparelhar com um telefone e fazer e receber chamadas."&amp;" Bom interface do usuário, ótimos rostos de relógio, a contagem de etapas parece ser bastante precisa. Em suma, uma boa compra., Apenas trabalhe como um relógio inteligente., É muito leve com todos os recursos adicionais. A duração da bateria é máxima de "&amp;"1,5 dia.")</f>
        <v>O relógio é bom, o aplicativo é muito ruim, sem integração do Google Fit ou algo assim, o rosto de assumir é quase personalizável, não sei por que eles usaram o novo aplicativo Prime Fit Prime com ele, o aplicativo é muito falhado. Se você quiser Este relógio para ligar, vá em frente, caso contrário, não, espero que eles tornem este relógio compatível com o app de ruído real. Para a faixa de preço. Comprei para o meu filho e ele está muito feliz. Pode emparelhar com um telefone e fazer e receber chamadas. Bom interface do usuário, ótimos rostos de relógio, a contagem de etapas parece ser bastante precisa. Em suma, uma boa compra., Apenas trabalhe como um relógio inteligente., É muito leve com todos os recursos adicionais. A duração da bateria é máxima de 1,5 dia.</v>
      </c>
    </row>
    <row r="728">
      <c r="A728" s="9" t="s">
        <v>2873</v>
      </c>
      <c r="B728" s="29" t="str">
        <f>VLOOKUP(dados!A728, reviews!A:G, 5, FALSE)</f>
        <v>Good,Boss of premium note books 🏆,Didn't expected single binding!,Good purchase,Good Quality but paper could be thicker...,Worth the Money!,Good quality,Nice products</v>
      </c>
      <c r="C728" s="29" t="str">
        <f>VLOOKUP(dados!A728, reviews!A:G, 6, FALSE)</f>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purchase.,सभी  अच्छा है।</v>
      </c>
      <c r="D728" s="29" t="str">
        <f>IFERROR(__xludf.DUMMYFUNCTION("GOOGLETRANSLATE(B728, ""en"", ""pt-br"")"),"Bom, chefe de livros de anotações premium 🏆, não esperava uma única encadernação!, Boa compra, boa qualidade, mas o papel pode ser mais espesso ..., vale o dinheiro!, Boa qualidade, produtos legais")</f>
        <v>Bom, chefe de livros de anotações premium 🏆, não esperava uma única encadernação!, Boa compra, boa qualidade, mas o papel pode ser mais espesso ..., vale o dinheiro!, Boa qualidade, produtos legais</v>
      </c>
      <c r="E728" s="29" t="str">
        <f>IFERROR(__xludf.DUMMYFUNCTION("GOOGLETRANSLATE(C728, ""en"", ""pt-br"")"),"A qualidade do papel é boa. Vale a pena comprar ..., a entrega foi pontual, a embalagem perfeita, a coisa de Erry era perfeita, mas o preço poderia ter sido um pouco menor disso teria custado cerca de 100-110, seria o livro de anotações perfeito, mas sim,"&amp;" está ok, preço Mas qualquer que seja o premium ness no topo ou eu diria mais do que top🤗, eu pedi para minha nota de física ..... tudo é bom, mas não esperava uma única ligação de metal ...... eu pedi Para mais estudos estéticos, mas funciona para mim, "&amp;"muito boa qualidade, o papel é um pouco fino em comparação com outros cadernos, mas tudo o mais é ótimo .. ,, Qualidade do produto do colega de classe é sempre indiscutível. Apenas cheque para desconto e depois comprar., सभी अच्छा है।")</f>
        <v>A qualidade do papel é boa. Vale a pena comprar ..., a entrega foi pontual, a embalagem perfeita, a coisa de Erry era perfeita, mas o preço poderia ter sido um pouco menor disso teria custado cerca de 100-110, seria o livro de anotações perfeito, mas sim, está ok, preço Mas qualquer que seja o premium ness no topo ou eu diria mais do que top🤗, eu pedi para minha nota de física ..... tudo é bom, mas não esperava uma única ligação de metal ...... eu pedi Para mais estudos estéticos, mas funciona para mim, muito boa qualidade, o papel é um pouco fino em comparação com outros cadernos, mas tudo o mais é ótimo .. ,, Qualidade do produto do colega de classe é sempre indiscutível. Apenas cheque para desconto e depois comprar., सभी अच्छा है।</v>
      </c>
    </row>
    <row r="729">
      <c r="A729" s="9" t="s">
        <v>125</v>
      </c>
      <c r="B729" s="29" t="str">
        <f>VLOOKUP(dados!A729, reviews!A:G, 5, FALSE)</f>
        <v>Worked on iPhone 7 and didn’t work on XR,Good one,Dull Physical Looks,Just Buy it,Go for it,About the product,Get charging cable at the price,Working well.</v>
      </c>
      <c r="C729" s="29" t="str">
        <f>VLOOKUP(dados!A729, reviews!A:G, 6, FALSE)</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D729" s="29" t="str">
        <f>IFERROR(__xludf.DUMMYFUNCTION("GOOGLETRANSLATE(B729, ""en"", ""pt-br"")"),"Trabalhou no iPhone 7 e não trabalhou no XR, bom, looks físicos sem graça, basta comprá -lo, seguir em frente, sobre o produto, obter o cabo de carregamento pelo preço, funcionando bem.")</f>
        <v>Trabalhou no iPhone 7 e não trabalhou no XR, bom, looks físicos sem graça, basta comprá -lo, seguir em frente, sobre o produto, obter o cabo de carregamento pelo preço, funcionando bem.</v>
      </c>
      <c r="E729" s="29" t="str">
        <f>IFERROR(__xludf.DUMMYFUNCTION("GOOGLETRANSLATE(C729, ""en"", ""pt-br"")"),"Trabalhei no iPhone 7 e não trabalhou no iPhone XR, https: //m.media-amazon.com/images/i/71qffalv9zl._sy88.jpg.look-wise, eu não gostei. Ainda assim, eu o uso para o meu trabalho., O produto é muito bom e está carregando rapidamente. Parece o último longo"&amp;"., A robustez dependerá da maneira de seu uso. Mas sua velocidade de carregamento é ótima. Produto muito bom para o grupo de renda média., É ótimo para carregar dispositivos com vários tipos de portas. Mas funciona melhor ao carregar um dispositivo de cad"&amp;"a vez., Bom item.")</f>
        <v>Trabalhei no iPhone 7 e não trabalhou no iPhone XR, https: //m.media-amazon.com/images/i/71qffalv9zl._sy88.jpg.look-wise, eu não gostei. Ainda assim, eu o uso para o meu trabalho., O produto é muito bom e está carregando rapidamente. Parece o último longo., A robustez dependerá da maneira de seu uso. Mas sua velocidade de carregamento é ótima. Produto muito bom para o grupo de renda média., É ótimo para carregar dispositivos com vários tipos de portas. Mas funciona melhor ao carregar um dispositivo de cada vez., Bom item.</v>
      </c>
    </row>
    <row r="730">
      <c r="A730" s="9" t="s">
        <v>2878</v>
      </c>
      <c r="B730" s="29" t="str">
        <f>VLOOKUP(dados!A730, reviews!A:G, 5, FALSE)</f>
        <v>Super,Excellent structural rigidity,Durable and classy,Sturdy. Good quality,Good quality and durable.,Best,Good,Tough built quality and smooth movement of zip</v>
      </c>
      <c r="C730" s="29" t="str">
        <f>VLOOKUP(dados!A730, reviews!A:G, 6, FALSE)</f>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it’s wire,Value for money, go for it without any confusion. I will update my review after some uses,Good one,Looks good. Quality is also good.</v>
      </c>
      <c r="D730" s="29" t="str">
        <f>IFERROR(__xludf.DUMMYFUNCTION("GOOGLETRANSLATE(B730, ""en"", ""pt-br"")"),"Super, excelente rigidez estrutural, durável e elegante, resistente. Boa qualidade, boa qualidade e durável., Melhor, bom e resistente qualidade e movimento suave de zíper")</f>
        <v>Super, excelente rigidez estrutural, durável e elegante, resistente. Boa qualidade, boa qualidade e durável., Melhor, bom e resistente qualidade e movimento suave de zíper</v>
      </c>
      <c r="E730" s="29" t="str">
        <f>IFERROR(__xludf.DUMMYFUNCTION("GOOGLETRANSLATE(C730, ""en"", ""pt-br"")"),"Ainda usando, lidar com a Amazon foi uma experiência agradável; As mercadorias foram entregues no prazo e em condições adequadas. Tanto a embalagem quanto as mercadorias foram excelentes. Parece resistente e tem espaço suficiente para qualquer disco rígid"&amp;"o de tamanho padrão ou SSD externo. É ideal para todos os tipos de dispositivos de armazenamento portáteis., Se encaixa perfeitamente no meu disco rígido e em seus fios. Tinha amplo SPCE para manter as unidades de caneta e outras coisas pequenas. É muito "&amp;"resistente e o material também é muito bom. O caso é geral em termos de qualidade. Parece inteligente de transportar, espaçosa de boa qualidade. Na verdade, ele mantém dois do meu disco e é um fio, valor para dinheiro, vá em frente sem nenhuma confusão. V"&amp;"ou atualizar minha revisão após alguns usos, boa, parece boa. A qualidade também é boa.")</f>
        <v>Ainda usando, lidar com a Amazon foi uma experiência agradável; As mercadorias foram entregues no prazo e em condições adequadas. Tanto a embalagem quanto as mercadorias foram excelentes. Parece resistente e tem espaço suficiente para qualquer disco rígido de tamanho padrão ou SSD externo. É ideal para todos os tipos de dispositivos de armazenamento portáteis., Se encaixa perfeitamente no meu disco rígido e em seus fios. Tinha amplo SPCE para manter as unidades de caneta e outras coisas pequenas. É muito resistente e o material também é muito bom. O caso é geral em termos de qualidade. Parece inteligente de transportar, espaçosa de boa qualidade. Na verdade, ele mantém dois do meu disco e é um fio, valor para dinheiro, vá em frente sem nenhuma confusão. Vou atualizar minha revisão após alguns usos, boa, parece boa. A qualidade também é boa.</v>
      </c>
    </row>
    <row r="731">
      <c r="A731" s="9" t="s">
        <v>2882</v>
      </c>
      <c r="B731" s="29" t="str">
        <f>VLOOKUP(dados!A731, reviews!A:G, 5, FALSE)</f>
        <v>Clear voice,Nice,Good and recomended,It was a nice product,It's good.,Vishal Mandal,Value of Money,Bass quality was good</v>
      </c>
      <c r="C731" s="29" t="str">
        <f>VLOOKUP(dados!A731, reviews!A:G, 6, FALSE)</f>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v>
      </c>
      <c r="D731" s="29" t="str">
        <f>IFERROR(__xludf.DUMMYFUNCTION("GOOGLETRANSLATE(B731, ""en"", ""pt-br"")"),"Voz clara, agradável, boa e recomendada, foi um bom produto, é bom., Vishal Mandal, valor do dinheiro, a qualidade do baixo foi boa")</f>
        <v>Voz clara, agradável, boa e recomendada, foi um bom produto, é bom., Vishal Mandal, valor do dinheiro, a qualidade do baixo foi boa</v>
      </c>
      <c r="E731" s="29" t="str">
        <f>IFERROR(__xludf.DUMMYFUNCTION("GOOGLETRANSLATE(C731, ""en"", ""pt-br"")"),"Eu tenho melhor qualidade de som, minha experiência, este melhor cancelamento de gama de médio porte Budsbass Goodnoise também é bom, o produto é muito bom. A qualidade do som é muito gud, mas em um pouco de um pouco de problema, boa qualidade de som e ba"&amp;"ixo, excelente backup de carga pode ser reproduzido por 6 horas ou morenot recomendado para chamadas e ruído de cancelamento de gravação recomendado para compra, estandes para qualidade e economia, eu gosto que este produto foi Realmente bom, o material u"&amp;"sado pode ser melhorado e o BCZ de brotos de abertura de slides estão recebendo arranhões., A qualidade e o som da construção são bons. Produto de Nice com o Som Clareza Som., Parece bom, a qualidade parece ser boa. Mas um problema foi publicado por 4 mes"&amp;"es a partir da compra de que um lado dos brotos não está funcionando. Por favor, olhe para isso.")</f>
        <v>Eu tenho melhor qualidade de som, minha experiência, este melhor cancelamento de gama de médio porte Budsbass Goodnoise também é bom, o produto é muito bom. A qualidade do som é muito gud, mas em um pouco de um pouco de problema, boa qualidade de som e baixo, excelente backup de carga pode ser reproduzido por 6 horas ou morenot recomendado para chamadas e ruído de cancelamento de gravação recomendado para compra, estandes para qualidade e economia, eu gosto que este produto foi Realmente bom, o material usado pode ser melhorado e o BCZ de brotos de abertura de slides estão recebendo arranhões., A qualidade e o som da construção são bons. Produto de Nice com o Som Clareza Som., Parece bom, a qualidade parece ser boa. Mas um problema foi publicado por 4 meses a partir da compra de que um lado dos brotos não está funcionando. Por favor, olhe para isso.</v>
      </c>
    </row>
    <row r="732">
      <c r="A732" s="9" t="s">
        <v>2886</v>
      </c>
      <c r="B732" s="29" t="str">
        <f>VLOOKUP(dados!A732, reviews!A:G, 5, FALSE)</f>
        <v>Don't believe the other reviews,Awesome sound and clarity for like name JBL,Bass is ❤️,Quality,Excellent sound quality and bass,, gud battery life Best speaker for single room use,Sound is not protect,Good audio.,Not a significant upgrade from JBL Go</v>
      </c>
      <c r="C732" s="29" t="str">
        <f>VLOOKUP(dados!A732, reviews!A:G, 6, FALSE)</f>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❤️Portable also connectivity is fastCharged is late,JBL Go2 is actually good 👍..but sound quality is not much better, according to price..over all ,good... delivery aur packaging bhi bhot acha hai.💟,Battery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v>
      </c>
      <c r="D732" s="29" t="str">
        <f>IFERROR(__xludf.DUMMYFUNCTION("GOOGLETRANSLATE(B732, ""en"", ""pt-br"")"),"Não acredite nas outras críticas, som incrível e clareza para o nome JBL, o baixo é ❤️, qualidade, excelente qualidade de som e baixo ,, GUD Battery Lifest Best Speaker para uso de quarto individual, o som não é proteger, bom áudio., Não Uma atualização s"&amp;"ignificativa da JBL Go")</f>
        <v>Não acredite nas outras críticas, som incrível e clareza para o nome JBL, o baixo é ❤️, qualidade, excelente qualidade de som e baixo ,, GUD Battery Lifest Best Speaker para uso de quarto individual, o som não é proteger, bom áudio., Não Uma atualização significativa da JBL Go</v>
      </c>
      <c r="E732" s="29" t="str">
        <f>IFERROR(__xludf.DUMMYFUNCTION("GOOGLETRANSLATE(C732, ""en"", ""pt-br"")"),"As outras análises dizem que o volume é muito baixo, mas não é assim é muito bom, para um alto -falante tão pequeno a qualidade e o volume é muito bom. É muito fácil de transportar. As pessoas que compraram JBL Go 1 Esta é uma atualização sem fim, recomen"&amp;"daria. O preço é muito alto, mas eu o recebi em uma oferta que é o único ponto. A conectividade Bluetooth é rápida e muito confiável e é completamente à prova de água. Chegando ao fim, é praticamente um bom alto -falante, mas para pessoas com um orçamento"&amp;", por favor, tente outras marcas, eu amo produtos de áudio JBL e usei muitos como fones de ouvido e fones de ouvido, mas que todos os produtos foram trazidos do site oficial, mas desta vez eu tentei a Amazon e Ainda vale a pena e vendedor geniune e obriga"&amp;"do por ele e som incrível mais do que o esperado e clareza e baixo e voice são muito socos e não perturbam seu ouvido, mas notei que ele tem muito muito humms, que se vira no alto -falante sem combinar, mas não é notável , O baixo é ❤️Portable também a co"&amp;"nectividade é fastidada está atrasada, o JBL Go2 é realmente bom 👍 ... mas a qualidade do som não é muito melhor, de acordo com o preço. Indicador de nível de bateria não está disponível ,, bom áudio, mas o recurso de microfone não é tão bom., Bons alto "&amp;"-falantes Bluetooth sozinhos, mas um pouco caro. Eles não são uma atualização significativa do JBL original. Eu tenho os dois e a qualidade do som é bastante semelhante - mas os alto -falantes mais velhos às vezes parecem melhores!")</f>
        <v>As outras análises dizem que o volume é muito baixo, mas não é assim é muito bom, para um alto -falante tão pequeno a qualidade e o volume é muito bom. É muito fácil de transportar. As pessoas que compraram JBL Go 1 Esta é uma atualização sem fim, recomendaria. O preço é muito alto, mas eu o recebi em uma oferta que é o único ponto. A conectividade Bluetooth é rápida e muito confiável e é completamente à prova de água. Chegando ao fim, é praticamente um bom alto -falante, mas para pessoas com um orçamento, por favor, tente outras marcas, eu amo produtos de áudio JBL e usei muitos como fones de ouvido e fones de ouvido, mas que todos os produtos foram trazidos do site oficial, mas desta vez eu tentei a Amazon e Ainda vale a pena e vendedor geniune e obrigado por ele e som incrível mais do que o esperado e clareza e baixo e voice são muito socos e não perturbam seu ouvido, mas notei que ele tem muito muito humms, que se vira no alto -falante sem combinar, mas não é notável , O baixo é ❤️Portable também a conectividade é fastidada está atrasada, o JBL Go2 é realmente bom 👍 ... mas a qualidade do som não é muito melhor, de acordo com o preço. Indicador de nível de bateria não está disponível ,, bom áudio, mas o recurso de microfone não é tão bom., Bons alto -falantes Bluetooth sozinhos, mas um pouco caro. Eles não são uma atualização significativa do JBL original. Eu tenho os dois e a qualidade do som é bastante semelhante - mas os alto -falantes mais velhos às vezes parecem melhores!</v>
      </c>
    </row>
    <row r="733">
      <c r="A733" s="9" t="s">
        <v>133</v>
      </c>
      <c r="B733" s="29" t="str">
        <f>VLOOKUP(dados!A733, reviews!A:G, 5, FALSE)</f>
        <v>Cheap product and same is the performance but does the job,Good,No Box!!!,Good,Value for money,A very good quality cable with rubust built, and it does the work.,Value money,Good product.</v>
      </c>
      <c r="C733" s="29" t="str">
        <f>VLOOKUP(dados!A733, reviews!A:G, 6, FALSE)</f>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v>
      </c>
      <c r="D733" s="29" t="str">
        <f>IFERROR(__xludf.DUMMYFUNCTION("GOOGLETRANSLATE(B733, ""en"", ""pt-br"")"),"Produto barato e o mesmo é o desempenho, mas faz o trabalho, bom, sem caixa !!!, bom, valor ao dinheiro, um cabo de muito boa qualidade com a RyChust Built e faz o trabalho., Valorize dinheiro, bom produto.")</f>
        <v>Produto barato e o mesmo é o desempenho, mas faz o trabalho, bom, sem caixa !!!, bom, valor ao dinheiro, um cabo de muito boa qualidade com a RyChust Built e faz o trabalho., Valorize dinheiro, bom produto.</v>
      </c>
      <c r="E733" s="29" t="str">
        <f>IFERROR(__xludf.DUMMYFUNCTION("GOOGLETRANSLATE(C733, ""en"", ""pt-br"")"),"O sinal é muito instável, uma vez que você precisa de um pouco de ajuste desconectando ou movendo o fio para obter um sinal adequado. Mas faz o trabalho. Vá para isso se quiser experimentar o HDMI, pois eu não tinha certeza de que funcionaria para mim ou "&amp;"não. Caso contrário, opte por um cabo à milanesa de boa qualidade., Bom produto, o cabo não veio em uma caixa. Não há caixa. Se isso deveria ser enviado sem nenhuma embalagem ou marca, o mesmo deveria ter sido mencionado. Quando pagamos por produtos de qu"&amp;"alidade, esperamos uma certa qualidade! Eu ainda não tenho idéia se este é um cabo 4k de alta velocidade ou não., Bom, comprado para conectar meu monitor CP (CCTV) à TV Android Mi .. .. Ok Qualidade a esse preço, eu dou um 5 em 5, Razões como abaixo .. 1."&amp;" Entrega da Amazon - super rápida, entrega no mesmo dia dentro de 4-5 horas.2. O entregador era bom. Qualidade robusta construída, looks &amp; parece premium. Está funcionando excelente, estou usando o Lapptop para conectividade de TV de tela grande e pude ve"&amp;"r a imagem e o som não distorcidos, fazendo seu trabalho bem. Parece um pouco difícil de ajustar e dobrar conforme a exigência, menos flexível. Mas isso pode não ser uma preocupação séria. No geral, uma boa experiência até agora., Bom trabalho, como.")</f>
        <v>O sinal é muito instável, uma vez que você precisa de um pouco de ajuste desconectando ou movendo o fio para obter um sinal adequado. Mas faz o trabalho. Vá para isso se quiser experimentar o HDMI, pois eu não tinha certeza de que funcionaria para mim ou não. Caso contrário, opte por um cabo à milanesa de boa qualidade., Bom produto, o cabo não veio em uma caixa. Não há caixa. Se isso deveria ser enviado sem nenhuma embalagem ou marca, o mesmo deveria ter sido mencionado. Quando pagamos por produtos de qualidade, esperamos uma certa qualidade! Eu ainda não tenho idéia se este é um cabo 4k de alta velocidade ou não., Bom, comprado para conectar meu monitor CP (CCTV) à TV Android Mi .. .. Ok Qualidade a esse preço, eu dou um 5 em 5, Razões como abaixo .. 1. Entrega da Amazon - super rápida, entrega no mesmo dia dentro de 4-5 horas.2. O entregador era bom. Qualidade robusta construída, looks &amp; parece premium. Está funcionando excelente, estou usando o Lapptop para conectividade de TV de tela grande e pude ver a imagem e o som não distorcidos, fazendo seu trabalho bem. Parece um pouco difícil de ajustar e dobrar conforme a exigência, menos flexível. Mas isso pode não ser uma preocupação séria. No geral, uma boa experiência até agora., Bom trabalho, como.</v>
      </c>
    </row>
    <row r="734">
      <c r="A734" s="9" t="s">
        <v>2891</v>
      </c>
      <c r="B734" s="29" t="str">
        <f>VLOOKUP(dados!A734, reviews!A:G, 5, FALSE)</f>
        <v>Gud for the price, but adhesion quality is not very good,Nothing unique……,Attracts too much finger impressions,Perfect Fit (Almost),Easy to install,They provide tissues and wipes,Work well and easy to install,Gud product in budget</v>
      </c>
      <c r="C734" s="29" t="str">
        <f>VLOOKUP(dados!A734, reviews!A:G, 6, FALSE)</f>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v>
      </c>
      <c r="D734" s="29" t="str">
        <f>IFERROR(__xludf.DUMMYFUNCTION("GOOGLETRANSLATE(B734, ""en"", ""pt-br"")"),"Gud para o preço, mas a qualidade da adesão não é muito boa, nada único ......, atrai muitas impressões de dedos, ajuste perfeito (quase), fácil de instalar, eles fornecem lenços e lenços de lenços, funcionam bem e fáceis de instalar, o produto Gud em Gud"&amp;" em orçamento")</f>
        <v>Gud para o preço, mas a qualidade da adesão não é muito boa, nada único ......, atrai muitas impressões de dedos, ajuste perfeito (quase), fácil de instalar, eles fornecem lenços e lenços de lenços, funcionam bem e fáceis de instalar, o produto Gud em Gud em orçamento</v>
      </c>
      <c r="E734" s="29" t="str">
        <f>IFERROR(__xludf.DUMMYFUNCTION("GOOGLETRANSLATE(C734, ""en"", ""pt-br"")"),"As bordas podem começar a sair, mas a qualidade geral (incluindo sensibilidade ao toque) é boa, como para o preço., A embalagem foi muito agradável. Havia um pano de microfibra na caixa, embora fosse básico, eu gostei. Agora, o principal produto, era apen"&amp;"as um tamanho perfeito. O processo de instalação foi bastante simples. Mas o vidro temperado é muito cativante. Em iluminação dura, as impressões digitais podem ser notadas facilmente., O produto é bom, mas atrai muitas impressões visíveis de dedos durant"&amp;"e o uso de rotina com uma mão limpa. ,, A tela é responsiva n faz o que é para")</f>
        <v>As bordas podem começar a sair, mas a qualidade geral (incluindo sensibilidade ao toque) é boa, como para o preço., A embalagem foi muito agradável. Havia um pano de microfibra na caixa, embora fosse básico, eu gostei. Agora, o principal produto, era apenas um tamanho perfeito. O processo de instalação foi bastante simples. Mas o vidro temperado é muito cativante. Em iluminação dura, as impressões digitais podem ser notadas facilmente., O produto é bom, mas atrai muitas impressões visíveis de dedos durante o uso de rotina com uma mão limpa. ,, A tela é responsiva n faz o que é para</v>
      </c>
    </row>
    <row r="735">
      <c r="A735" s="9" t="s">
        <v>2897</v>
      </c>
      <c r="B735" s="29" t="str">
        <f>VLOOKUP(dados!A735, reviews!A:G, 5, FALSE)</f>
        <v>Value for money,Very good.,Overall good but very fragile! KEYS STOPPED WORKING AFTER 3 MONTHS,Got what I wanted,good,Recommended I used wired version,slightly overpriced but worth it.,Product</v>
      </c>
      <c r="C735" s="29" t="str">
        <f>VLOOKUP(dados!A735, reviews!A:G, 6, FALSE)</f>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v>
      </c>
      <c r="D735" s="29" t="str">
        <f>IFERROR(__xludf.DUMMYFUNCTION("GOOGLETRANSLATE(B735, ""en"", ""pt-br"")"),"Valor pelo dinheiro, muito bom., No geral, bom, mas muito frágil! Keys parou de funcionar depois de 3 meses, conseguiu o que eu queria, bom, recomendado, usei a versão com fio, um pouco muito caro, mas vale a pena., Produto")</f>
        <v>Valor pelo dinheiro, muito bom., No geral, bom, mas muito frágil! Keys parou de funcionar depois de 3 meses, conseguiu o que eu queria, bom, recomendado, usei a versão com fio, um pouco muito caro, mas vale a pena., Produto</v>
      </c>
      <c r="E735" s="29" t="str">
        <f>IFERROR(__xludf.DUMMYFUNCTION("GOOGLETRANSLATE(C735, ""en"", ""pt-br"")"),"Bom gamepad, poderia ter sido melhor na ergonomia porque depois de um tempo, a aderência começa a doer. Também vem com feedback de vibração hápticos, o que é ótimo para o preço, o gamepad é muito bom e também está funcionando bem. Vale a pena comprar., Em"&amp;" termos de qualidade Bulid, é plástico e você o conhece de antemão, há um adesivo de argila de silício, que é agradável, mas a sensação de aperto será desgastada após o uso e você ficará com um remendo brilhante e escorregadio. Parece-se resistente à mão,"&amp;" mas pessoalmente eu o usei para jogar muitos jogos, principalmente a FIFA e as chaves pararam de funcionar depois de um determinado tempo devido à camada de silício em Keys. Mesmo que eu não estivesse usando de forma agressiva, então também não durou 3 M"&amp;"onths.Eu esperava um melhor desempenho, mas, infelizmente, esse não foi o caso, o joystick (Gear) em si era preciso, mas os gatilhos R2 L2 não estavam funcionando, pois deveriam ter 1,5 meses, mesmo depois de muitas tentativas fracassadas de calibrar., Es"&amp;"te gamepad está funcionando bem com PC, TV e celulares também se você tiver um OTG. Um dos melhores e acessíveis gamepad. Vá em frente, gostei, publicando uma revisão depois de mais de 100 horas usadas. Primeiro de tudo que eu compro esse gamepad para ver"&amp;"ificar a experiência, é incrível as luzes de vibrações são boas, a qualidade de construção é incrível é melhor do que eu espero, podemos ajustar a intensidade da vibração Dependendo dos jogos melhores para jogos de corridas e esportes, mas honestamente se"&amp;" você gosta mais de FPS ou de jogos, nosso teclado e mouse são melhores para se sentir no jogo. A razão pela qual eu usei com fio é que ele vem com muito bom comprimento e isso é O suficiente para aproveitar o jogo, por que eu não gasto dinheiro extra ape"&amp;"nas para remover o fio., bom console., bom produto")</f>
        <v>Bom gamepad, poderia ter sido melhor na ergonomia porque depois de um tempo, a aderência começa a doer. Também vem com feedback de vibração hápticos, o que é ótimo para o preço, o gamepad é muito bom e também está funcionando bem. Vale a pena comprar., Em termos de qualidade Bulid, é plástico e você o conhece de antemão, há um adesivo de argila de silício, que é agradável, mas a sensação de aperto será desgastada após o uso e você ficará com um remendo brilhante e escorregadio. Parece-se resistente à mão, mas pessoalmente eu o usei para jogar muitos jogos, principalmente a FIFA e as chaves pararam de funcionar depois de um determinado tempo devido à camada de silício em Keys. Mesmo que eu não estivesse usando de forma agressiva, então também não durou 3 Months.Eu esperava um melhor desempenho, mas, infelizmente, esse não foi o caso, o joystick (Gear) em si era preciso, mas os gatilhos R2 L2 não estavam funcionando, pois deveriam ter 1,5 meses, mesmo depois de muitas tentativas fracassadas de calibrar., Este gamepad está funcionando bem com PC, TV e celulares também se você tiver um OTG. Um dos melhores e acessíveis gamepad. Vá em frente, gostei, publicando uma revisão depois de mais de 100 horas usadas. Primeiro de tudo que eu compro esse gamepad para verificar a experiência, é incrível as luzes de vibrações são boas, a qualidade de construção é incrível é melhor do que eu espero, podemos ajustar a intensidade da vibração Dependendo dos jogos melhores para jogos de corridas e esportes, mas honestamente se você gosta mais de FPS ou de jogos, nosso teclado e mouse são melhores para se sentir no jogo. A razão pela qual eu usei com fio é que ele vem com muito bom comprimento e isso é O suficiente para aproveitar o jogo, por que eu não gasto dinheiro extra apenas para remover o fio., bom console., bom produto</v>
      </c>
    </row>
    <row r="736">
      <c r="A736" s="9" t="s">
        <v>2903</v>
      </c>
      <c r="B736" s="29" t="str">
        <f>VLOOKUP(dados!A736, reviews!A:G, 5, FALSE)</f>
        <v>Good silent mouse,Too small to hold!,Reviewing after 8 months of with battery backup review,Its very small  do take note of that,** Nice product,Good product,Good Buy for normal use in office,Stylish mouse</v>
      </c>
      <c r="C736" s="29" t="str">
        <f>VLOOKUP(dados!A736, reviews!A:G, 6, FALSE)</f>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v>
      </c>
      <c r="D736" s="29" t="str">
        <f>IFERROR(__xludf.DUMMYFUNCTION("GOOGLETRANSLATE(B736, ""en"", ""pt-br"")"),"Bom mouse silencioso, pequeno demais para ser segurado!, Revendo após 8 meses de revisão de backup de bateria, é muito pequeno, nota disso, ** bom produto, bom produto, boa compra para uso normal no escritório, mouse elegante")</f>
        <v>Bom mouse silencioso, pequeno demais para ser segurado!, Revendo após 8 meses de revisão de backup de bateria, é muito pequeno, nota disso, ** bom produto, bom produto, boa compra para uso normal no escritório, mouse elegante</v>
      </c>
      <c r="E736" s="29" t="str">
        <f>IFERROR(__xludf.DUMMYFUNCTION("GOOGLETRANSLATE(C736, ""en"", ""pt-br"")"),"É pequeno para mãos grandes. Mas melhor disponível no mercado., Bom produto, mas muito menor que o regular!, Olá a todos, comprei este mouse em abril de 2022, então, após 8 meses de uso, estou escrevendo esta resenha.Battery (o mais importante Um): 10/10 "&amp;"- Ele veio com uma única bateria do tamanho AA (bateria do relógio) que funcionou de 1º de abril a 10 de dezembro, que é mais de 8 meses. Embora meu uso tenha sido pesado (6 horas em média por dia) em um dia corporativo de 9 horas.Sente 7/10- Incrível com"&amp;" belas curvas. Embora o painel de fechamento de bateria possa ter sido melhor. /Off, mas é forte o suficiente para resistir a um golpe duro quando você o forçou a sair com os dedos náuticos. na parte inferior) .Buttons: 7/10 - Os botões produzem um pequen"&amp;"o ruído em clique e após um longo uso, o botão esquerdo está agitando um pouco. Você apenas 12 INR por 8 meses., É muito pequeno e é um problema para a minha mão, que é consideravelmente menor do que outras pessoas que se encaixa bem no sobrinho de 10 ano"&amp;"s, mas agora meu, mas nenhum reclamação funciona muito bem de longe, então é bom deve ser vendido por 400/ apenas o seu rato com preços e com preços divertidos. Muito melhor se tivesse cliques silenciosos !!!!!, trabalhando bem até agora.")</f>
        <v>É pequeno para mãos grandes. Mas melhor disponível no mercado., Bom produto, mas muito menor que o regular!, Olá a todos, comprei este mouse em abril de 2022, então, após 8 meses de uso, estou escrevendo esta resenha.Battery (o mais importante Um): 10/10 - Ele veio com uma única bateria do tamanho AA (bateria do relógio) que funcionou de 1º de abril a 10 de dezembro, que é mais de 8 meses. Embora meu uso tenha sido pesado (6 horas em média por dia) em um dia corporativo de 9 horas.Sente 7/10- Incrível com belas curvas. Embora o painel de fechamento de bateria possa ter sido melhor. /Off, mas é forte o suficiente para resistir a um golpe duro quando você o forçou a sair com os dedos náuticos. na parte inferior) .Buttons: 7/10 - Os botões produzem um pequeno ruído em clique e após um longo uso, o botão esquerdo está agitando um pouco. Você apenas 12 INR por 8 meses., É muito pequeno e é um problema para a minha mão, que é consideravelmente menor do que outras pessoas que se encaixa bem no sobrinho de 10 anos, mas agora meu, mas nenhum reclamação funciona muito bem de longe, então é bom deve ser vendido por 400/ apenas o seu rato com preços e com preços divertidos. Muito melhor se tivesse cliques silenciosos !!!!!, trabalhando bem até agora.</v>
      </c>
    </row>
    <row r="737">
      <c r="A737" s="9" t="s">
        <v>1954</v>
      </c>
      <c r="B737" s="29" t="str">
        <f>VLOOKUP(dados!A737, reviews!A:G, 5, FALSE)</f>
        <v>Very useful,Very useful item to make your phone cables long lasting,Price can be reduced as this product is not worth for 80 rs,Value for money,It is useful,Good product,Good quality,Its good item in this money</v>
      </c>
      <c r="C737" s="29" t="str">
        <f>VLOOKUP(dados!A737, reviews!A:G, 6, FALSE)</f>
        <v>A 10bucks piece can save cable worth hundreds. Totally recommend,I just received it and applied on my iphone related cables and connectors. Specially, apple accessories are not that sturdy and doesn’t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v>
      </c>
      <c r="D737" s="29" t="str">
        <f>IFERROR(__xludf.DUMMYFUNCTION("GOOGLETRANSLATE(B737, ""en"", ""pt-br"")"),"Item muito útil e muito útil para tornar seus cabos de telefone duradouros, o preço pode ser reduzido, pois este produto não vale para 80 Rs, valor ao dinheiro, é útil, bom produto, boa qualidade, seu bom item neste dinheiro")</f>
        <v>Item muito útil e muito útil para tornar seus cabos de telefone duradouros, o preço pode ser reduzido, pois este produto não vale para 80 Rs, valor ao dinheiro, é útil, bom produto, boa qualidade, seu bom item neste dinheiro</v>
      </c>
      <c r="E737" s="29" t="str">
        <f>IFERROR(__xludf.DUMMYFUNCTION("GOOGLETRANSLATE(C737, ""en"", ""pt-br"")"),"Uma peça de 10bucks pode salvar o cabo no valor de centenas. Recomendo totalmente, acabei de receber e aplicar em meus cabos e conectores relacionados ao iPhone. Especialmente, os acessórios da Apple não são tão robustos e não dura muito devido a quebra n"&amp;"os pontos finais devido ao desgaste. desgaste e lágrimas. Também se aplicaram em fones de ouvido. Estará vigiando o período se realmente aumentar a vida dos cabos. Agora, sentindo -se bem com esse produto útil. O preço é alto, você pode optar por isso., É"&amp;" útil. Depois de usá -lo, a durabilidade do cabo é boa., Produto muito bom Ele definitivamente protege seu cabo, ele realmente não protege o cabo se o cabo estiver começando a se desgastar. Você precisa usar isso antes que o cabo comece a se desgastar. Fu"&amp;"nciona apenas se o cabo for grosso o suficiente. Mas boa qualidade geral., Bom")</f>
        <v>Uma peça de 10bucks pode salvar o cabo no valor de centenas. Recomendo totalmente, acabei de receber e aplicar em meus cabos e conectores relacionados ao iPhone. Especialmente, os acessórios da Apple não são tão robustos e não dura muito devido a quebra nos pontos finais devido ao desgaste. desgaste e lágrimas. Também se aplicaram em fones de ouvido. Estará vigiando o período se realmente aumentar a vida dos cabos. Agora, sentindo -se bem com esse produto útil. O preço é alto, você pode optar por isso., É útil. Depois de usá -lo, a durabilidade do cabo é boa., Produto muito bom Ele definitivamente protege seu cabo, ele realmente não protege o cabo se o cabo estiver começando a se desgastar. Você precisa usar isso antes que o cabo comece a se desgastar. Funciona apenas se o cabo for grosso o suficiente. Mas boa qualidade geral., Bom</v>
      </c>
    </row>
    <row r="738">
      <c r="A738" s="9" t="s">
        <v>2908</v>
      </c>
      <c r="B738" s="29" t="str">
        <f>VLOOKUP(dados!A738, reviews!A:G, 5, FALSE)</f>
        <v>Received defective item update: better now,Good product,Good connectivity,Good 👍,Go 4 it.....,Easy to Install,Nice product.,Works good</v>
      </c>
      <c r="C738" s="29" t="str">
        <f>VLOOKUP(dados!A738, reviews!A:G, 6, FALSE)</f>
        <v>The router won't turn on, requested for replacement.Update: the replacement router is working fine. Judging by the condition of the boxes, I probably had received a refurbished item the first time around.,Good product for home use,After 2 months, it is working nice and fine.,Good 👍,Very compact,This router is super easy to install and you can hang it on the wall as well. It comes with 3 years of warranty and the size of the router is very small and despite of that it gives good signal to the adjacent room.,Go for it, It is Good Product.,Working good</v>
      </c>
      <c r="D738" s="29" t="str">
        <f>IFERROR(__xludf.DUMMYFUNCTION("GOOGLETRANSLATE(B738, ""en"", ""pt-br"")"),"Atualização de item com defeito recebeu: Melhor agora, bom produto, boa conectividade, bom 👍, vá 4 isso ....., fácil de instalar, bom produto., Funciona bem")</f>
        <v>Atualização de item com defeito recebeu: Melhor agora, bom produto, boa conectividade, bom 👍, vá 4 isso ....., fácil de instalar, bom produto., Funciona bem</v>
      </c>
      <c r="E738" s="29" t="str">
        <f>IFERROR(__xludf.DUMMYFUNCTION("GOOGLETRANSLATE(C738, ""en"", ""pt-br"")"),"O roteador não liga, solicitado para substituição.Update: O roteador de substituição está funcionando bem. A julgar pela condição das caixas, provavelmente havia recebido um item reformado pela primeira vez., Bom produto para uso doméstico, após 2 meses, "&amp;"está funcionando bem e bom. Para instalar e você pode pendurá -lo na parede também. Ele vem com 3 anos de garantia e o tamanho do roteador é muito pequeno e, apesar disso, dá um bom sinal à sala adjacente., Vá em frente, é um bom produto., Trabalhando bem")</f>
        <v>O roteador não liga, solicitado para substituição.Update: O roteador de substituição está funcionando bem. A julgar pela condição das caixas, provavelmente havia recebido um item reformado pela primeira vez., Bom produto para uso doméstico, após 2 meses, está funcionando bem e bom. Para instalar e você pode pendurá -lo na parede também. Ele vem com 3 anos de garantia e o tamanho do roteador é muito pequeno e, apesar disso, dá um bom sinal à sala adjacente., Vá em frente, é um bom produto., Trabalhando bem</v>
      </c>
    </row>
    <row r="739">
      <c r="A739" s="9" t="s">
        <v>2912</v>
      </c>
      <c r="B739" s="29" t="str">
        <f>VLOOKUP(dados!A739, reviews!A:G, 5, FALSE)</f>
        <v>Good for typing, compact,Good product but bad packing,liked it,No caps lock light,All good, except the tiny dongle which has high chances of loosing.,Amazing product incredibly bad packaging,GOOD 👍,Mouse light is not working but it’s working</v>
      </c>
      <c r="C739" s="29" t="str">
        <f>VLOOKUP(dados!A739, reviews!A:G, 6, FALSE)</f>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you’re coming from an ultrabook keyboard).Packaging: No cover. Nothing. Just the box, which was literally torn with visible brown cardboard insides. Yikes!,Good,</v>
      </c>
      <c r="D739" s="29" t="str">
        <f>IFERROR(__xludf.DUMMYFUNCTION("GOOGLETRANSLATE(B739, ""en"", ""pt-br"")"),"Bom para digitar, compacto, bom produto, mas mal uma embalagem, gostei, sem tampas de trava, tudo bem, exceto o minúsculo dongle que tem grandes chances de perder., Produto incrível embalagens incrivelmente ruins, boa 👍 👍, a luz do mouse não está funcio"&amp;"nando, mas está funcionando")</f>
        <v>Bom para digitar, compacto, bom produto, mas mal uma embalagem, gostei, sem tampas de trava, tudo bem, exceto o minúsculo dongle que tem grandes chances de perder., Produto incrível embalagens incrivelmente ruins, boa 👍 👍, a luz do mouse não está funcionando, mas está funcionando</v>
      </c>
      <c r="E739" s="29" t="str">
        <f>IFERROR(__xludf.DUMMYFUNCTION("GOOGLETRANSLATE(C739, ""en"", ""pt-br"")"),"O teclado e o mouse são bons para digitação e uso normal. Não posso comentar sobre a duração da bateria, pois eu a usei apenas por um mês. Às vezes, o mouse não respondeu quando o laptop ficou quente durante os jogos. Portanto, não está usando o conjunto "&amp;"para jogos., O produto é muito bom, mas tenho problemas com a embalagem. O saco plástico externo estava bem, mas a caixa de embalagem da Amazon (marrom) foi quebrada. A caixa de produtos e o produto estava bem. A tampa da bateria do mouse está um pouco so"&amp;"lta, caso contrário, o produto é bom. Eu tenho um produto defeituoso primeiro e tenho opção de substituição e no mesmo dia meu produto foi substituído. No geral, o produto é suave e fácil de usar, sem tampas de bloquear o botão de luz. Ele deve estar lá p"&amp;"ara inserir senhas., Tudo de bom, exceto um pequeno dongle que perdemos muitas vezes., O teclado é realmente bom, a viagem é incrível (especialmente quando você vem de um teclado ultrabook). Nada. Apenas a caixa, que estava literalmente rasgada com interi"&amp;"or de papelão marrom visível. Yikes!, Bom,")</f>
        <v>O teclado e o mouse são bons para digitação e uso normal. Não posso comentar sobre a duração da bateria, pois eu a usei apenas por um mês. Às vezes, o mouse não respondeu quando o laptop ficou quente durante os jogos. Portanto, não está usando o conjunto para jogos., O produto é muito bom, mas tenho problemas com a embalagem. O saco plástico externo estava bem, mas a caixa de embalagem da Amazon (marrom) foi quebrada. A caixa de produtos e o produto estava bem. A tampa da bateria do mouse está um pouco solta, caso contrário, o produto é bom. Eu tenho um produto defeituoso primeiro e tenho opção de substituição e no mesmo dia meu produto foi substituído. No geral, o produto é suave e fácil de usar, sem tampas de bloquear o botão de luz. Ele deve estar lá para inserir senhas., Tudo de bom, exceto um pequeno dongle que perdemos muitas vezes., O teclado é realmente bom, a viagem é incrível (especialmente quando você vem de um teclado ultrabook). Nada. Apenas a caixa, que estava literalmente rasgada com interior de papelão marrom visível. Yikes!, Bom,</v>
      </c>
    </row>
    <row r="740">
      <c r="A740" s="9" t="s">
        <v>2916</v>
      </c>
      <c r="B740" s="29" t="str">
        <f>VLOOKUP(dados!A740, reviews!A:G, 5, FALSE)</f>
        <v>Nice but price should be reduced,WORTH FOR MONEY,Good meterial,Table is good,VALUE FOR MONEY,Good product,Please sell spare parts also,Good</v>
      </c>
      <c r="C740" s="29" t="str">
        <f>VLOOKUP(dados!A740, reviews!A:G, 6, FALSE)</f>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v>
      </c>
      <c r="D740" s="29" t="str">
        <f>IFERROR(__xludf.DUMMYFUNCTION("GOOGLETRANSLATE(B740, ""en"", ""pt-br"")"),"Nice, mas o preço deve ser reduzido, vale a pena, bom metro")</f>
        <v>Nice, mas o preço deve ser reduzido, vale a pena, bom metro</v>
      </c>
      <c r="E740" s="29" t="str">
        <f>IFERROR(__xludf.DUMMYFUNCTION("GOOGLETRANSLATE(C740, ""en"", ""pt-br"")"),"O preço é alto, https: //m.media-amazon.com/images/w/webp_402378-t1/images/i/71zrgtywbal._sy88.jpg,nice,Stand é dado em uma forma curva Tenha cuidado ao usar laptop, valor ao dinheiro, dobrar fácil. Conveniente para o usuário. O local de trabalho é um pou"&amp;"co congestionado e a estabilidade é horrível. Embora amigável. Como este produto., É bom, mas venda peças de reposição também como bloqueio de stand e todas as coisas, eu gosto")</f>
        <v>O preço é alto, https: //m.media-amazon.com/images/w/webp_402378-t1/images/i/71zrgtywbal._sy88.jpg,nice,Stand é dado em uma forma curva Tenha cuidado ao usar laptop, valor ao dinheiro, dobrar fácil. Conveniente para o usuário. O local de trabalho é um pouco congestionado e a estabilidade é horrível. Embora amigável. Como este produto., É bom, mas venda peças de reposição também como bloqueio de stand e todas as coisas, eu gosto</v>
      </c>
    </row>
    <row r="741">
      <c r="A741" s="9" t="s">
        <v>2920</v>
      </c>
      <c r="B741" s="29" t="str">
        <f>VLOOKUP(dados!A741, reviews!A:G, 5, FALSE)</f>
        <v>Very easy to use,Easy to use .,Best calculator for CA students,good performanace,Nice,Best,Very nice and steardy,Good product</v>
      </c>
      <c r="C741" s="29" t="str">
        <f>VLOOKUP(dados!A741, reviews!A:G, 6, FALSE)</f>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v>
      </c>
      <c r="D741" s="29" t="str">
        <f>IFERROR(__xludf.DUMMYFUNCTION("GOOGLETRANSLATE(B741, ""en"", ""pt-br"")"),"Muito fácil de usar, fácil de usar., Melhor calculadora para estudantes da CA, bom desempenho, bom, melhor, muito bom e Steardy, bom produto")</f>
        <v>Muito fácil de usar, fácil de usar., Melhor calculadora para estudantes da CA, bom desempenho, bom, melhor, muito bom e Steardy, bom produto</v>
      </c>
      <c r="E741" s="29" t="str">
        <f>IFERROR(__xludf.DUMMYFUNCTION("GOOGLETRANSLATE(C741, ""en"", ""pt-br"")"),"Muito bom, bom produto, https: //m.media-amazon.com/images/i/71m+st3c-il._sy88.jpg.simple e útil para fins de viagem e uso no escritório., Nice, boa calculadora, mas eu Pense que o preço é alto em comparação com o mercado, escrevendo a revisão após um mês"&amp;" de uso. Muito boa qualidade e vale o dinheiro. Sem problema até a data. Vá em frente, está funcionando bem. Eu gosto.")</f>
        <v>Muito bom, bom produto, https: //m.media-amazon.com/images/i/71m+st3c-il._sy88.jpg.simple e útil para fins de viagem e uso no escritório., Nice, boa calculadora, mas eu Pense que o preço é alto em comparação com o mercado, escrevendo a revisão após um mês de uso. Muito boa qualidade e vale o dinheiro. Sem problema até a data. Vá em frente, está funcionando bem. Eu gosto.</v>
      </c>
    </row>
    <row r="742">
      <c r="A742" s="9" t="s">
        <v>1937</v>
      </c>
      <c r="B742" s="29" t="str">
        <f>VLOOKUP(dados!A742, reviews!A:G, 5, FALSE)</f>
        <v>Only affordable Stylus that works with Apple,Product is good, but Spare disk is missing for me.,Best deal for this price,Good but improvement needed,Average, better option are available,very fast and smooth work,Precision &amp; speedy,Amazing</v>
      </c>
      <c r="C742" s="29" t="str">
        <f>VLOOKUP(dados!A742, reviews!A:G, 6, FALSE)</f>
        <v>This was a saviour for me as I didn’t want to buy expensive stylus and max dont work with Iphones. It’s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v>
      </c>
      <c r="D742" s="29" t="str">
        <f>IFERROR(__xludf.DUMMYFUNCTION("GOOGLETRANSLATE(B742, ""en"", ""pt-br"")"),"Apenas uma caneta acessível que funciona com a Apple, o produto é bom, mas está faltando o disco para mim., Melhor negócio para esse preço, bom mas melhorias necessárias, médias, melhor opção estão disponíveis, muito rápido e suave, precisão e rápida, inc"&amp;"rível")</f>
        <v>Apenas uma caneta acessível que funciona com a Apple, o produto é bom, mas está faltando o disco para mim., Melhor negócio para esse preço, bom mas melhorias necessárias, médias, melhor opção estão disponíveis, muito rápido e suave, precisão e rápida, incrível</v>
      </c>
      <c r="E742" s="29" t="str">
        <f>IFERROR(__xludf.DUMMYFUNCTION("GOOGLETRANSLATE(C742, ""en"", ""pt-br"")"),"Isso foi um salvador para mim, pois eu não queria comprar canetas caras e Max não funcionou com iPhones. Não é muito preciso, mas faz o trabalho. Eu amo isso, inesperadamente, este produto funciona muito bem. Mas quando compro isso, o disco sobressalente "&amp;"estava faltando., Este item é simples incrível para esse preço. Está indo bem sem falhas e vale a pena comprar pelo preço que a Amazon está oferecendo., Embora seja bom, mas a ponta da caneta da caneta deve ser um guarda Também tenho cor errada, pedi o Bl"&amp;"use e fico cinza, esta é uma boa caneta digital para obras de arte digital e técnicas de trabalho muito suaves usando com tanta facilidade, funciona perfeitamente no Samsung S22 Plus. Costumo usar também para edição de vídeo. Mas acho que é muito caro. Eu"&amp;" consegui por Rs. 389, incluindo taxas de entrega. Deve custar no máximo 250. 2 estrelas foram cortadas para o preço excessivo.")</f>
        <v>Isso foi um salvador para mim, pois eu não queria comprar canetas caras e Max não funcionou com iPhones. Não é muito preciso, mas faz o trabalho. Eu amo isso, inesperadamente, este produto funciona muito bem. Mas quando compro isso, o disco sobressalente estava faltando., Este item é simples incrível para esse preço. Está indo bem sem falhas e vale a pena comprar pelo preço que a Amazon está oferecendo., Embora seja bom, mas a ponta da caneta da caneta deve ser um guarda Também tenho cor errada, pedi o Bluse e fico cinza, esta é uma boa caneta digital para obras de arte digital e técnicas de trabalho muito suaves usando com tanta facilidade, funciona perfeitamente no Samsung S22 Plus. Costumo usar também para edição de vídeo. Mas acho que é muito caro. Eu consegui por Rs. 389, incluindo taxas de entrega. Deve custar no máximo 250. 2 estrelas foram cortadas para o preço excessivo.</v>
      </c>
    </row>
    <row r="743">
      <c r="A743" s="9" t="s">
        <v>2927</v>
      </c>
      <c r="B743" s="29" t="str">
        <f>VLOOKUP(dados!A743, reviews!A:G, 5, FALSE)</f>
        <v>Good product but little costly,Very sturdy and easy to handle and carry,Ok,Good one but not exactly like shown pictures,Good,good quality,Good quality product,Very strong but not stable at all</v>
      </c>
      <c r="C743" s="29" t="str">
        <f>VLOOKUP(dados!A743, reviews!A:G, 6, FALSE)</f>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v>
      </c>
      <c r="D743" s="29" t="str">
        <f>IFERROR(__xludf.DUMMYFUNCTION("GOOGLETRANSLATE(B743, ""en"", ""pt-br"")"),"Bom produto, mas pouco caro, muito robusto e fácil de manusear e carregar, ok, bom, mas não exatamente como fotos mostradas, boa, boa qualidade, produto de boa qualidade, muito forte, mas não estável")</f>
        <v>Bom produto, mas pouco caro, muito robusto e fácil de manusear e carregar, ok, bom, mas não exatamente como fotos mostradas, boa, boa qualidade, produto de boa qualidade, muito forte, mas não estável</v>
      </c>
      <c r="E743" s="29" t="str">
        <f>IFERROR(__xludf.DUMMYFUNCTION("GOOGLETRANSLATE(C743, ""en"", ""pt-br"")"),"Se você estiver usando um mouse separado, vá sem porta -copos, isso lhe dará um pouco de espaço, caso contrário, tudo bem para o laptop de 15 polegadas. É forte e resistente, mas deve ser de 350 a 400 e não 599., tudo é perfeito - a robustez, a cor, o aca"&amp;"bamento, a altura, o peso. O único golpe é que pode ser um pouco instável se você o usar na cama., A mesa é leve e menos durável, mas serve seu propósito. É um bom produto para seu preço não espera muito., O produto é Bom, mas preço (569 Rs) é um pouco ma"&amp;"is maior do que em toda a qualidade do produto e também não há logotipo do básico do amezon, é bom, acho que o suporte para celular/tablet é inútil, o material é de boa qualidade e o produto vale dinheiro. Seria bom ter um mecanismo de bloqueio para que o"&amp;"s estandes não tendam a fechar uma vez colocados em superfícies como cama., A mesa é muito forte. Não quebrará facilmente. Mas suas pernas não são estáveis. Se você manter o laptop nele e não for suportado, toda a mesa cairá de lado. Aconteceu duas vezes "&amp;"comigo.")</f>
        <v>Se você estiver usando um mouse separado, vá sem porta -copos, isso lhe dará um pouco de espaço, caso contrário, tudo bem para o laptop de 15 polegadas. É forte e resistente, mas deve ser de 350 a 400 e não 599., tudo é perfeito - a robustez, a cor, o acabamento, a altura, o peso. O único golpe é que pode ser um pouco instável se você o usar na cama., A mesa é leve e menos durável, mas serve seu propósito. É um bom produto para seu preço não espera muito., O produto é Bom, mas preço (569 Rs) é um pouco mais maior do que em toda a qualidade do produto e também não há logotipo do básico do amezon, é bom, acho que o suporte para celular/tablet é inútil, o material é de boa qualidade e o produto vale dinheiro. Seria bom ter um mecanismo de bloqueio para que os estandes não tendam a fechar uma vez colocados em superfícies como cama., A mesa é muito forte. Não quebrará facilmente. Mas suas pernas não são estáveis. Se você manter o laptop nele e não for suportado, toda a mesa cairá de lado. Aconteceu duas vezes comigo.</v>
      </c>
    </row>
    <row r="744">
      <c r="A744" s="9" t="s">
        <v>2931</v>
      </c>
      <c r="B744" s="29" t="str">
        <f>VLOOKUP(dados!A744, reviews!A:G, 5, FALSE)</f>
        <v>Good and does it’s work,Nice product working absolutely fine,Good,Good product,Value for Money,Okay overall,Value for money..,Good product for i phone users</v>
      </c>
      <c r="C744" s="29" t="str">
        <f>VLOOKUP(dados!A744, reviews!A:G, 6, FALSE)</f>
        <v>Using it to connect my type C Plantronic headphones to Dell laptop and it’s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v>
      </c>
      <c r="D744" s="29" t="str">
        <f>IFERROR(__xludf.DUMMYFUNCTION("GOOGLETRANSLATE(B744, ""en"", ""pt-br"")"),"Bom e faz o trabalho, bom produto funcionando absolutamente bem, bom, bom produto, valor para dinheiro, ok em geral, valor ao dinheiro .., bom produto para usuários de telefone I")</f>
        <v>Bom e faz o trabalho, bom produto funcionando absolutamente bem, bom, bom produto, valor para dinheiro, ok em geral, valor ao dinheiro .., bom produto para usuários de telefone I</v>
      </c>
      <c r="E744" s="29" t="str">
        <f>IFERROR(__xludf.DUMMYFUNCTION("GOOGLETRANSLATE(C744, ""en"", ""pt-br"")"),"Usando -o para conectar meus fones de ouvido Plantronic Tipo C ao Laptop Dell e está funcionando bem., Gostamos deste produto, é simplesmente incrível, apoie a boa velocidade de carregamento., Nice, pequeno e muito bom acessório para o carro. É muito pequ"&amp;"eno em tamanho e se torna parte do interior do carro. Não há atraso no fornecimento de energia e dá uma facilidade de conectar telefone com o tipo USB C em uma porta USB A.Se você estiver procurando um bom conversor, este É., Anunciador irritante de pedir"&amp;" que você dê uma classificação de 5 estrelas está na caixa de embalagem deste produto., É muito útil para carregar telefones em carros antigos. Estou usando um carro antigo e ele possui apenas portas USB -B. E eu também estou usando para alguns bancos de "&amp;"energia ..., eu tinha um cabo C não utilizado para a porta Lightning, mas não estava sendo usado. Encomendei este produto e acabou sendo um milagre para mim agora que posso usar meu cabo não utilizado com este produto. Bom produto 👍👍")</f>
        <v>Usando -o para conectar meus fones de ouvido Plantronic Tipo C ao Laptop Dell e está funcionando bem., Gostamos deste produto, é simplesmente incrível, apoie a boa velocidade de carregamento., Nice, pequeno e muito bom acessório para o carro. É muito pequeno em tamanho e se torna parte do interior do carro. Não há atraso no fornecimento de energia e dá uma facilidade de conectar telefone com o tipo USB C em uma porta USB A.Se você estiver procurando um bom conversor, este É., Anunciador irritante de pedir que você dê uma classificação de 5 estrelas está na caixa de embalagem deste produto., É muito útil para carregar telefones em carros antigos. Estou usando um carro antigo e ele possui apenas portas USB -B. E eu também estou usando para alguns bancos de energia ..., eu tinha um cabo C não utilizado para a porta Lightning, mas não estava sendo usado. Encomendei este produto e acabou sendo um milagre para mim agora que posso usar meu cabo não utilizado com este produto. Bom produto 👍👍</v>
      </c>
    </row>
    <row r="745">
      <c r="A745" s="9" t="s">
        <v>2935</v>
      </c>
      <c r="B745" s="29" t="str">
        <f>VLOOKUP(dados!A745, reviews!A:G, 5, FALSE)</f>
        <v>I like to draw on it,Best  writing pad,Great for Noting or Doodling,Good to go,The pen is too flowy and the strokes are coming out a bit thick,Magic Slate 15-inch LCD Writing Tablet,The quality and build seems good so far.,Very useful product</v>
      </c>
      <c r="C745" s="29" t="str">
        <f>VLOOKUP(dados!A745, reviews!A:G, 6, FALSE)</f>
        <v>I use it for writing messages or drawing.. the only con is it reflects light and brightness is less.. so nothing is visible when lights are out... But its very smooth and easy to use.... I like it,https://m.media-amazon.com/images/W/WEBP_402378-T1/images/I/71S0PtuMUUL._SY88.jpg,For the price it’s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v>
      </c>
      <c r="D745" s="29" t="str">
        <f>IFERROR(__xludf.DUMMYFUNCTION("GOOGLETRANSLATE(B745, ""en"", ""pt-br"")"),"Eu gosto de desenhar, o melhor bloco de redação, ótimo para notar ou rabiscar, é bom ir, a caneta é muito esvoaçante e os golpes estão saindo um pouco grosso e magic slate de 15 polegadas LCD Tablet, a qualidade e a construção parece bom até agora., produ"&amp;"to muito útil")</f>
        <v>Eu gosto de desenhar, o melhor bloco de redação, ótimo para notar ou rabiscar, é bom ir, a caneta é muito esvoaçante e os golpes estão saindo um pouco grosso e magic slate de 15 polegadas LCD Tablet, a qualidade e a construção parece bom até agora., produto muito útil</v>
      </c>
      <c r="E745" s="29" t="str">
        <f>IFERROR(__xludf.DUMMYFUNCTION("GOOGLETRANSLATE(C745, ""en"", ""pt-br"")"),"Eu o uso para escrever mensagens ou desenhar .. o único golpe é que ele reflete luz e o brilho é menor .. então nada é visível quando as luzes estão apagadas ... mas é muito suave e fácil de usar ... eu gosto, eu gosto, https://m.media-amazon.com/images/w"&amp;"/webp_402378-t1/images/i/71s0ptumuul._sy88.jpg, pelo preço é ótimo. Uma apagar e tinta diferente. Funções ruins teriam concluído o pacote. Muito ruim - acabamento plástico leve e leve. Se as crianças lidam com o produto com mais cuidado. Consegui ontem e "&amp;"a qualidade e a sensação são bons., Útil para estudantes do jardim de infância")</f>
        <v>Eu o uso para escrever mensagens ou desenhar .. o único golpe é que ele reflete luz e o brilho é menor .. então nada é visível quando as luzes estão apagadas ... mas é muito suave e fácil de usar ... eu gosto, eu gosto, https://m.media-amazon.com/images/w/webp_402378-t1/images/i/71s0ptumuul._sy88.jpg, pelo preço é ótimo. Uma apagar e tinta diferente. Funções ruins teriam concluído o pacote. Muito ruim - acabamento plástico leve e leve. Se as crianças lidam com o produto com mais cuidado. Consegui ontem e a qualidade e a sensação são bons., Útil para estudantes do jardim de infância</v>
      </c>
    </row>
    <row r="746">
      <c r="A746" s="9" t="s">
        <v>2939</v>
      </c>
      <c r="B746" s="29" t="str">
        <f>VLOOKUP(dados!A746, reviews!A:G, 5, FALSE)</f>
        <v>Average usb hub,Inferior quality goods,its CHEAP,Built in quality is low,Ok,Finish is not very good,Recieved damage piece,Packaging was damaged and is not new piece</v>
      </c>
      <c r="C746" s="29" t="str">
        <f>VLOOKUP(dados!A746, reviews!A:G, 6, FALSE)</f>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v>
      </c>
      <c r="D746" s="29" t="str">
        <f>IFERROR(__xludf.DUMMYFUNCTION("GOOGLETRANSLATE(B746, ""en"", ""pt-br"")"),"Hub médio USB, bens de qualidade inferior, sua qualidade barata e incorporada é baixa, ok, acabamento não é muito bom, peça de dano recebido, a embalagem foi danificada e não é uma peça nova")</f>
        <v>Hub médio USB, bens de qualidade inferior, sua qualidade barata e incorporada é baixa, ok, acabamento não é muito bom, peça de dano recebido, a embalagem foi danificada e não é uma peça nova</v>
      </c>
      <c r="E746" s="29" t="str">
        <f>IFERROR(__xludf.DUMMYFUNCTION("GOOGLETRANSLATE(C746, ""en"", ""pt-br"")"),"A qualidade do material não é tão boa. Se cair, então ele se quebrará facilmente, mas no geral é fácil de usar e a velocidade das portas é rápida., A qualidade da fabricação é bastante ruim. Mesmo um pequeno movimento pode fazer com que o segundo disposit"&amp;"ivo seja desconectado da porta USB, o que não é de todo forte., É barato em vários níveis, primeiro anúncio em mais de tudo é o dinheiro e, mais importante, a qualidade. Usei -o por 2 semanas e o invólucro saiu e eu não consigo clicar de volta no lugar, e"&amp;"le funciona (por enquanto), então estou apenas esperando que ele morra agora. Mas, para 180 rúpias, o que mais podemos esperar. O comprimento do cabo de cerca de 1,25 a 1,5 pés é bom. As portas USB funcionam bem. O único ponto negativo que é flagrante é o"&amp;" acabamento ruim. No entanto, para o preço, uma boa compra, https: //m.media-amazon.com/images/i/719wdero76l._sy88.jpg,packaging foi danificada, parece ser um que alguém usou e devolveu este item.")</f>
        <v>A qualidade do material não é tão boa. Se cair, então ele se quebrará facilmente, mas no geral é fácil de usar e a velocidade das portas é rápida., A qualidade da fabricação é bastante ruim. Mesmo um pequeno movimento pode fazer com que o segundo dispositivo seja desconectado da porta USB, o que não é de todo forte., É barato em vários níveis, primeiro anúncio em mais de tudo é o dinheiro e, mais importante, a qualidade. Usei -o por 2 semanas e o invólucro saiu e eu não consigo clicar de volta no lugar, ele funciona (por enquanto), então estou apenas esperando que ele morra agora. Mas, para 180 rúpias, o que mais podemos esperar. O comprimento do cabo de cerca de 1,25 a 1,5 pés é bom. As portas USB funcionam bem. O único ponto negativo que é flagrante é o acabamento ruim. No entanto, para o preço, uma boa compra, https: //m.media-amazon.com/images/i/719wdero76l._sy88.jpg,packaging foi danificada, parece ser um que alguém usou e devolveu este item.</v>
      </c>
    </row>
    <row r="747">
      <c r="A747" s="9" t="s">
        <v>2945</v>
      </c>
      <c r="B747" s="29" t="str">
        <f>VLOOKUP(dados!A747, reviews!A:G, 5, FALSE)</f>
        <v>nice product,Great watch,Ok ok,Nice 👍,Thik thak,Avarage,Smart watch,They can improve more</v>
      </c>
      <c r="C747" s="29" t="str">
        <f>VLOOKUP(dados!A747, reviews!A:G, 6, FALSE)</f>
        <v>I really like this product. Gifted to my sister, and she likes it,Great ⌚,Good product,Nice 👍,Thik hai,In this price range it's ok product,Color so nice..I loved it,Need some more features:(</v>
      </c>
      <c r="D747" s="29" t="str">
        <f>IFERROR(__xludf.DUMMYFUNCTION("GOOGLETRANSLATE(B747, ""en"", ""pt-br"")"),"bom produto, ótimo relógio, ok ok, bom 👍, thik thak, avarage, relógio inteligente, eles podem melhorar mais")</f>
        <v>bom produto, ótimo relógio, ok ok, bom 👍, thik thak, avarage, relógio inteligente, eles podem melhorar mais</v>
      </c>
      <c r="E747" s="29" t="str">
        <f>IFERROR(__xludf.DUMMYFUNCTION("GOOGLETRANSLATE(C747, ""en"", ""pt-br"")"),"Eu realmente gosto deste produto. Dotado para minha irmã, e ela gosta, ótima ⌚, bom produto, bom 👍, thik hai, nessa faixa de preço, tudo bem, cor, cor tão legal ... eu adorei, preciso de mais alguns recursos :(")</f>
        <v>Eu realmente gosto deste produto. Dotado para minha irmã, e ela gosta, ótima ⌚, bom produto, bom 👍, thik hai, nessa faixa de preço, tudo bem, cor, cor tão legal ... eu adorei, preciso de mais alguns recursos :(</v>
      </c>
    </row>
    <row r="748">
      <c r="A748" s="9" t="s">
        <v>2949</v>
      </c>
      <c r="B748" s="29" t="str">
        <f>VLOOKUP(dados!A748, reviews!A:G, 5, FALSE)</f>
        <v>Dissapointed in the microphone,Overall Good product in budget,don't buy for calling purpose..,Gets the job done,Good,Value for money,One side stopped working in 2 months,Very average sounding earphones</v>
      </c>
      <c r="C748" s="29" t="str">
        <f>VLOOKUP(dados!A748, reviews!A:G, 6, FALSE)</f>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v>
      </c>
      <c r="D748" s="29" t="str">
        <f>IFERROR(__xludf.DUMMYFUNCTION("GOOGLETRANSLATE(B748, ""en"", ""pt-br"")"),"Desapontado no microfone, um bom produto geral em orçamento, não compre para fins de chamadas., Faz o trabalho, bom, valor ao dinheiro, um lado parou de trabalhar em 2 meses, fones de ouvido com um som muito médio")</f>
        <v>Desapontado no microfone, um bom produto geral em orçamento, não compre para fins de chamadas., Faz o trabalho, bom, valor ao dinheiro, um lado parou de trabalhar em 2 meses, fones de ouvido com um som muito médio</v>
      </c>
      <c r="E748" s="29" t="str">
        <f>IFERROR(__xludf.DUMMYFUNCTION("GOOGLETRANSLATE(C748, ""en"", ""pt-br"")"),"Desapontado no microfone, 4/5, não compre para fins de chamadas. Voz não entregue corretamente para ouvir o outro lado. Tipo C como meu telefone agora vem sem um jack de 3,5 mm tristemente. (Pixel 6A). Mercados indígenas informados não tem muito orçamento"&amp;" de fones de ouvido USB C, pois é extremamente limitado em disponibilidade, então minha pesquisa foi reduzida a este. : bastante bom. Não tive muitas reclamações do outro lado durante telefonemas. Testado ao andar de bicicleta também, houve alguns ruídos "&amp;"de vento. Mas ainda faz o trabalho.+ Botões: funciona bem. Até agora não notaram nenhum número. A qualidade do som é abafada se o volume aumentado acima de 70%.- Bass não for tão bom. Está lá, você pode sentir isso, mas não é adequado e desgasta se o volu"&amp;"me aumentar. PLS use o seu aplicativo EQ (aplicativo Poweramp Equalizer, no meu caso) para ajustar as configurações para ser notado em seus graves. (Fica um pouco melhor se ajustado com um aplicativo EQ) .- Causa dor nos ouvidos, se usada continuamente.//"&amp;"frija você está procurando um orçamento decente do USB C ouvido principalmente para ligar, depois vá com este. Funciona bem para as chamadas de voz //, é bom não é adequado, acho que este é o melhor fone de ouvido do tipo C para esse segmento de preços. Q"&amp;"ualidade de som, baixo, qualidade meticular está pouco acima da média, portanto, para Rs.549 (azul), podemos definitivamente comprar sem pensar., Funcionou bem nos primeiros dois meses. Agora, apenas um lado está funcionando., Comprei para usar com o meu "&amp;"Samsung S7 Plus, que não possui nenhum fone de ouvido. Os fones de ouvido Bluetooth funcionam, mas quando estou na cama do meu lado, eles têm ""toque acidental"" com o travesseiro ou em algum lugar. Então, eu comprei esses fones de ouvido com fio USB-C. E"&amp;"les trabalham com minha guia, o que é uma boa notícia. Mas a qualidade do áudio é média. Parece minúsculo como fones de ouvido de 100rs. Talvez isso seja esperado, porque esses fones de ouvido são baratos. Então, acabei não usando -os com muita frequência"&amp;".")</f>
        <v>Desapontado no microfone, 4/5, não compre para fins de chamadas. Voz não entregue corretamente para ouvir o outro lado. Tipo C como meu telefone agora vem sem um jack de 3,5 mm tristemente. (Pixel 6A). Mercados indígenas informados não tem muito orçamento de fones de ouvido USB C, pois é extremamente limitado em disponibilidade, então minha pesquisa foi reduzida a este. : bastante bom. Não tive muitas reclamações do outro lado durante telefonemas. Testado ao andar de bicicleta também, houve alguns ruídos de vento. Mas ainda faz o trabalho.+ Botões: funciona bem. Até agora não notaram nenhum número. A qualidade do som é abafada se o volume aumentado acima de 70%.- Bass não for tão bom. Está lá, você pode sentir isso, mas não é adequado e desgasta se o volume aumentar. PLS use o seu aplicativo EQ (aplicativo Poweramp Equalizer, no meu caso) para ajustar as configurações para ser notado em seus graves. (Fica um pouco melhor se ajustado com um aplicativo EQ) .- Causa dor nos ouvidos, se usada continuamente.//frija você está procurando um orçamento decente do USB C ouvido principalmente para ligar, depois vá com este. Funciona bem para as chamadas de voz //, é bom não é adequado, acho que este é o melhor fone de ouvido do tipo C para esse segmento de preços. Qualidade de som, baixo, qualidade meticular está pouco acima da média, portanto, para Rs.549 (azul), podemos definitivamente comprar sem pensar., Funcionou bem nos primeiros dois meses. Agora, apenas um lado está funcionando., Comprei para usar com o meu Samsung S7 Plus, que não possui nenhum fone de ouvido. Os fones de ouvido Bluetooth funcionam, mas quando estou na cama do meu lado, eles têm "toque acidental" com o travesseiro ou em algum lugar. Então, eu comprei esses fones de ouvido com fio USB-C. Eles trabalham com minha guia, o que é uma boa notícia. Mas a qualidade do áudio é média. Parece minúsculo como fones de ouvido de 100rs. Talvez isso seja esperado, porque esses fones de ouvido são baratos. Então, acabei não usando -os com muita frequência.</v>
      </c>
    </row>
    <row r="749">
      <c r="A749" s="9" t="s">
        <v>2953</v>
      </c>
      <c r="B749" s="29" t="str">
        <f>VLOOKUP(dados!A749, reviews!A:G, 5, FALSE)</f>
        <v>Very good mouse Under 500,pretty good gaming mouse,very good in this budget,Really comfortable,good mouse just plug and play,Good enough,Best budget gaming mouse,Too big too hold, but you will get around it.</v>
      </c>
      <c r="C749" s="29" t="str">
        <f>VLOOKUP(dados!A749, reviews!A:G, 6, FALSE)</f>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v>
      </c>
      <c r="D749" s="29" t="str">
        <f>IFERROR(__xludf.DUMMYFUNCTION("GOOGLETRANSLATE(B749, ""en"", ""pt-br"")"),"Mouse muito bom com menos de 500 anos, um bom mouse de jogos, muito bom nesse orçamento, muito confortável, bom mouse, basta plug e jogar, bom o suficiente, o melhor mouse de jogos orçamentários, muito grande, mas você vai contornar isso.")</f>
        <v>Mouse muito bom com menos de 500 anos, um bom mouse de jogos, muito bom nesse orçamento, muito confortável, bom mouse, basta plug e jogar, bom o suficiente, o melhor mouse de jogos orçamentários, muito grande, mas você vai contornar isso.</v>
      </c>
      <c r="E749" s="29" t="str">
        <f>IFERROR(__xludf.DUMMYFUNCTION("GOOGLETRANSLATE(C749, ""en"", ""pt-br"")"),"Eu uso este mouse há 2 meses e este é o melhor mouse com menos de 500. O mouse tem as coisas básicas de jogos como botões extras DPI Configurações, mas o principal é o software como você pode personalizar muito neste mouse, o RGB é totalmente personalizáv"&amp;"el, você pode definir muitas macros que você pode renovar as chaves e também alterar os valores do DPI. Esses recursos geralmente vêm em mouses gamãs caros, mas isso é muito bom para isso barato. O design também é muito bom e uma coisa que você deve obser"&amp;"var antes de comprar é que esse mouse é grande como se fosse grande como minha mão, então se você ficou pequeno Mãos, você deve pensar duas vezes, mas isso não afeta tanto que eu peguei o jeito em uma semana. Não vem com garantia, então isso é um golpe. M"&amp;"as uma parte disso, tudo é tão bom. Eles não são à deriva. O RGB é muito bom, use esse mouse há cerca de 3 meses e ainda está intacto, sem problemas com a roda de rolagem ou o botão lateral, o software fornecido pelo Redgear também é muito bom e tem muito"&amp;"s recursos. Eu usei principalmente este mouse para jogos de FPS Como (CSGO, Valorant, Overwatch), mas os botões laterais também ajudam a construir na edição de Fortniteonly é a qualidade da construção, algum partido se sente meio que perde, é meu primeiro"&amp;" mouse de jogos, mas caramba é tão bom. A aderência é perfeita e o DPI também é bom nesse intervalo, você o obtém se você o obtiver sob rúpias 500., sem palavras. Apenas excelente. Precisão de primeira qualidade. Sentir -se enquanto está em Hande é incrív"&amp;"el. Parece muito grande na mão. Muito confortável para segurar por muito tempo. O design é muito bom., Bom mouse adora ... mouse decente com preço Ecent .., se você está comprando esse mouse exclusivamente para jogos, não porque a taxa de votação não seja"&amp;" diferente de dizer que um mouse barato que você vê No trabalho (a taxa de pesquisa exata deste mouse é de 125Hz, o que é muito baixo se você quiser mirar preciso em competitivo). Mas o recurso redentor pode ser a aparência. O RGB parece legal (mas você n"&amp;"ão pode usar apenas uma única cor). Parece ótimo na mão, mas meu polegar precisa recuar muito para pressionar o botão do lado inferior, mas isso pode ser atribuído ao meu polegar longo. Os cabos também trançam, então é isso! Veredicto: Grande valor é que "&amp;"você pode obtê -lo por cerca de Rs. 400 Considerando sua aparência e outros recursos sutis. ,, Um mouse fino pelo que vale a pena.")</f>
        <v>Eu uso este mouse há 2 meses e este é o melhor mouse com menos de 500. O mouse tem as coisas básicas de jogos como botões extras DPI Configurações, mas o principal é o software como você pode personalizar muito neste mouse, o RGB é totalmente personalizável, você pode definir muitas macros que você pode renovar as chaves e também alterar os valores do DPI. Esses recursos geralmente vêm em mouses gamãs caros, mas isso é muito bom para isso barato. O design também é muito bom e uma coisa que você deve observar antes de comprar é que esse mouse é grande como se fosse grande como minha mão, então se você ficou pequeno Mãos, você deve pensar duas vezes, mas isso não afeta tanto que eu peguei o jeito em uma semana. Não vem com garantia, então isso é um golpe. Mas uma parte disso, tudo é tão bom. Eles não são à deriva. O RGB é muito bom, use esse mouse há cerca de 3 meses e ainda está intacto, sem problemas com a roda de rolagem ou o botão lateral, o software fornecido pelo Redgear também é muito bom e tem muitos recursos. Eu usei principalmente este mouse para jogos de FPS Como (CSGO, Valorant, Overwatch), mas os botões laterais também ajudam a construir na edição de Fortniteonly é a qualidade da construção, algum partido se sente meio que perde, é meu primeiro mouse de jogos, mas caramba é tão bom. A aderência é perfeita e o DPI também é bom nesse intervalo, você o obtém se você o obtiver sob rúpias 500., sem palavras. Apenas excelente. Precisão de primeira qualidade. Sentir -se enquanto está em Hande é incrível. Parece muito grande na mão. Muito confortável para segurar por muito tempo. O design é muito bom., Bom mouse adora ... mouse decente com preço Ecent .., se você está comprando esse mouse exclusivamente para jogos, não porque a taxa de votação não seja diferente de dizer que um mouse barato que você vê No trabalho (a taxa de pesquisa exata deste mouse é de 125Hz, o que é muito baixo se você quiser mirar preciso em competitivo). Mas o recurso redentor pode ser a aparência. O RGB parece legal (mas você não pode usar apenas uma única cor). Parece ótimo na mão, mas meu polegar precisa recuar muito para pressionar o botão do lado inferior, mas isso pode ser atribuído ao meu polegar longo. Os cabos também trançam, então é isso! Veredicto: Grande valor é que você pode obtê -lo por cerca de Rs. 400 Considerando sua aparência e outros recursos sutis. ,, Um mouse fino pelo que vale a pena.</v>
      </c>
    </row>
    <row r="750">
      <c r="A750" s="9" t="s">
        <v>2957</v>
      </c>
      <c r="B750" s="29" t="str">
        <f>VLOOKUP(dados!A750, reviews!A:G, 5, FALSE)</f>
        <v>It's just good !,Good for WFH,Works according to needs,Great product for beginners,Good for beginners,Very nice product,Ambiance sound capture,JBL mic is best for Biginaers</v>
      </c>
      <c r="C750" s="29" t="str">
        <f>VLOOKUP(dados!A750, reviews!A:G, 6, FALSE)</f>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v>
      </c>
      <c r="D750" s="29" t="str">
        <f>IFERROR(__xludf.DUMMYFUNCTION("GOOGLETRANSLATE(B750, ""en"", ""pt-br"")"),"É bom!, Bom para WFH, trabalha de acordo com as necessidades, ótimo produto para iniciantes, bom para iniciantes, produto muito bom, captura de som do ambiente, o microfone JBL é o melhor para os bigamines")</f>
        <v>É bom!, Bom para WFH, trabalha de acordo com as necessidades, ótimo produto para iniciantes, bom para iniciantes, produto muito bom, captura de som do ambiente, o microfone JBL é o melhor para os bigamines</v>
      </c>
      <c r="E750" s="29" t="str">
        <f>IFERROR(__xludf.DUMMYFUNCTION("GOOGLETRANSLATE(C750, ""en"", ""pt-br"")"),"É bom para iniciantes que você pode iniciar seu trabalho usando este, o problema de cancelamento de ruído que você pode enfrentar enquanto usa isso e algum tempo de conectividade também pode enfrentar porque é seu jack de 3,5 mm, não está funcionando bem "&amp;"em algum momento .... No geral, está tudo bem Este preço. ,, som de boa qualidade .. melhor que o microfone telefônico. Ele tem um tom profundo, em vez de em áudio de som comprimido do microfone de smartphone. Funciona com minha Nikon Z50., Ótimo produto "&amp;"para iniciantes, como o produto, funciona bem a esse preço, bom, soa bom, mas capture o som do ambiente não deduzir o som do ambiente, estou muito impressionado com este produto.")</f>
        <v>É bom para iniciantes que você pode iniciar seu trabalho usando este, o problema de cancelamento de ruído que você pode enfrentar enquanto usa isso e algum tempo de conectividade também pode enfrentar porque é seu jack de 3,5 mm, não está funcionando bem em algum momento .... No geral, está tudo bem Este preço. ,, som de boa qualidade .. melhor que o microfone telefônico. Ele tem um tom profundo, em vez de em áudio de som comprimido do microfone de smartphone. Funciona com minha Nikon Z50., Ótimo produto para iniciantes, como o produto, funciona bem a esse preço, bom, soa bom, mas capture o som do ambiente não deduzir o som do ambiente, estou muito impressionado com este produto.</v>
      </c>
    </row>
    <row r="751">
      <c r="A751" s="9" t="s">
        <v>2964</v>
      </c>
      <c r="B751" s="29" t="str">
        <f>VLOOKUP(dados!A751, reviews!A:G, 5, FALSE)</f>
        <v>Overall Watch Review,Descent  looking, perfect working smart watch,There is a bit of snag in wake up mode,Battery is not good only one day it will come,Beginner friendly apple clone watch,elegant look,You can go for it!!,Nice product but the touchscreen and app could have been better</v>
      </c>
      <c r="C751" s="29" t="str">
        <f>VLOOKUP(dados!A751, reviews!A:G, 6, FALSE)</f>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don’t expect great touch sensitivity,Found good and product finishing and features are super,The product is good with good battery life,Nice product but the touchscreen and app could have been better</v>
      </c>
      <c r="D751" s="29" t="str">
        <f>IFERROR(__xludf.DUMMYFUNCTION("GOOGLETRANSLATE(B751, ""en"", ""pt-br"")"),"Revisão do relógio geral, descendência, relógio inteligente perfeito, há um pouco de obstáculo no modo de despertar, a bateria não é boa apenas um dia virá, o relógio de clone de maçã para iniciantes, um visual elegante, você pode fazer isso !! , Bom prod"&amp;"uto, mas a tela sensível ao toque e o aplicativo poderiam ter sido melhores")</f>
        <v>Revisão do relógio geral, descendência, relógio inteligente perfeito, há um pouco de obstáculo no modo de despertar, a bateria não é boa apenas um dia virá, o relógio de clone de maçã para iniciantes, um visual elegante, você pode fazer isso !! , Bom produto, mas a tela sensível ao toque e o aplicativo poderiam ter sido melhores</v>
      </c>
      <c r="E751" s="29" t="str">
        <f>IFERROR(__xludf.DUMMYFUNCTION("GOOGLETRANSLATE(C751, ""en"", ""pt-br"")"),"Ótimo relógio, boas características. Fácil e simples de usar. Observar o rosto é bom. A duração da bateria é decente. Dura 4 dias. Os sensores funcionam bem. Controles e exibição suaves são brilhantes. A única questão é que, depois que o relógio entrou em"&amp;" contato com a água, ele começou a funcionar mal. O botão liga / desliga não está funcionando, a chamada Bluetooth não funciona e a bateria é rapidamente drenada, apesar de ter tido o Bluetooth., Comprei recentemente este produto e não fiquei tão feliz e "&amp;"não preocupado. Conforme anunciado, este relógio inteligente atende a seu objetivo. Tamanho de descida e peso médio sempre. Em vez de pressionar o botão, deveria ter dado toque para acordar. Pode fornecer mais uma opção, como encontrar telefone e encontra"&amp;"r um relógio inteligente ..., o produto vale bem a pena o dinheiro ... há um pouco de obstáculo no modo de despertar enquanto move as mãos .. Leva tempo para na tela automaticamente. Substitua bom desempenho, backup de bateria não é o pior relógio, apenas"&amp;" 1 dia, ele chegará se você cobrar 100%...., comprou 3 meses atrás, trabalhando bem, a qualidade da chamada é boa, não espere Grande sensibilidade ao toque, encontrado e acabamentos e recursos bons e super, o produto é bom com boa duração da bateria, bom "&amp;"produto, mas a tela sensível ao toque e o aplicativo poderiam ter sido melhores")</f>
        <v>Ótimo relógio, boas características. Fácil e simples de usar. Observar o rosto é bom. A duração da bateria é decente. Dura 4 dias. Os sensores funcionam bem. Controles e exibição suaves são brilhantes. A única questão é que, depois que o relógio entrou em contato com a água, ele começou a funcionar mal. O botão liga / desliga não está funcionando, a chamada Bluetooth não funciona e a bateria é rapidamente drenada, apesar de ter tido o Bluetooth., Comprei recentemente este produto e não fiquei tão feliz e não preocupado. Conforme anunciado, este relógio inteligente atende a seu objetivo. Tamanho de descida e peso médio sempre. Em vez de pressionar o botão, deveria ter dado toque para acordar. Pode fornecer mais uma opção, como encontrar telefone e encontrar um relógio inteligente ..., o produto vale bem a pena o dinheiro ... há um pouco de obstáculo no modo de despertar enquanto move as mãos .. Leva tempo para na tela automaticamente. Substitua bom desempenho, backup de bateria não é o pior relógio, apenas 1 dia, ele chegará se você cobrar 100%...., comprou 3 meses atrás, trabalhando bem, a qualidade da chamada é boa, não espere Grande sensibilidade ao toque, encontrado e acabamentos e recursos bons e super, o produto é bom com boa duração da bateria, bom produto, mas a tela sensível ao toque e o aplicativo poderiam ter sido melhores</v>
      </c>
    </row>
    <row r="752">
      <c r="A752" s="9" t="s">
        <v>2968</v>
      </c>
      <c r="B752" s="29" t="str">
        <f>VLOOKUP(dados!A752, reviews!A:G, 5, FALSE)</f>
        <v>Nice .,very good batteries received,Longtevity,Good product, Good seller,Reasonable pricing,I liked the package and product is very good,Good,Value for money</v>
      </c>
      <c r="C752" s="29" t="str">
        <f>VLOOKUP(dados!A752, reviews!A:G, 6, FALSE)</f>
        <v>Nive,very good batteries received,Like,Good product, Good seller,Durable life,Great productAnd good packageNo damage,Good,Value for money. Delivered timely. Go for it.</v>
      </c>
      <c r="D752" s="29" t="str">
        <f>IFERROR(__xludf.DUMMYFUNCTION("GOOGLETRANSLATE(B752, ""en"", ""pt-br"")"),"Bom., Baterias muito boas recebidas, longtevity, bom produto, bom vendedor, preços razoáveis, gostei do pacote e do produto é muito bom, bom, valor ao dinheiro")</f>
        <v>Bom., Baterias muito boas recebidas, longtevity, bom produto, bom vendedor, preços razoáveis, gostei do pacote e do produto é muito bom, bom, valor ao dinheiro</v>
      </c>
      <c r="E752" s="29" t="str">
        <f>IFERROR(__xludf.DUMMYFUNCTION("GOOGLETRANSLATE(C752, ""en"", ""pt-br"")"),"Nive, baterias muito boas recebidas, como, bom produto, bom vendedor, vida durável, ótimos produtos e bons danos packageno, boa, valor ao dinheiro. Entregue em tempo hábil. Vá em frente.")</f>
        <v>Nive, baterias muito boas recebidas, como, bom produto, bom vendedor, vida durável, ótimos produtos e bons danos packageno, boa, valor ao dinheiro. Entregue em tempo hábil. Vá em frente.</v>
      </c>
    </row>
    <row r="753">
      <c r="A753" s="9" t="s">
        <v>2972</v>
      </c>
      <c r="B753" s="29" t="str">
        <f>VLOOKUP(dados!A753, reviews!A:G, 5, FALSE)</f>
        <v>Good quality product, Best suitable storage for 4k videos,Perfect for nintendo switch oled,Best in the segmet...,Expensive,Product Is Good,Good,The delivered one was 90Mbps write property,Nice Write Speed But Read Speed Is not that much is giv..Read Speed goes to 90mbps Write 80to90mbps</v>
      </c>
      <c r="C753" s="29" t="str">
        <f>VLOOKUP(dados!A753, reviews!A:G, 6, FALSE)</f>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v>
      </c>
      <c r="D753" s="29" t="str">
        <f>IFERROR(__xludf.DUMMYFUNCTION("GOOGLETRANSLATE(B753, ""en"", ""pt-br"")"),"Produto de boa qualidade, melhor armazenamento adequado para vídeos em 4K, perfeito para nintendo switch OLED, melhor no segmet ..., caro, produto é bom, bom, o entregue foi entregue a 90 Mbps, uma boa velocidade de gravação, mas a velocidade de leitura n"&amp;"ão é que Muito é dar ... a velocidade de leitura vai para 90 Mbps, escreva 80to90Mbps")</f>
        <v>Produto de boa qualidade, melhor armazenamento adequado para vídeos em 4K, perfeito para nintendo switch OLED, melhor no segmet ..., caro, produto é bom, bom, o entregue foi entregue a 90 Mbps, uma boa velocidade de gravação, mas a velocidade de leitura não é que Muito é dar ... a velocidade de leitura vai para 90 Mbps, escreva 80to90Mbps</v>
      </c>
      <c r="E753" s="29" t="str">
        <f>IFERROR(__xludf.DUMMYFUNCTION("GOOGLETRANSLATE(C753, ""en"", ""pt-br"")"),"Produto de boa qualidade, melhor tamanho adequado para câmeras de vídeo de boa qualidade, como câmera de ação, mas não gostou de vendedores embalagens, ele não fez nenhum esforço para embalar simplesmente escolhido pelo armazenamento e caído na bolsa da A"&amp;"mazon e, em seguida, enviar para entrega pode danificar o produto em transporte muito irresponsável vendedor irresponsável Eu tive que procurá -lo instantaneamente no dispositivo para danos, mas estava funcionando bem e o cartão de memória era de muito bo"&amp;"a qualidade, se você deseja expandir a memória do seu Nintendi Switch OLED, essas são as melhores e baratas opções disponíveis. A instalação é bastante fácil. Vai além de 90 Mbps, mas a velocidade de gravação às vezes atinge o pico a 120 Mbps ... Eu tenho"&amp;" esse cartão de memória apenas para fins de velocidade de leitura não para a velocidade de escrita ... porque não vou usar isso em nenhuma câmera de ação ou DSLR ... apenas para Celular que precisa pelo menos 150 Mbps para desempenho suave ... Estou total"&amp;"mente decepcionado para o meu propósito, mas satisfeito ... de acordo com o preço ... então minha conclusão se você estiver procurando um cartão de memória para gravação 4K/8K, você certamente pode ir Para isso ... eu, caso de você, você está comprando pa"&amp;"ra ver sua velocidade de leitura e também para celular, não seria uma opção melhor ..., produto caro, bom, bom cartão de memória, o entregue era uma propriedade de gravação de 90 Mbps, eu era Esperando propriedade de gravação de 190 Mbps, 119 GB de armaze"&amp;"namento de 128 GB. Por que? A resposta depende do sistema operacional. Alguns telefones levam 1000MB = 1 GBSOMOME Phone Tomar 1024MB = 1 GBexample Mi O telefone mostrará 128 GB Butsamsung mostrará apenas 119 GB. ou 1024Mbwhile")</f>
        <v>Produto de boa qualidade, melhor tamanho adequado para câmeras de vídeo de boa qualidade, como câmera de ação, mas não gostou de vendedores embalagens, ele não fez nenhum esforço para embalar simplesmente escolhido pelo armazenamento e caído na bolsa da Amazon e, em seguida, enviar para entrega pode danificar o produto em transporte muito irresponsável vendedor irresponsável Eu tive que procurá -lo instantaneamente no dispositivo para danos, mas estava funcionando bem e o cartão de memória era de muito boa qualidade, se você deseja expandir a memória do seu Nintendi Switch OLED, essas são as melhores e baratas opções disponíveis. A instalação é bastante fácil. Vai além de 90 Mbps, mas a velocidade de gravação às vezes atinge o pico a 120 Mbps ... Eu tenho esse cartão de memória apenas para fins de velocidade de leitura não para a velocidade de escrita ... porque não vou usar isso em nenhuma câmera de ação ou DSLR ... apenas para Celular que precisa pelo menos 150 Mbps para desempenho suave ... Estou totalmente decepcionado para o meu propósito, mas satisfeito ... de acordo com o preço ... então minha conclusão se você estiver procurando um cartão de memória para gravação 4K/8K, você certamente pode ir Para isso ... eu, caso de você, você está comprando para ver sua velocidade de leitura e também para celular, não seria uma opção melhor ..., produto caro, bom, bom cartão de memória, o entregue era uma propriedade de gravação de 90 Mbps, eu era Esperando propriedade de gravação de 190 Mbps, 119 GB de armazenamento de 128 GB. Por que? A resposta depende do sistema operacional. Alguns telefones levam 1000MB = 1 GBSOMOME Phone Tomar 1024MB = 1 GBexample Mi O telefone mostrará 128 GB Butsamsung mostrará apenas 119 GB. ou 1024Mbwhile</v>
      </c>
    </row>
    <row r="754">
      <c r="A754" s="9" t="s">
        <v>2976</v>
      </c>
      <c r="B754" s="29" t="str">
        <f>VLOOKUP(dados!A754, reviews!A:G, 5, FALSE)</f>
        <v>Value For Money But....,Compact and Budget friendly,Average,Nice product,Premium build but hoped it had more USB3.0,Decent product,Very useful for Mac users,Works fine with Macbook air M2</v>
      </c>
      <c r="C754" s="29" t="str">
        <f>VLOOKUP(dados!A754, reviews!A:G, 6, FALSE)</f>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🙂,nice way to use usb-a devices on macbook air m2 in a cheap price</v>
      </c>
      <c r="D754" s="29" t="str">
        <f>IFERROR(__xludf.DUMMYFUNCTION("GOOGLETRANSLATE(B754, ""en"", ""pt-br"")"),"Valor pelo dinheiro, mas ...., compacto e amigável, médio, bom produto, construção premium, mas esperava que ele tivesse mais USB3.0, produto decente, muito útil para usuários de Mac, funciona bem com o MacBook Air M2")</f>
        <v>Valor pelo dinheiro, mas ...., compacto e amigável, médio, bom produto, construção premium, mas esperava que ele tivesse mais USB3.0, produto decente, muito útil para usuários de Mac, funciona bem com o MacBook Air M2</v>
      </c>
      <c r="E754" s="29" t="str">
        <f>IFERROR(__xludf.DUMMYFUNCTION("GOOGLETRANSLATE(C754, ""en"", ""pt-br"")"),"É muito bom. A qualidade do produto é decente, mas o único problema que eu estou enfrentando é que é incompatível com meu tablet e meu telefone celular. Se fosse compatível, seria ótimo e, às vezes, continua se desconectando do dispositivo. Não sei se é o"&amp;" meu dispositivo ou o produto, de qualquer maneira, é um bom produto ter o tempo todo., Conectar o pino foi um pouco apertado para inserir no meu MacBook. Consegui -lo para 399 desta marca é o que me fez pedir isso. Vá em frente se você trabalhar apenas c"&amp;"om dispositivos USB. Você pode acessar 4 dispositivos de cada vez, mas não tem certeza da velocidade enquanto Switchinf as Windows. Por enquanto, não há problema em navegar nos arquivos quando uma unidade de caneta está conectada., A porta USB não é fácil"&amp;" de conectar. Quando conectado ao laptop, é difícil removê-lo sem problemas., Serviu o objetivo e entregue como comercializado, comprei-o por ₹ 451 sobreall &amp; 3 USB 2.0 (Frente 3)- Meu SSD deu 330 MB/s de leitura/gravação (SEQ) na porta 3.0 (menos para le"&amp;"itura aleatória)- O mesmo SSD deu 50ish (max) MB/s de leitura/gravação (SEQ ) No 2.0 Porteven, para mim, está tudo bem, eles poderiam ter nos fornecido portas mais de alta velocidade (3.0), o cordão é muito curto e o preço muito alto!, Comprei isso para u"&amp;"sar para conectar mouse e teclado ao meu MacBook e tem usado isso nos últimos 6 meses. Antes de comprar isso, olhei para vários produtos em várias faixas de preço. Por fim, escolheu este produto, pois oferece a garantia da marca e é muito mais barato em c"&amp;"omparação com itens semelhantes de outras marcas confiáveis. Até agora, trabalhando muito bem 🙂, boa maneira de usar dispositivos USB-A no MacBook Air M2 em um preço barato")</f>
        <v>É muito bom. A qualidade do produto é decente, mas o único problema que eu estou enfrentando é que é incompatível com meu tablet e meu telefone celular. Se fosse compatível, seria ótimo e, às vezes, continua se desconectando do dispositivo. Não sei se é o meu dispositivo ou o produto, de qualquer maneira, é um bom produto ter o tempo todo., Conectar o pino foi um pouco apertado para inserir no meu MacBook. Consegui -lo para 399 desta marca é o que me fez pedir isso. Vá em frente se você trabalhar apenas com dispositivos USB. Você pode acessar 4 dispositivos de cada vez, mas não tem certeza da velocidade enquanto Switchinf as Windows. Por enquanto, não há problema em navegar nos arquivos quando uma unidade de caneta está conectada., A porta USB não é fácil de conectar. Quando conectado ao laptop, é difícil removê-lo sem problemas., Serviu o objetivo e entregue como comercializado, comprei-o por ₹ 451 sobreall &amp; 3 USB 2.0 (Frente 3)- Meu SSD deu 330 MB/s de leitura/gravação (SEQ) na porta 3.0 (menos para leitura aleatória)- O mesmo SSD deu 50ish (max) MB/s de leitura/gravação (SEQ ) No 2.0 Porteven, para mim, está tudo bem, eles poderiam ter nos fornecido portas mais de alta velocidade (3.0), o cordão é muito curto e o preço muito alto!, Comprei isso para usar para conectar mouse e teclado ao meu MacBook e tem usado isso nos últimos 6 meses. Antes de comprar isso, olhei para vários produtos em várias faixas de preço. Por fim, escolheu este produto, pois oferece a garantia da marca e é muito mais barato em comparação com itens semelhantes de outras marcas confiáveis. Até agora, trabalhando muito bem 🙂, boa maneira de usar dispositivos USB-A no MacBook Air M2 em um preço barato</v>
      </c>
    </row>
    <row r="755">
      <c r="A755" s="9" t="s">
        <v>2980</v>
      </c>
      <c r="B755" s="29" t="str">
        <f>VLOOKUP(dados!A755, reviews!A:G, 5, FALSE)</f>
        <v>Best Speaker at low price,Good quality,Very small compared to price.,Pocket dynamite,Cute one,LOUD AND GOOD BLUETOOTH SPEAKER,Portable and good one,Superb yet portable speaker</v>
      </c>
      <c r="C755" s="29" t="str">
        <f>VLOOKUP(dados!A755, reviews!A:G, 6, FALSE)</f>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v>
      </c>
      <c r="D755" s="29" t="str">
        <f>IFERROR(__xludf.DUMMYFUNCTION("GOOGLETRANSLATE(B755, ""en"", ""pt-br"")"),"Melhor alto -falante a preço baixo, boa qualidade, muito pequeno em comparação com preço., Dinamite de bolso, fofo, alto e bom alto -falante Bluetooth, portátil e bom, excelente e portátil alto -falante")</f>
        <v>Melhor alto -falante a preço baixo, boa qualidade, muito pequeno em comparação com preço., Dinamite de bolso, fofo, alto e bom alto -falante Bluetooth, portátil e bom, excelente e portátil alto -falante</v>
      </c>
      <c r="E755" s="29" t="str">
        <f>IFERROR(__xludf.DUMMYFUNCTION("GOOGLETRANSLATE(C755, ""en"", ""pt-br"")"),"O som do alto -falante é bom e todo o outro recurso também está no melhor. O único problema é que o backup da bateria é normalmente cerca de 5 horas, mas isso pode ser aceitável com esse preço., Pequeno, mas em todo o bom, o preço é muito alto para este p"&amp;"roduto, mas a qualidade do som é boa, é como uma dinamite de bolso. ,, alto E bom alto -falante Bluetooth, 1. Pequeno como Big Lemon2. O Bluetooth é FLAKY3. Funciona para chamadas, mas novamente o Bluetooth corta ligeiramente o Off4. O Audio Out é o OKI s"&amp;"ugerir que vá para o próximo modelo na categoria. Mas isso é bom para o seu preço, um dos melhores oradores que já comprei. Parece pequeno em tamanho, mas o som que vem dele é claro e bom.")</f>
        <v>O som do alto -falante é bom e todo o outro recurso também está no melhor. O único problema é que o backup da bateria é normalmente cerca de 5 horas, mas isso pode ser aceitável com esse preço., Pequeno, mas em todo o bom, o preço é muito alto para este produto, mas a qualidade do som é boa, é como uma dinamite de bolso. ,, alto E bom alto -falante Bluetooth, 1. Pequeno como Big Lemon2. O Bluetooth é FLAKY3. Funciona para chamadas, mas novamente o Bluetooth corta ligeiramente o Off4. O Audio Out é o OKI sugerir que vá para o próximo modelo na categoria. Mas isso é bom para o seu preço, um dos melhores oradores que já comprei. Parece pequeno em tamanho, mas o som que vem dele é claro e bom.</v>
      </c>
    </row>
    <row r="756">
      <c r="A756" s="9" t="s">
        <v>2986</v>
      </c>
      <c r="B756" s="29" t="str">
        <f>VLOOKUP(dados!A756, reviews!A:G, 5, FALSE)</f>
        <v>Quality is worth the price!,Good for holding,Packaging was not good,good product,Good Product,Built quality of product is excellent,Best in quality &amp; look,BEST</v>
      </c>
      <c r="C756" s="29" t="str">
        <f>VLOOKUP(dados!A756, reviews!A:G, 6, FALSE)</f>
        <v>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v>
      </c>
      <c r="D756" s="29" t="str">
        <f>IFERROR(__xludf.DUMMYFUNCTION("GOOGLETRANSLATE(B756, ""en"", ""pt-br"")"),"A qualidade vale o preço!, Bom para manter, a embalagem não foi boa, bom produto, bom produto, qualidade do produto construída é excelente, melhor em qualidade e aparência, melhor")</f>
        <v>A qualidade vale o preço!, Bom para manter, a embalagem não foi boa, bom produto, bom produto, qualidade do produto construída é excelente, melhor em qualidade e aparência, melhor</v>
      </c>
      <c r="E756" s="29" t="str">
        <f>IFERROR(__xludf.DUMMYFUNCTION("GOOGLETRANSLATE(C756, ""en"", ""pt-br"")"),"A capa aparece com boa espuma nos dois lados o suficiente para proteger o laptop. É bom, pois diz laptops de 13 polegadas. Não conheço a resistência à água, mas, exceto que é bom., Qualidade média, a qualidade do produto é boa, o valor ao dinheiro, mas a "&amp;"embalagem não era boa, eles dobraram durante a embalagem. Você pode ver Mark na imagem adicionada do produto., Um pouco maior para Mac M1, mas no geral o produto é o GoodPrice deve estar em torno de 500 máx. tem uma aparência elegante e minimalista., tem "&amp;"um lado suave de Deus por dentro e protege o Mac bem")</f>
        <v>A capa aparece com boa espuma nos dois lados o suficiente para proteger o laptop. É bom, pois diz laptops de 13 polegadas. Não conheço a resistência à água, mas, exceto que é bom., Qualidade média, a qualidade do produto é boa, o valor ao dinheiro, mas a embalagem não era boa, eles dobraram durante a embalagem. Você pode ver Mark na imagem adicionada do produto., Um pouco maior para Mac M1, mas no geral o produto é o GoodPrice deve estar em torno de 500 máx. tem uma aparência elegante e minimalista., tem um lado suave de Deus por dentro e protege o Mac bem</v>
      </c>
    </row>
    <row r="757">
      <c r="A757" s="9" t="s">
        <v>2993</v>
      </c>
      <c r="B757" s="29" t="str">
        <f>VLOOKUP(dados!A757, reviews!A:G, 5, FALSE)</f>
        <v>Worth Buying,It's a very good product at these price range go for it.,Camera SD card reader,A very handy gadget for transferring data between various devices,Product is good and working properly,Nice product,Reveewing after 3 weeks.,Use full product</v>
      </c>
      <c r="C757" s="29" t="str">
        <f>VLOOKUP(dados!A757, reviews!A:G, 6, FALSE)</f>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v>
      </c>
      <c r="D757" s="29" t="str">
        <f>IFERROR(__xludf.DUMMYFUNCTION("GOOGLETRANSLATE(B757, ""en"", ""pt-br"")"),"Vale a pena comprar, é um produto muito bom nessa faixa de preço. Produto completo")</f>
        <v>Vale a pena comprar, é um produto muito bom nessa faixa de preço. Produto completo</v>
      </c>
      <c r="E757" s="29" t="str">
        <f>IFERROR(__xludf.DUMMYFUNCTION("GOOGLETRANSLATE(C757, ""en"", ""pt-br"")"),"Eu realmente gostei do produto mais do que o esperado. É realmente fácil de usar., Eu gosto é que, nessa faixa de preço, você pode fazer isso neste é um combo de 3 e 1 onde você pode se conectar ao telefone ou no PC, laptop nessas faixa de preço, compatib"&amp;"ilidade.Value for Money , Este é um gadget que eu recomendo que todos tenham útil com eles. É realmente fácil e rápido., Recebi este produto entregue no dia 20 de dezembro e está funcionando bem como esperado. Eu pensei que também é uma melhor compra para"&amp;" ler o cartão Micro SD e o cartão SDXC, todos os tipos se o adaptador USB presente, para que você transfira dados de qualquer tipo de dispositivo, ele funcione até agora. Não sei quanto tempo vai durar., Muito fácil manuseio")</f>
        <v>Eu realmente gostei do produto mais do que o esperado. É realmente fácil de usar., Eu gosto é que, nessa faixa de preço, você pode fazer isso neste é um combo de 3 e 1 onde você pode se conectar ao telefone ou no PC, laptop nessas faixa de preço, compatibilidade.Value for Money , Este é um gadget que eu recomendo que todos tenham útil com eles. É realmente fácil e rápido., Recebi este produto entregue no dia 20 de dezembro e está funcionando bem como esperado. Eu pensei que também é uma melhor compra para ler o cartão Micro SD e o cartão SDXC, todos os tipos se o adaptador USB presente, para que você transfira dados de qualquer tipo de dispositivo, ele funcione até agora. Não sei quanto tempo vai durar., Muito fácil manuseio</v>
      </c>
    </row>
    <row r="758">
      <c r="A758" s="9" t="s">
        <v>2999</v>
      </c>
      <c r="B758" s="29" t="str">
        <f>VLOOKUP(dados!A758, reviews!A:G, 5, FALSE)</f>
        <v>Con = no bandwidth control,Setup is smooth and easy,Good coverage,as money as goods,The signal reach could be better,overall is ok,Product,Class product from TP-Link! A worthy investment.</v>
      </c>
      <c r="C758" s="29" t="str">
        <f>VLOOKUP(dados!A758, reviews!A:G, 6, FALSE)</f>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v>
      </c>
      <c r="D758" s="29" t="str">
        <f>IFERROR(__xludf.DUMMYFUNCTION("GOOGLETRANSLATE(B758, ""en"", ""pt-br"")"),"CON = nenhum controle de largura de banda, a configuração é suave e fácil, boa cobertura, como dinheiro como mercadorias, o alcance do sinal pode ser melhor, em geral é bom, produto, produto de classe do TP-Link! Um investimento digno.")</f>
        <v>CON = nenhum controle de largura de banda, a configuração é suave e fácil, boa cobertura, como dinheiro como mercadorias, o alcance do sinal pode ser melhor, em geral é bom, produto, produto de classe do TP-Link! Um investimento digno.</v>
      </c>
      <c r="E758" s="29" t="str">
        <f>IFERROR(__xludf.DUMMYFUNCTION("GOOGLETRANSLATE(C758, ""en"", ""pt-br"")"),"Não retornável, então agora usando isso como é. O controle de largura de banda é uma obrigação para essa faixa de preço. O modelo foi arqueiro C80., Grande entrega de Amaozn. Era fácil configurar como um extensor. O sinal também é bom, mas não tão bom. Po"&amp;"de cobrir 1 bem. O sinal quebra se subir no andar de cima ou para baixo. Ótima compra geral. Deve comprar, precisar de suporte um cliente um pouco melhor, bom, eu esperava um sinal muito mais forte a 10 metros de distância. Tudo bem funcionando, mas não c"&amp;"omo o esperado., TP Link é um bom produto, bom produto, decidiu comprar este roteador da TP-Link após dias de pesquisa, leitura de críticas e conversar com muitas pessoas sobre modelos diferentes. Estava em uma conexão de 20 Mbps Com um roteador N300 Netg"&amp;"ear desde 2016, que costumava ser suficiente para uso moderado até agora. No entanto, com o aumento do número de dispositivos como TV inteligente, 2 iPads e um laptop etc., exigiu uma atualização. Além disso, considerando o atual cenário de trabalho de ca"&amp;"sa que também deve continuar no futuro próximo, o uso da Internet estava sendo esticado até o limite e o roteador Netgear confiável simplesmente não conseguiu corresponder ao aumento da demanda de largura de banda. Capitalize a situação atual, nosso ISP a"&amp;"tual saiu com planos interessantes de banda larga de fibra e optamos por uma conexão de 75 Mbps. Por sua vez, precisava de um novo roteador para utilizar seu potencial ideal. Finalmente, se concentrou no TP-Link Archer C80 depois de ler algumas histórias "&amp;"de horror de outros roteadores disponíveis. Também foi tentado a comprar o AX1500, considerando que quase não há diferença de preço, mas depois encontrou algumas críticas que afirmaram que o WiFi 6 não é totalmente implementado com sucesso e pode ser um o"&amp;"bstáculo para usar com nossa gama atual de dispositivos. Amazon dentro de um dia. Marcas completas para a entrega perfeita como sempre. O Prime tem sido realmente um benefício. Instalou o roteador hoje. A instalação via aplicativo Tether foi perfeita. O I"&amp;"SP Guy ajudou no processo de assinatura do PPPOE e lançou o Mac ID, que estava vinculado ao nosso antigo roteador. Todo o processo foi feito em 10 minutos e estávamos online. As bandas duplas são realmente um benefício. Dividiram os dispositivos em casa i"&amp;"gualmente entre 2,4g e 5g, conforme o uso. Como o roteador está próximo da unidade de TV, conecte -o ao 5G e também conectado alternativamente através do cabo Ethernet (apenas no caso). Testes de velocidade: iniciados transmitindo o conteúdo de 4K simulta"&amp;"neamente em 2 dispositivos conectados a 5g. Jogado perfeitamente, mesmo com outros dispositivos como celulares etc. estar conectado. Anexou algumas fotos para referência. : Faça o download de 72,4 Mbps e upload de 74,9 MBPs.- 2,4g Velocidade na mesma sala"&amp;" que o roteador é: Download 68,3 Mbps e faça o upload de 79,2 Mbps. (Isso é bastante surpreendente, pois algumas revisões mencionadas de 50 a 55 Mbps serão o limite de 2,4g. Usado para obter um máximo de 45 Mbps download no meu antigo N300) .- Teste de ve"&amp;"locidade através do cabo Ethernet fornecido na caixa THR conectada a A TV: Faça o download de 78 Mbps e faça o upload de 75 MBPs. Não pode ter pedido mais. Isso parece ser totalmente ideal. A qualidade da construção do dispositivo é decente e as antenas p"&amp;"arecem bem o suficiente para fazer o trabalho, no entanto, teria preferido que elas fossem colocadas como outros modelos de TP-link como o arqueiro A6, por isso teria sido mais fácil para movê -los em direção preferida. As luzes LED estão um pouco estranh"&amp;"amente colocadas e não brilhantes o suficiente. Talvez eu esteja acostumado com as luzes proeminentes do meu antigo roteador. Estes são um tipo de piscar e miss e você precisa dobrar um pouco para verificar caso haja um problema. Um grande elemento que fa"&amp;"lta neste dispositivo é uma porta USB, que é absolutamente essencial na idade de hoje e que deve ser incluída para essa faixa de preço. Gostaria de saber qual é a razão por trás de dar uma falta. Eu selou as portas da LAN extra com fita para proteger de p"&amp;"oeira ou umidade. É uma boa prática. O design externo do roteador é bastante sofisticado e elegante, no entanto, estou um pouco preocupado com a acumulação de poeira no design intrincado na parte superior. Porém, funcionalmente, essa parece ser uma boa of"&amp;"erta da TP-Link. Espero que este dispositivo atenda às expectativas nos próximos dias. All-All, parece ser um investimento digno nos próximos anos, considerando uma atualização do plano da Internet, se houver. Espero que eu toquei em pontos principais que"&amp;" poderiam ajudar outros consumidores interessados ​​a fazer uma escolha. Este produto é recomendado! :)")</f>
        <v>Não retornável, então agora usando isso como é. O controle de largura de banda é uma obrigação para essa faixa de preço. O modelo foi arqueiro C80., Grande entrega de Amaozn. Era fácil configurar como um extensor. O sinal também é bom, mas não tão bom. Pode cobrir 1 bem. O sinal quebra se subir no andar de cima ou para baixo. Ótima compra geral. Deve comprar, precisar de suporte um cliente um pouco melhor, bom, eu esperava um sinal muito mais forte a 10 metros de distância. Tudo bem funcionando, mas não como o esperado., TP Link é um bom produto, bom produto, decidiu comprar este roteador da TP-Link após dias de pesquisa, leitura de críticas e conversar com muitas pessoas sobre modelos diferentes. Estava em uma conexão de 20 Mbps Com um roteador N300 Netgear desde 2016, que costumava ser suficiente para uso moderado até agora. No entanto, com o aumento do número de dispositivos como TV inteligente, 2 iPads e um laptop etc., exigiu uma atualização. Além disso, considerando o atual cenário de trabalho de casa que também deve continuar no futuro próximo, o uso da Internet estava sendo esticado até o limite e o roteador Netgear confiável simplesmente não conseguiu corresponder ao aumento da demanda de largura de banda. Capitalize a situação atual, nosso ISP atual saiu com planos interessantes de banda larga de fibra e optamos por uma conexão de 75 Mbps. Por sua vez, precisava de um novo roteador para utilizar seu potencial ideal. Finalmente, se concentrou no TP-Link Archer C80 depois de ler algumas histórias de horror de outros roteadores disponíveis. Também foi tentado a comprar o AX1500, considerando que quase não há diferença de preço, mas depois encontrou algumas críticas que afirmaram que o WiFi 6 não é totalmente implementado com sucesso e pode ser um obstáculo para usar com nossa gama atual de dispositivos. Amazon dentro de um dia. Marcas completas para a entrega perfeita como sempre. O Prime tem sido realmente um benefício. Instalou o roteador hoje. A instalação via aplicativo Tether foi perfeita. O ISP Guy ajudou no processo de assinatura do PPPOE e lançou o Mac ID, que estava vinculado ao nosso antigo roteador. Todo o processo foi feito em 10 minutos e estávamos online. As bandas duplas são realmente um benefício. Dividiram os dispositivos em casa igualmente entre 2,4g e 5g, conforme o uso. Como o roteador está próximo da unidade de TV, conecte -o ao 5G e também conectado alternativamente através do cabo Ethernet (apenas no caso). Testes de velocidade: iniciados transmitindo o conteúdo de 4K simultaneamente em 2 dispositivos conectados a 5g. Jogado perfeitamente, mesmo com outros dispositivos como celulares etc. estar conectado. Anexou algumas fotos para referência. : Faça o download de 72,4 Mbps e upload de 74,9 MBPs.- 2,4g Velocidade na mesma sala que o roteador é: Download 68,3 Mbps e faça o upload de 79,2 Mbps. (Isso é bastante surpreendente, pois algumas revisões mencionadas de 50 a 55 Mbps serão o limite de 2,4g. Usado para obter um máximo de 45 Mbps download no meu antigo N300) .- Teste de velocidade através do cabo Ethernet fornecido na caixa THR conectada a A TV: Faça o download de 78 Mbps e faça o upload de 75 MBPs. Não pode ter pedido mais. Isso parece ser totalmente ideal. A qualidade da construção do dispositivo é decente e as antenas parecem bem o suficiente para fazer o trabalho, no entanto, teria preferido que elas fossem colocadas como outros modelos de TP-link como o arqueiro A6, por isso teria sido mais fácil para movê -los em direção preferida. As luzes LED estão um pouco estranhamente colocadas e não brilhantes o suficiente. Talvez eu esteja acostumado com as luzes proeminentes do meu antigo roteador. Estes são um tipo de piscar e miss e você precisa dobrar um pouco para verificar caso haja um problema. Um grande elemento que falta neste dispositivo é uma porta USB, que é absolutamente essencial na idade de hoje e que deve ser incluída para essa faixa de preço. Gostaria de saber qual é a razão por trás de dar uma falta. Eu selou as portas da LAN extra com fita para proteger de poeira ou umidade. É uma boa prática. O design externo do roteador é bastante sofisticado e elegante, no entanto, estou um pouco preocupado com a acumulação de poeira no design intrincado na parte superior. Porém, funcionalmente, essa parece ser uma boa oferta da TP-Link. Espero que este dispositivo atenda às expectativas nos próximos dias. All-All, parece ser um investimento digno nos próximos anos, considerando uma atualização do plano da Internet, se houver. Espero que eu toquei em pontos principais que poderiam ajudar outros consumidores interessados ​​a fazer uma escolha. Este produto é recomendado! :)</v>
      </c>
    </row>
    <row r="759">
      <c r="A759" s="9" t="s">
        <v>3003</v>
      </c>
      <c r="B759" s="29" t="str">
        <f>VLOOKUP(dados!A759, reviews!A:G, 5, FALSE)</f>
        <v>Clearly makes a difference,Good,Value for money,Good material,The ink of parker is very lite,Good,Good,Very good</v>
      </c>
      <c r="C759" s="29" t="str">
        <f>VLOOKUP(dados!A759, reviews!A:G, 6, FALSE)</f>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v>
      </c>
      <c r="D759" s="29" t="str">
        <f>IFERROR(__xludf.DUMMYFUNCTION("GOOGLETRANSLATE(B759, ""en"", ""pt-br"")"),"Claramente faz a diferença, boa, valor ao dinheiro, bom material, a tinta de Parker é muito Lite, boa, boa, muito boa")</f>
        <v>Claramente faz a diferença, boa, valor ao dinheiro, bom material, a tinta de Parker é muito Lite, boa, boa, muito boa</v>
      </c>
      <c r="E759" s="29" t="str">
        <f>IFERROR(__xludf.DUMMYFUNCTION("GOOGLETRANSLATE(C759, ""en"", ""pt-br"")"),"Eu usei a tinta não parker pela primeira vez para a minha caneta-tinteiro e mudei hesitante para a tinta questionada Parker, dado que o custo foi muitas vezes maior que a tinta comum. Mas vale a pena todos os paises. A tinta reprodutiva vale claramente co"&amp;"m sua cor azul grossa e oferece um excelente contraste em papel branco., Melhor produto, bom, não, não gosta de ter um pote de tinta de piloto e estava pensando em comprar o parker, a taxa é muito alta, mas a quantidade é muito baixo, a quantidade é peque"&amp;"na., melhor qualidade")</f>
        <v>Eu usei a tinta não parker pela primeira vez para a minha caneta-tinteiro e mudei hesitante para a tinta questionada Parker, dado que o custo foi muitas vezes maior que a tinta comum. Mas vale a pena todos os paises. A tinta reprodutiva vale claramente com sua cor azul grossa e oferece um excelente contraste em papel branco., Melhor produto, bom, não, não gosta de ter um pote de tinta de piloto e estava pensando em comprar o parker, a taxa é muito alta, mas a quantidade é muito baixo, a quantidade é pequena., melhor qualidade</v>
      </c>
    </row>
    <row r="760">
      <c r="A760" s="9" t="s">
        <v>3008</v>
      </c>
      <c r="B760" s="29" t="str">
        <f>VLOOKUP(dados!A760, reviews!A:G, 5, FALSE)</f>
        <v>Decent quality product for the price,Nice product,Sturdy,Nice companion,Need for those who has neck pain working on Laptops,Laptop stand,Good quality,Good product</v>
      </c>
      <c r="C760" s="29" t="str">
        <f>VLOOKUP(dados!A760, reviews!A:G, 6, FALSE)</f>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v>
      </c>
      <c r="D760" s="29" t="str">
        <f>IFERROR(__xludf.DUMMYFUNCTION("GOOGLETRANSLATE(B760, ""en"", ""pt-br"")"),"Produto de qualidade decente para o preço, produto agradável, companheiro robusto e agradável, necessidade para quem tem dor no pescoço trabalhando em laptops, suporte para laptops, boa qualidade, bom produto")</f>
        <v>Produto de qualidade decente para o preço, produto agradável, companheiro robusto e agradável, necessidade para quem tem dor no pescoço trabalhando em laptops, suporte para laptops, boa qualidade, bom produto</v>
      </c>
      <c r="E760" s="29" t="str">
        <f>IFERROR(__xludf.DUMMYFUNCTION("GOOGLETRANSLATE(C760, ""en"", ""pt-br"")"),"Eu o uso na semana passada; Sem queixas até agora. É muito bom e dá a ventilação adequada ao laptop para respirar ar., Nice, a princípio eu estava relutante se o suporte for bom. No entanto, agora depois de usá -lo, posso ter certeza de que é um bom produ"&amp;"to e realmente ajuda a corrigir nossa postura, bom companheiro para o meu laptop. Pode levar facilmente na bolsa de laptop em qualquer lugar, se você estiver trabalhando com dor no pescoço com seu laptop, este é o seu produto, bom produto. Boa qualidade c"&amp;"onstruída., Comparando com o suporte de metal, a estabilidade é boa sem tremer .. está segurando meu laptop pesado de 4 kg.")</f>
        <v>Eu o uso na semana passada; Sem queixas até agora. É muito bom e dá a ventilação adequada ao laptop para respirar ar., Nice, a princípio eu estava relutante se o suporte for bom. No entanto, agora depois de usá -lo, posso ter certeza de que é um bom produto e realmente ajuda a corrigir nossa postura, bom companheiro para o meu laptop. Pode levar facilmente na bolsa de laptop em qualquer lugar, se você estiver trabalhando com dor no pescoço com seu laptop, este é o seu produto, bom produto. Boa qualidade construída., Comparando com o suporte de metal, a estabilidade é boa sem tremer .. está segurando meu laptop pesado de 4 kg.</v>
      </c>
    </row>
    <row r="761">
      <c r="A761" s="9" t="s">
        <v>3012</v>
      </c>
      <c r="B761" s="29" t="str">
        <f>VLOOKUP(dados!A761, reviews!A:G, 5, FALSE)</f>
        <v>Early impression comparing MK215 with MK270  - bit underwhelmed,Lagging,It is working fine till now.,Does the job well,Excellent,Worth,To avoid lag, plug into USB port without neighboring connections,Good</v>
      </c>
      <c r="C761" s="29" t="str">
        <f>VLOOKUP(dados!A761, reviews!A:G, 6, FALSE)</f>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v>
      </c>
      <c r="D761" s="29" t="str">
        <f>IFERROR(__xludf.DUMMYFUNCTION("GOOGLETRANSLATE(B761, ""en"", ""pt-br"")"),"Impressão antecipada Comparando MK215 com Mk270 - Bit menos baixo, atrasado, está funcionando bem até agora.")</f>
        <v>Impressão antecipada Comparando MK215 com Mk270 - Bit menos baixo, atrasado, está funcionando bem até agora.</v>
      </c>
      <c r="E761" s="29" t="str">
        <f>IFERROR(__xludf.DUMMYFUNCTION("GOOGLETRANSLATE(C761, ""en"", ""pt-br"")"),"Eu estava usando um Logitech MK270 há alguns anos antes de algumas chaves começarem a ficar duvidosas (sem derramamentos ou acidentes). Com uma impressão positiva geral do desempenho da Logitech (em comparação com minha experiência com Dell, HP) - decidi "&amp;"experimentar o Mk215 um pouco mais barato e compacto, enquanto sabia que isso seria mais compacto, com menos chaves - sinto que devo destacar As desvantagens que posso ver imediatamente (especialmente para usuários de teclados de tamanho normal no trabalh"&amp;"o - consulte a imagem) 1. Enquanto minhas mãos se acostumam com as teclas mais próximas - elas também parecem muito menos ""elásticas"" (mais baixas). O tamanho geral também é muito pequeno para colocar no colo e no tipo, o que eu pude com o outro teclado"&amp;" sem fio, especialmente durante o WFH.2. Big Point é o tamanho muito maior do dongle. Isso precisará ser removido e escondido cuidadosamente em casa toda vez que eu jogo meu laptop na minha bolsa para uma reunião. Eu nunca fiz isso pelo MK270 e simplesmen"&amp;"te mantive o dongle consertado para sempre na porta USB do meu laptop. Esse dongle também tinha uma vaga dentro do mouse para proteger, que não existe em Mk215.3. Nem o mouse nem o teclado tiveram desligamento - o MK270 tinha o interruptor. O mouse MK215 "&amp;"leva 2 AA, enquanto o MK270 leva 1 bateria.4. O mouse é moldado diferente - arco inferior e mais largo - o que pode simplesmente levar o ajuste. Parece um pouco mais barato. Enquanto uma revisão real só pode ser fornecida muito mais tarde - vendo como as "&amp;"chaves/cliques se executam a longo prazo (e se espera que a Logitech tenha cuidado dessa qualidade) - enquanto eu não tenho nenhuma reclamação, então Far, sinto que pagar um pouco mais pelo MK270 pode servir a muitas pessoas por aí. Espero que a revisão a"&amp;"jude - atualizará mais tarde se eu vir encontrar algum problema fundamental com o tempo., O produto é bom, mas está muito atrasado. Não está gostando/ satisfeito com este produto. O teclado é bom, mas bem pequeno quando comparado aos teclados regulares. F"&amp;"unciona bem e as chaves e ok., Excelente, vá para o bom produto, útil .. Just Connector é um pouco grande, funciona corretamente. Lag de maneira initante e depois procurou online. Parece que o receptor USB enfrenta interferência quando outra porta Ao lado"&amp;" dele está conectado a outro dispositivo. Eu tinha o atraso das ações do mouse e do teclado, mas notei que meu receptor USB estava conectado ao lado da porta HDMI, que também estava conectada a um monitor. Mudei o receptor USB para outra porta USB em outr"&amp;"o lado do laptop sem portas vizinhas. Não enfrente agora. multar.")</f>
        <v>Eu estava usando um Logitech MK270 há alguns anos antes de algumas chaves começarem a ficar duvidosas (sem derramamentos ou acidentes). Com uma impressão positiva geral do desempenho da Logitech (em comparação com minha experiência com Dell, HP) - decidi experimentar o Mk215 um pouco mais barato e compacto, enquanto sabia que isso seria mais compacto, com menos chaves - sinto que devo destacar As desvantagens que posso ver imediatamente (especialmente para usuários de teclados de tamanho normal no trabalho - consulte a imagem) 1. Enquanto minhas mãos se acostumam com as teclas mais próximas - elas também parecem muito menos "elásticas" (mais baixas). O tamanho geral também é muito pequeno para colocar no colo e no tipo, o que eu pude com o outro teclado sem fio, especialmente durante o WFH.2. Big Point é o tamanho muito maior do dongle. Isso precisará ser removido e escondido cuidadosamente em casa toda vez que eu jogo meu laptop na minha bolsa para uma reunião. Eu nunca fiz isso pelo MK270 e simplesmente mantive o dongle consertado para sempre na porta USB do meu laptop. Esse dongle também tinha uma vaga dentro do mouse para proteger, que não existe em Mk215.3. Nem o mouse nem o teclado tiveram desligamento - o MK270 tinha o interruptor. O mouse MK215 leva 2 AA, enquanto o MK270 leva 1 bateria.4. O mouse é moldado diferente - arco inferior e mais largo - o que pode simplesmente levar o ajuste. Parece um pouco mais barato. Enquanto uma revisão real só pode ser fornecida muito mais tarde - vendo como as chaves/cliques se executam a longo prazo (e se espera que a Logitech tenha cuidado dessa qualidade) - enquanto eu não tenho nenhuma reclamação, então Far, sinto que pagar um pouco mais pelo MK270 pode servir a muitas pessoas por aí. Espero que a revisão ajude - atualizará mais tarde se eu vir encontrar algum problema fundamental com o tempo., O produto é bom, mas está muito atrasado. Não está gostando/ satisfeito com este produto. O teclado é bom, mas bem pequeno quando comparado aos teclados regulares. Funciona bem e as chaves e ok., Excelente, vá para o bom produto, útil .. Just Connector é um pouco grande, funciona corretamente. Lag de maneira initante e depois procurou online. Parece que o receptor USB enfrenta interferência quando outra porta Ao lado dele está conectado a outro dispositivo. Eu tinha o atraso das ações do mouse e do teclado, mas notei que meu receptor USB estava conectado ao lado da porta HDMI, que também estava conectada a um monitor. Mudei o receptor USB para outra porta USB em outro lado do laptop sem portas vizinhas. Não enfrente agora. multar.</v>
      </c>
    </row>
    <row r="762">
      <c r="A762" s="9" t="s">
        <v>3016</v>
      </c>
      <c r="B762" s="29" t="str">
        <f>VLOOKUP(dados!A762, reviews!A:G, 5, FALSE)</f>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v>
      </c>
      <c r="C762" s="29" t="str">
        <f>VLOOKUP(dados!A762, reviews!A:G, 6, FALSE)</f>
        <v>____________________Technical Specifications---------------------------------Here's the technical information of Boat BassHeads 225 In-Ear Headphones. The information provided below is as per the manufacturer. Boat BassHeads 225 have a frequency range of 20 Hz to 20 kHz. It Features 10 mm drivers. Rated Impedance of 16 ohms. Comes with 1.2 meter Flat Tangle Free Cable. 3.5 mm Gold-Plated L-Shaped Audio Jack (90 degrees).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v>
      </c>
      <c r="D762" s="29" t="str">
        <f>IFERROR(__xludf.DUMMYFUNCTION("GOOGLETRANSLATE(B762, ""en"", ""pt-br"")"),"Os melhores fones de ouvido que você pode encontrar por aí com menos de 500 dólares .. ??? Eles estão confortáveis ​​.. ?? Vamos descobrir ....., :( não é tão bom não tão ruim :), bom, mas eu não recomendo, sexy, você pode esperar que funcione por um ano,"&amp;" boa compra, mas um fone de ouvido parado após 6- 7 meses, os vocais são uma boa música é um pouco tonto e há um som zzzzzzzzzz quando tudo está em silêncio .., excelente")</f>
        <v>Os melhores fones de ouvido que você pode encontrar por aí com menos de 500 dólares .. ??? Eles estão confortáveis ​​.. ?? Vamos descobrir ....., :( não é tão bom não tão ruim :), bom, mas eu não recomendo, sexy, você pode esperar que funcione por um ano, boa compra, mas um fone de ouvido parado após 6- 7 meses, os vocais são uma boa música é um pouco tonto e há um som zzzzzzzzzz quando tudo está em silêncio .., excelente</v>
      </c>
      <c r="E762" s="29" t="str">
        <f>IFERROR(__xludf.DUMMYFUNCTION("GOOGLETRANSLATE(C762, ""en"", ""pt-br"")"),"________________________ ÚNICAS ESPECIFICAÇÕES TÉCNICAS ------------------------------- Aqui estão as informações técnicas dos fones de ouvido de barcos 225 fones de ouvido. As informações fornecidas abaixo são de acordo com o fabricante. Jack de áudio em"&amp;" forma de L em forma de L Gold, 3,5 mm (90 graus).  Sensibilidade: 98 dB +/- 3 dB .________________________ Qualidade e design construídos ----------------------- ------------ Eu não esperava metal construído nessa faixa de preço, mas para minha surpresa"&amp;", o Boat Bassheads 225 é totalmente composto de metal. Possui uma textura diagonal em forma de grade nos brotos que parecem incríveis no toque. A construção de metal oferece à BATHHEADSHEADS 225 uma sensação premium e aparência atraente. O cabo usado de b"&amp;"arco no Bassheads 225 é plano com revestimento emborrachado, é um cabo sem emaranhado e faz bem o trabalho diminuindo as chances do cabo emaranhado. Apesar da construção de metal, o Boat Bassheads 225 é muito leve e vem com um macaco de áudio de 3,5 mm em"&amp;" forma de microfone e em forma de L, que é novamente composto de metal. No geral, a qualidade construída é excelente para o preço e parece muito durável. Os brotos de orelha têm rótulos adequados de L&amp;R e são claramente visíveis. Boat Bassheads 225 vem co"&amp;"m pontas de silicone de tamanho médio já instaladas para fora da caixa. Seu limite superior, usei arquivos MP3 de alta qualidade de 320 kbps e formatos de áudio sem perdas, como FLAC &amp; WAV. Para a escuta de smartphones, usei o Poweramp Music Player e as c"&amp;"onfigurações aprimoradas de vez em quando para ver sua capacidade extrema. Para o computador, usei o iTunes Player &amp; VLC Audio Player. Também testei esses fones de ouvido no Apple iPod, iPhone e Sony MP3 player. Tudo isso passou por mais de 10 dias e fina"&amp;"lmente, eu tinha meus resultados. Prometi o que eles reivindicaram, eles realmente são muito baixos em comparação com os outros. Durante meus testes com eles, descobri que a qualidade do áudio é muito boa para o preço, a produção de graves é incrível e do"&amp;"mina os vocais por padrão, ajustando um pouco as configurações do equalizador, vi um bom nível de melhoria nos vocais, Eles eram mais claros do que antes, mas na média geral. Os agudos foram novamente muito bons, os sons de alta frequência eram claros e a"&amp;"gradáveis ​​para os ouvidos. Os médios foram médios, mas no geral a experiência de áudio no Boat Bassheads 225 foi decente. Ao ouvir música, a qualidade geral do som é incrível, você pode facilmente distinguir entre diferentes instrumentos e sons, o que é"&amp;" uma coisa boa para fones de ouvido extravagantes. ------------------------ quando se trata de isolamento de ruído, Boat Bassheads 225 são muito bons nisso, eles vêm com ponta de orelha de tamanho médio pré-instalado, o que parecia Perfeito para os meus o"&amp;"uvidos, uma vez que os fones de ouvido estivessem ligados, eu não consegui ouvir o ruído externo, eles selaram completamente meus ouvidos e proporcionaram uma experiência imersiva. Certifique -se de ter o par certo de dicas de ouvido para obter um melhor "&amp;"isolamento e conforto de ruído. No geral, os bassheads de barcos 225 são confortáveis, mas parecem um pouco rígidos e um pouco desajeitados quando usados ​​por períodos mais longos. Como o alojamento é composto de metal, você pode encontrá -los surgindo d"&amp;"e vez em quando quando usados ​​durante a corrida, jogging ou qualquer outro esporte ou atividade física, isso não aconteceu com tanta frequência para mim, mas para um amigo, eles continuam estourando No momento, enquanto corria (talvez a forma das orelha"&amp;"s tenha algo a ver com isso), uma solução fácil para isso usará os ganchos de orelha que o acompanha. Ao usar Bassheads 225 com ganchos de ouvido, eles ficaram um pouco desconfortáveis ​​inicialmente, mas, como eu me acostumei, eles estavam bem, além diss"&amp;"o, parou de fazer um problema, já que os ganchos mantêm uma espera sobre eles .------------ -------------------------------- Cabo e microfone ------------------ ----------------------- &amp; vem com um revestimento emborrachado. O cabo faz bem o seu trabalho."&amp;" O microfone é novamente excepcionalmente bom, registra a voz com clareza, sem distúrbios ou ruído de fundo. Durante as chamadas, a pessoa do outro lado pode ouvir claramente a voz sem distúrbios de fundo. Há um botão no microfone que ajuda a atender/reje"&amp;"itar chamadas em movimento, sem retirar o telefone. Também pode ser usado para controlar a música, o que é novamente bom ver em um fone de ouvido com um orçamento como o barco 225. -------------- Boat Bassheads 225 vem com garantia padrão de um ano, porta"&amp;"nto, mantenha a fatura de compra segura, caso você precise de garantia ._____________ Pensamentos finais! ------- ----------- impressionado com eles. Pessoalmente, sou fã de IEMs de baixo extra e, atualmente, meu IEM principal é a Sony MDR-XB50AP, que nov"&amp;"amente se enquadra na categoria de graves extras. Comparando Sony MDR-XB50AP com Boat Bassheads 225 será injusto, pois há uma grande diferença de preço entre os dois, mas eu ainda gostaria de adicionar que o Bassheads 225 fez um ótimo trabalho e não me de"&amp;"cepcionou, obviamente não Ter uma chance na frente do Sony MDR-XB50AP, mas ainda olhando para o preço dos Bassheads 225 e a qualidade que eles oferecem, fiquei realmente muito impressionado. Bassheads 225 acabou sendo fones de ouvido excepcionais, depois "&amp;"de testá-los por mais de duas semanas com Diferentes dispositivos e tocadores de música, posso dizer que eles são incríveis pelo preço, um negócio de roubo puro. A saída de graves é incrível e é muito intensa, vou recomendar o uso de dicas de ouvido de ta"&amp;"manho correto e jogador de música de boa qualidade como o Poweramp (Android) para melhor saída de graves. Os agudos são bons e os vocais são médios, em algum lugar que sinto que os graves superam os vocais, mas, ao ajustar um pouco o empate, você pode obt"&amp;"er melhores resultados. Os médios são novamente médios. ************************* *********************____________________O veredito--------------------------- ------ levando tudo em consideração, no geral, estou muito impressionado com o Boat Bassheads "&amp;"225. A qualidade construída é incrível, o desempenho é excepcionalmente bom com o poderoso baixo e o bom palco sonoro geral. Ajustar o empate um pouco pode trazer melhorias drásticas para outras áreas, como vocais, médios e altos. No geral, os vocais e os"&amp;" altos são bons e os médios são médios, mas ainda são bons para o preço. Eu recomendo esses IEMs para os amantes de baixo e pessoas preocupadas com o orçamento que procuram fones de ouvido de alta qualidade e duráveis ​​a um preço razoável. Gêneros como E"&amp;"DM, Rock, Hip-Hop parecem realmente ótimos neles. Boat Bassheads 225 justifica o preço que eles têm, os resultados são muito bons em comparação com outros fones de ouvido na mesma faixa de preço. Espero que eu ajudei. pode considerá -lo comprar. Mas há po"&amp;"ucos pontos a serem lembrados antes da compra. Da minha experiência do usuário, posso dizer isso. Isso não é nada confortável. Ele desliza principalmente da orelha. Você sente dor no ouvido depois de usá -lo. Nunca compre isso para aula on-line, pois não "&amp;"é possível usá-lo de 6 a 8 horas. Depois de mudar de Boat Basshead 172, sinto que o baixo não é bom como o anterior. Eu não sei por quê. Deve ser melhor. O som não explode ou vai fora dos brotos para 50%, à medida que sai no fone de ouvido do barco 510, e"&amp;"ntão é bom. Sentindo -se mais pesado nas orelhas. Não é tão confortável quanto os brotos do Realme 2. Embora ambos sejam de construção de metal. Para equilíbrio, você pode comprar o Realme Buds 2.6. Compre apenas para ouvir música, não por muito tempo. Nã"&amp;"o considere isso para aula on -line e sessão de desgaste de longa data. Espero que te ajude. É apenas a minha opinião de usar o barco 225, barco 172, barco 510, broto real 2, mi básico., É um produto muito bom, mas eu não recomendo comprar isso porque o f"&amp;"one de ouvido é pesado e você precisa continuar ajustando e empurrando -o e empurrando -o No interior, sempre que você mover a cabeça, eles cairão facilmente com o menor movimento, em breve você o achará irritante. Qualidade do som, qualidade de construçã"&amp;"o tudo é bom, mas os fones de ouvido que caem nas orelhas irão irritá -lo., Raat me apne babu se doi dhehebaat krne pr v aacha se solae deteta h, comprei o produto há um ano. Quality.as você pode não esperar que funcione após um ano. Meu fone de ouvido nã"&amp;"o funciona agora corretamente. Minha garantia expirou, então eu tenho que comprar um novo., Boa compra, mas um fone de ouvido parado após 6-7 meses , A qualidade do som está acima da média .. mas eu tenho 1,5 anos de idade, os telefones de ouvido fabricad"&amp;"os. A qualidade de construção é conforme o custo. não posso esperar muito .. há som de buzzzzz quando a música está em silêncio .., os fones de ouvido são incríveis")</f>
        <v>________________________ ÚNICAS ESPECIFICAÇÕES TÉCNICAS ------------------------------- Aqui estão as informações técnicas dos fones de ouvido de barcos 225 fones de ouvido. As informações fornecidas abaixo são de acordo com o fabricante. Jack de áudio em forma de L em forma de L Gold, 3,5 mm (90 graus).  Sensibilidade: 98 dB +/- 3 dB .________________________ Qualidade e design construídos ----------------------- ------------ Eu não esperava metal construído nessa faixa de preço, mas para minha surpresa, o Boat Bassheads 225 é totalmente composto de metal. Possui uma textura diagonal em forma de grade nos brotos que parecem incríveis no toque. A construção de metal oferece à BATHHEADSHEADS 225 uma sensação premium e aparência atraente. O cabo usado de barco no Bassheads 225 é plano com revestimento emborrachado, é um cabo sem emaranhado e faz bem o trabalho diminuindo as chances do cabo emaranhado. Apesar da construção de metal, o Boat Bassheads 225 é muito leve e vem com um macaco de áudio de 3,5 mm em forma de microfone e em forma de L, que é novamente composto de metal. No geral, a qualidade construída é excelente para o preço e parece muito durável. Os brotos de orelha têm rótulos adequados de L&amp;R e são claramente visíveis. Boat Bassheads 225 vem com pontas de silicone de tamanho médio já instaladas para fora da caixa. Seu limite superior, usei arquivos MP3 de alta qualidade de 320 kbps e formatos de áudio sem perdas, como FLAC &amp; WAV. Para a escuta de smartphones, usei o Poweramp Music Player e as configurações aprimoradas de vez em quando para ver sua capacidade extrema. Para o computador, usei o iTunes Player &amp; VLC Audio Player. Também testei esses fones de ouvido no Apple iPod, iPhone e Sony MP3 player. Tudo isso passou por mais de 10 dias e finalmente, eu tinha meus resultados. Prometi o que eles reivindicaram, eles realmente são muito baixos em comparação com os outros. Durante meus testes com eles, descobri que a qualidade do áudio é muito boa para o preço, a produção de graves é incrível e domina os vocais por padrão, ajustando um pouco as configurações do equalizador, vi um bom nível de melhoria nos vocais, Eles eram mais claros do que antes, mas na média geral. Os agudos foram novamente muito bons, os sons de alta frequência eram claros e agradáveis ​​para os ouvidos. Os médios foram médios, mas no geral a experiência de áudio no Boat Bassheads 225 foi decente. Ao ouvir música, a qualidade geral do som é incrível, você pode facilmente distinguir entre diferentes instrumentos e sons, o que é uma coisa boa para fones de ouvido extravagantes. ------------------------ quando se trata de isolamento de ruído, Boat Bassheads 225 são muito bons nisso, eles vêm com ponta de orelha de tamanho médio pré-instalado, o que parecia Perfeito para os meus ouvidos, uma vez que os fones de ouvido estivessem ligados, eu não consegui ouvir o ruído externo, eles selaram completamente meus ouvidos e proporcionaram uma experiência imersiva. Certifique -se de ter o par certo de dicas de ouvido para obter um melhor isolamento e conforto de ruído. No geral, os bassheads de barcos 225 são confortáveis, mas parecem um pouco rígidos e um pouco desajeitados quando usados ​​por períodos mais longos. Como o alojamento é composto de metal, você pode encontrá -los surgindo de vez em quando quando usados ​​durante a corrida, jogging ou qualquer outro esporte ou atividade física, isso não aconteceu com tanta frequência para mim, mas para um amigo, eles continuam estourando No momento, enquanto corria (talvez a forma das orelhas tenha algo a ver com isso), uma solução fácil para isso usará os ganchos de orelha que o acompanha. Ao usar Bassheads 225 com ganchos de ouvido, eles ficaram um pouco desconfortáveis ​​inicialmente, mas, como eu me acostumei, eles estavam bem, além disso, parou de fazer um problema, já que os ganchos mantêm uma espera sobre eles .------------ -------------------------------- Cabo e microfone ------------------ ----------------------- &amp; vem com um revestimento emborrachado. O cabo faz bem o seu trabalho. O microfone é novamente excepcionalmente bom, registra a voz com clareza, sem distúrbios ou ruído de fundo. Durante as chamadas, a pessoa do outro lado pode ouvir claramente a voz sem distúrbios de fundo. Há um botão no microfone que ajuda a atender/rejeitar chamadas em movimento, sem retirar o telefone. Também pode ser usado para controlar a música, o que é novamente bom ver em um fone de ouvido com um orçamento como o barco 225. -------------- Boat Bassheads 225 vem com garantia padrão de um ano, portanto, mantenha a fatura de compra segura, caso você precise de garantia ._____________ Pensamentos finais! ------- ----------- impressionado com eles. Pessoalmente, sou fã de IEMs de baixo extra e, atualmente, meu IEM principal é a Sony MDR-XB50AP, que novamente se enquadra na categoria de graves extras. Comparando Sony MDR-XB50AP com Boat Bassheads 225 será injusto, pois há uma grande diferença de preço entre os dois, mas eu ainda gostaria de adicionar que o Bassheads 225 fez um ótimo trabalho e não me decepcionou, obviamente não Ter uma chance na frente do Sony MDR-XB50AP, mas ainda olhando para o preço dos Bassheads 225 e a qualidade que eles oferecem, fiquei realmente muito impressionado. Bassheads 225 acabou sendo fones de ouvido excepcionais, depois de testá-los por mais de duas semanas com Diferentes dispositivos e tocadores de música, posso dizer que eles são incríveis pelo preço, um negócio de roubo puro. A saída de graves é incrível e é muito intensa, vou recomendar o uso de dicas de ouvido de tamanho correto e jogador de música de boa qualidade como o Poweramp (Android) para melhor saída de graves. Os agudos são bons e os vocais são médios, em algum lugar que sinto que os graves superam os vocais, mas, ao ajustar um pouco o empate, você pode obter melhores resultados. Os médios são novamente médios. ************************* *********************____________________O veredito--------------------------- ------ levando tudo em consideração, no geral, estou muito impressionado com o Boat Bassheads 225. A qualidade construída é incrível, o desempenho é excepcionalmente bom com o poderoso baixo e o bom palco sonoro geral. Ajustar o empate um pouco pode trazer melhorias drásticas para outras áreas, como vocais, médios e altos. No geral, os vocais e os altos são bons e os médios são médios, mas ainda são bons para o preço. Eu recomendo esses IEMs para os amantes de baixo e pessoas preocupadas com o orçamento que procuram fones de ouvido de alta qualidade e duráveis ​​a um preço razoável. Gêneros como EDM, Rock, Hip-Hop parecem realmente ótimos neles. Boat Bassheads 225 justifica o preço que eles têm, os resultados são muito bons em comparação com outros fones de ouvido na mesma faixa de preço. Espero que eu ajudei. pode considerá -lo comprar. Mas há poucos pontos a serem lembrados antes da compra. Da minha experiência do usuário, posso dizer isso. Isso não é nada confortável. Ele desliza principalmente da orelha. Você sente dor no ouvido depois de usá -lo. Nunca compre isso para aula on-line, pois não é possível usá-lo de 6 a 8 horas. Depois de mudar de Boat Basshead 172, sinto que o baixo não é bom como o anterior. Eu não sei por quê. Deve ser melhor. O som não explode ou vai fora dos brotos para 50%, à medida que sai no fone de ouvido do barco 510, então é bom. Sentindo -se mais pesado nas orelhas. Não é tão confortável quanto os brotos do Realme 2. Embora ambos sejam de construção de metal. Para equilíbrio, você pode comprar o Realme Buds 2.6. Compre apenas para ouvir música, não por muito tempo. Não considere isso para aula on -line e sessão de desgaste de longa data. Espero que te ajude. É apenas a minha opinião de usar o barco 225, barco 172, barco 510, broto real 2, mi básico., É um produto muito bom, mas eu não recomendo comprar isso porque o fone de ouvido é pesado e você precisa continuar ajustando e empurrando -o e empurrando -o No interior, sempre que você mover a cabeça, eles cairão facilmente com o menor movimento, em breve você o achará irritante. Qualidade do som, qualidade de construção tudo é bom, mas os fones de ouvido que caem nas orelhas irão irritá -lo., Raat me apne babu se doi dhehebaat krne pr v aacha se solae deteta h, comprei o produto há um ano. Quality.as você pode não esperar que funcione após um ano. Meu fone de ouvido não funciona agora corretamente. Minha garantia expirou, então eu tenho que comprar um novo., Boa compra, mas um fone de ouvido parado após 6-7 meses , A qualidade do som está acima da média .. mas eu tenho 1,5 anos de idade, os telefones de ouvido fabricados. A qualidade de construção é conforme o custo. não posso esperar muito .. há som de buzzzzz quando a música está em silêncio .., os fones de ouvido são incríveis</v>
      </c>
    </row>
    <row r="763">
      <c r="A763" s="9" t="s">
        <v>3020</v>
      </c>
      <c r="B763" s="29" t="str">
        <f>VLOOKUP(dados!A763, reviews!A:G, 5, FALSE)</f>
        <v>Good note book,Five Star Product,Nothing,Not bad, decent buy,Amazing  quality,Good quality paper/binder/separator ( Value for money),Great for writing notes,One minus star is for one defective piece..</v>
      </c>
      <c r="C763" s="29" t="str">
        <f>VLOOKUP(dados!A763, reviews!A:G, 6, FALSE)</f>
        <v>Nice notebook with sufficiently good quality papers..The add in the bind cover is removeble and can be make it more aesthetic.The only thing is price is little bit inappropriate considering the number of pages.but overall it is a good notebook for study purpose.go for it👍,Product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v>
      </c>
      <c r="D763" s="29" t="str">
        <f>IFERROR(__xludf.DUMMYFUNCTION("GOOGLETRANSLATE(B763, ""en"", ""pt-br"")"),"Boas notas, produto cinco estrelas, nada, nada ruim, compra decente, qualidade incrível, papel de boa qualidade/fichário/separador (valor por dinheiro), ótimo para escrever notas, uma estrela menos para uma peça defeituosa ..")</f>
        <v>Boas notas, produto cinco estrelas, nada, nada ruim, compra decente, qualidade incrível, papel de boa qualidade/fichário/separador (valor por dinheiro), ótimo para escrever notas, uma estrela menos para uma peça defeituosa ..</v>
      </c>
      <c r="E763" s="29" t="str">
        <f>IFERROR(__xludf.DUMMYFUNCTION("GOOGLETRANSLATE(C763, ""en"", ""pt-br"")"),"Bom caderno com documentos suficientemente de boa qualidade ... a adição da tampa de ligação é removida e pode torná -la mais estética. A única coisa é que o preço é um pouco inapropriado, considerando o número de páginas. Mas, em geral, é um bom notebook"&amp;" para fins de estudo .GO para isso, a qualidade do produto é realmente boa. A capa dá uma aparência premium a este produto. A qualidade da página poderia ter sido melhor., Gosto deste produto., Qualidade decente, página não muito grossa, eu teria preferid"&amp;"o um GSM mais alto, mas ainda decente. Sturdy, este é um dos melhores livros ou laticínios que já vi antes, mas muito caro., Papel de qualidade muito boa, juntamente com os divisores de assuntos de várias cores e a cobertura externa. Eu o comprei por 165r"&amp;"s e este produto possui um MRP de 315 rúpias. Offline eu acabaria pagando pelo menos 300rs por isso. Então, no geral, uma compra muito boa., Qualidade da página: excelente sobreposição de tinta: quase nenhum, a menos que você esteja pressionando muita pre"&amp;"ssão. Até as canetas da fonte são boas. Capa: Uau! Con: Não é realmente um golpe, mas você precisa virar as páginas com muito cuidado, caso contrário elas poderão ficar rasgadas. As páginas são de 70 GSM, mas girando descuidadamente prejudicará as páginas"&amp;", o que é meio difícil quando você estiver com pressa durante a revisão. Este é o único golpe desses cadernos em espiral., Encomendei 5 cadernos, dos quais um tinha pouca ligação e tive que repará -lo manualmente. Caso contrário, a qualidade da página é b"&amp;"oa.")</f>
        <v>Bom caderno com documentos suficientemente de boa qualidade ... a adição da tampa de ligação é removida e pode torná -la mais estética. A única coisa é que o preço é um pouco inapropriado, considerando o número de páginas. Mas, em geral, é um bom notebook para fins de estudo .GO para isso, a qualidade do produto é realmente boa. A capa dá uma aparência premium a este produto. A qualidade da página poderia ter sido melhor., Gosto deste produto., Qualidade decente, página não muito grossa, eu teria preferido um GSM mais alto, mas ainda decente. Sturdy, este é um dos melhores livros ou laticínios que já vi antes, mas muito caro., Papel de qualidade muito boa, juntamente com os divisores de assuntos de várias cores e a cobertura externa. Eu o comprei por 165rs e este produto possui um MRP de 315 rúpias. Offline eu acabaria pagando pelo menos 300rs por isso. Então, no geral, uma compra muito boa., Qualidade da página: excelente sobreposição de tinta: quase nenhum, a menos que você esteja pressionando muita pressão. Até as canetas da fonte são boas. Capa: Uau! Con: Não é realmente um golpe, mas você precisa virar as páginas com muito cuidado, caso contrário elas poderão ficar rasgadas. As páginas são de 70 GSM, mas girando descuidadamente prejudicará as páginas, o que é meio difícil quando você estiver com pressa durante a revisão. Este é o único golpe desses cadernos em espiral., Encomendei 5 cadernos, dos quais um tinha pouca ligação e tive que repará -lo manualmente. Caso contrário, a qualidade da página é boa.</v>
      </c>
    </row>
    <row r="764">
      <c r="A764" s="9" t="s">
        <v>3025</v>
      </c>
      <c r="B764" s="29" t="str">
        <f>VLOOKUP(dados!A764, reviews!A:G, 5, FALSE)</f>
        <v>Does not fit the Duracell label,Very appropriate &amp; long lasting cells,Uh should buy,Ok,Value for money,Great battery,Badhiya,Nice 👍</v>
      </c>
      <c r="C764" s="29" t="str">
        <f>VLOOKUP(dados!A764, reviews!A:G, 6, FALSE)</f>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v>
      </c>
      <c r="D764" s="29" t="str">
        <f>IFERROR(__xludf.DUMMYFUNCTION("GOOGLETRANSLATE(B764, ""en"", ""pt-br"")"),"Não se encaixa no rótulo Duracell, células muito apropriadas e duradouras, UH devem comprar, ok, valor ao dinheiro, ótima bateria, badhiya, nice 👍")</f>
        <v>Não se encaixa no rótulo Duracell, células muito apropriadas e duradouras, UH devem comprar, ok, valor ao dinheiro, ótima bateria, badhiya, nice 👍</v>
      </c>
      <c r="E764" s="29" t="str">
        <f>IFERROR(__xludf.DUMMYFUNCTION("GOOGLETRANSLATE(C764, ""en"", ""pt-br"")"),"Não tem força suficiente e perde rapidamente o poder. Faz você se perguntar se realmente é Duracell. Essa é a vida das baterias. De fato, o poder do nome- Power, consegui agora. Espero que dure mais do que as células de Eveready. Excelente embalagem també"&amp;"m., Há mais dois ... parece bom esperando um relatório durável, bom, valor ao dinheiro. Duradouro., Longevidade e poder são os melhores, Badhiya, como")</f>
        <v>Não tem força suficiente e perde rapidamente o poder. Faz você se perguntar se realmente é Duracell. Essa é a vida das baterias. De fato, o poder do nome- Power, consegui agora. Espero que dure mais do que as células de Eveready. Excelente embalagem também., Há mais dois ... parece bom esperando um relatório durável, bom, valor ao dinheiro. Duradouro., Longevidade e poder são os melhores, Badhiya, como</v>
      </c>
    </row>
    <row r="765">
      <c r="A765" s="9" t="s">
        <v>3029</v>
      </c>
      <c r="B765" s="29" t="str">
        <f>VLOOKUP(dados!A765, reviews!A:G, 5, FALSE)</f>
        <v>Click-Bet,The alphabet doesn't light up,It is good but sometimes button got stuck and ruin your game,dont get your hopes too hight up,Good and superb but the RGB modes are less but good u can go for it,Itz mouse is so smout,Good,Cool looking</v>
      </c>
      <c r="C765" s="29" t="str">
        <f>VLOOKUP(dados!A765, reviews!A:G, 6, FALSE)</f>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👍👍👍👍👍,Keyboard  and mouse both are good but can go for an better  option  also,Buy in sale for just 999Have good look but not feels so premiumMouse build is more bad than keyboard.Number key led panel almost out of the frame.</v>
      </c>
      <c r="D765" s="29" t="str">
        <f>IFERROR(__xludf.DUMMYFUNCTION("GOOGLETRANSLATE(B765, ""en"", ""pt-br"")"),"Clique, o alfabeto não se ilumina, é bom, mas às vezes o botão ficou preso e arruinou seu jogo, não obtenha suas esperanças demais, bom e excelente, mas os modos RGB são menos, mas você pode ir em frente, O mouse itz é tão smout, bom, de aparência legal")</f>
        <v>Clique, o alfabeto não se ilumina, é bom, mas às vezes o botão ficou preso e arruinou seu jogo, não obtenha suas esperanças demais, bom e excelente, mas os modos RGB são menos, mas você pode ir em frente, O mouse itz é tão smout, bom, de aparência legal</v>
      </c>
      <c r="E765" s="29" t="str">
        <f>IFERROR(__xludf.DUMMYFUNCTION("GOOGLETRANSLATE(C765, ""en"", ""pt-br"")"),"Sempre quis comprá -lo, mas nunca tive uma chance antes de construir um PC para minha irmã. A Zebronics sempre nos entregou com o melhor estado da arte Hardwares para jogos. Fora do qual essa combinação é uma das estrelas brilhantes., O alfabeto não acend"&amp;"e apenas o teclado. Você não pode ver nada no escuro, mesmo que as luzes do teclado estejam acesas. é difícil de digitar e brincar, eu odeio o mouse e a keybordit não tem um software e nenhuma cor única, menos modos RBG é bom e ergonômico é bom e o brilho"&amp;" é bom, mas menos, eu gosto deste produto, é muito bom para os games falantes Eu acho que você pode ir para o ITIT entregue um dia antes para mim, a expreapaa gamming é mais melhor com o Zebronic, é um produto verrrrrrrrrry goooood, é mais atraente enquan"&amp;"to gamando no escuro 👍👍👍👍👍, teclado e mouse são bons, mas podem ir para Uma opção melhor também, compre a venda por apenas 999 anos de boa aparência, mas não parece que a compilação PremiumMouse é mais ruim que o teclado.Number Painel de LEDs do núme"&amp;"ro quase fora do quadro.")</f>
        <v>Sempre quis comprá -lo, mas nunca tive uma chance antes de construir um PC para minha irmã. A Zebronics sempre nos entregou com o melhor estado da arte Hardwares para jogos. Fora do qual essa combinação é uma das estrelas brilhantes., O alfabeto não acende apenas o teclado. Você não pode ver nada no escuro, mesmo que as luzes do teclado estejam acesas. é difícil de digitar e brincar, eu odeio o mouse e a keybordit não tem um software e nenhuma cor única, menos modos RBG é bom e ergonômico é bom e o brilho é bom, mas menos, eu gosto deste produto, é muito bom para os games falantes Eu acho que você pode ir para o ITIT entregue um dia antes para mim, a expreapaa gamming é mais melhor com o Zebronic, é um produto verrrrrrrrrry goooood, é mais atraente enquanto gamando no escuro 👍👍👍👍👍, teclado e mouse são bons, mas podem ir para Uma opção melhor também, compre a venda por apenas 999 anos de boa aparência, mas não parece que a compilação PremiumMouse é mais ruim que o teclado.Number Painel de LEDs do número quase fora do quadro.</v>
      </c>
    </row>
    <row r="766">
      <c r="A766" s="9" t="s">
        <v>3033</v>
      </c>
      <c r="B766" s="29" t="str">
        <f>VLOOKUP(dados!A766, reviews!A:G, 5, FALSE)</f>
        <v>Average pendrive with mobile connectivity,2 in 1 type c and usb,Worth for money,Fine purchase,Great to store memories and notes,Nice,Value for Money.,Very good product</v>
      </c>
      <c r="C766" s="29" t="str">
        <f>VLOOKUP(dados!A766, reviews!A:G, 6, FALSE)</f>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v>
      </c>
      <c r="D766" s="29" t="str">
        <f>IFERROR(__xludf.DUMMYFUNCTION("GOOGLETRANSLATE(B766, ""en"", ""pt-br"")"),"Pendrive média com conectividade móvel, 2 em 1 tipo C e USB, vale a pena por dinheiro, compra fina, ótima para armazenar memórias e notas, bom, valor por dinheiro., Produto muito bom")</f>
        <v>Pendrive média com conectividade móvel, 2 em 1 tipo C e USB, vale a pena por dinheiro, compra fina, ótima para armazenar memórias e notas, bom, valor por dinheiro., Produto muito bom</v>
      </c>
      <c r="E766" s="29" t="str">
        <f>IFERROR(__xludf.DUMMYFUNCTION("GOOGLETRANSLATE(C766, ""en"", ""pt-br"")"),"O Pendrive é bom o suficiente. Mas não tenha uma expectativa maior deste pêndulo. Ele é aquecido após a transferência de um arquivo e a velocidade também reduz drasticamente. 489 SOMENTE., BOM PRODUTO SEM PROBLEMA, muito útil e melhor para usar dois em um"&amp;" propósito para transferir dados de colo ou celular, boa compra ... apenas que acho que o lado do tipo C não se encaixa bem em alguns dispositivos, continua tremendo e desconectar ... então deve ter cuidado ao transferir desses dispositivos, fácil de usar"&amp;" e rápido para fazer upload. O custo é um pouco alto., Nice, a velocidade de transferência para os arquivos é boa., 232 GB Sonaculável total de 256 GB e durável é um pouco ruim")</f>
        <v>O Pendrive é bom o suficiente. Mas não tenha uma expectativa maior deste pêndulo. Ele é aquecido após a transferência de um arquivo e a velocidade também reduz drasticamente. 489 SOMENTE., BOM PRODUTO SEM PROBLEMA, muito útil e melhor para usar dois em um propósito para transferir dados de colo ou celular, boa compra ... apenas que acho que o lado do tipo C não se encaixa bem em alguns dispositivos, continua tremendo e desconectar ... então deve ter cuidado ao transferir desses dispositivos, fácil de usar e rápido para fazer upload. O custo é um pouco alto., Nice, a velocidade de transferência para os arquivos é boa., 232 GB Sonaculável total de 256 GB e durável é um pouco ruim</v>
      </c>
    </row>
    <row r="767">
      <c r="A767" s="9" t="s">
        <v>3037</v>
      </c>
      <c r="B767" s="29" t="str">
        <f>VLOOKUP(dados!A767, reviews!A:G, 5, FALSE)</f>
        <v>So good ,nice looking,Value for money and a nice product,Awesome Product,overrated,Really good,Good,It is very good 👍,Good</v>
      </c>
      <c r="C767" s="29" t="str">
        <f>VLOOKUP(dados!A767, reviews!A:G, 6, FALSE)</f>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👌,expensive,I could have gotten Parker  jotter but it feels to thick to hold. this one is slim and smooth feels good in hand too,Very good,Easy to hold, value for money or comfort,The pen was good</v>
      </c>
      <c r="D767" s="29" t="str">
        <f>IFERROR(__xludf.DUMMYFUNCTION("GOOGLETRANSLATE(B767, ""en"", ""pt-br"")"),"Tão bom, bonito, valor pelo dinheiro e um bom produto, produto incrível, superestimado, muito bom, bom, é muito bom 👍, bom")</f>
        <v>Tão bom, bonito, valor pelo dinheiro e um bom produto, produto incrível, superestimado, muito bom, bom, é muito bom 👍, bom</v>
      </c>
      <c r="E767" s="29" t="str">
        <f>IFERROR(__xludf.DUMMYFUNCTION("GOOGLETRANSLATE(C767, ""en"", ""pt-br"")"),"Fácil de segurar e bom nesse preço, a qualidade é muito boa! ​​A caneta para mim foi um pouco escorregadia, mas o conforto estava certo, recomendo que você compre este produto, pois ele tem valor para dinheiro e funciona bem e melhor do que o meu Imaginaç"&amp;"ão, design bonito e elegante com ótima aderência. Deve comprar produto se você gosta de coisas premium. 👌, caro, eu poderia ter pego Parker Jotter, mas parece espesso de segurar. Este é esbelto e suave também é bom na mão, muito bom, fácil de manter, val"&amp;"or para dinheiro ou conforto, a caneta era boa")</f>
        <v>Fácil de segurar e bom nesse preço, a qualidade é muito boa! ​​A caneta para mim foi um pouco escorregadia, mas o conforto estava certo, recomendo que você compre este produto, pois ele tem valor para dinheiro e funciona bem e melhor do que o meu Imaginação, design bonito e elegante com ótima aderência. Deve comprar produto se você gosta de coisas premium. 👌, caro, eu poderia ter pego Parker Jotter, mas parece espesso de segurar. Este é esbelto e suave também é bom na mão, muito bom, fácil de manter, valor para dinheiro ou conforto, a caneta era boa</v>
      </c>
    </row>
    <row r="768">
      <c r="A768" s="9" t="s">
        <v>1992</v>
      </c>
      <c r="B768" s="29" t="str">
        <f>VLOOKUP(dados!A768, reviews!A:G, 5, FALSE)</f>
        <v>It's pretty decent,Friendly product,I love its design btw it's a descent watch .,Excellent👍💯,The Blue color is worst. BUY RED ONE,Design very good,Its worth it,Very nice</v>
      </c>
      <c r="C768" s="29" t="str">
        <f>VLOOKUP(dados!A768, reviews!A:G, 6, FALSE)</f>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👍,Super,https://m.media-amazon.com/images/I/615xQV8mNDL._SY88.jpg,Amazing look,Screen refresh rate is bit low ,but a great product for this price !,Best product</v>
      </c>
      <c r="D768" s="29" t="str">
        <f>IFERROR(__xludf.DUMMYFUNCTION("GOOGLETRANSLATE(B768, ""en"", ""pt-br"")"),"É um produto bastante decente e amigável, eu amo seu design, é um relógio descendente., Excelente👍💯, a cor azul é pior. Compre um vermelho, design muito bom, vale a pena, muito bom")</f>
        <v>É um produto bastante decente e amigável, eu amo seu design, é um relógio descendente., Excelente👍💯, a cor azul é pior. Compre um vermelho, design muito bom, vale a pena, muito bom</v>
      </c>
      <c r="E768" s="29" t="str">
        <f>IFERROR(__xludf.DUMMYFUNCTION("GOOGLETRANSLATE(C768, ""en"", ""pt-br"")"),"Consegui por 1499 e acho que, por esse preço, é bom o suficiente. Não compre se você o estiver comprando por esse preço. Se você só quer experimentar um relógio inteligente, isso é muito bom. Mas se você estiver esperando muitos recursos, vá para um mais "&amp;"caro. Pelo menos para este relógio, você não tem muitos recursos e precisa usar seu telefone para configurar a maioria das coisas (como alertas e notificações, não perturbar o modo e até alarmes também !!) além disso, Sua resposta ao toque é bastante dece"&amp;"nte, tem caras de relógio agradáveis ​​(você também pode fazer o seu próprio) e a bateria é duradoura (pelo menos para o meu uso, dura mais de 10 dias). Também observe que o pulso não é preto, É cinza escuro. Mas o mostrador é preto, este item é a melhor "&amp;"qualidade. O preço é muito valioso. A qualidade geral deste produto é muito boa. Eu recomendo comprar este item. O design deste relógio é realmente bom ... Eu tenho isso em 1499 na Amazon Sale e é realmente uma relação custo/benefício 👍, super, https: //"&amp;"m.media-amazon.com/ imagens/i/615xqv8mndl._sy88.jpg, aparência incrível, taxa de atualização da tela é um pouco baixa, mas um ótimo produto para este preço!, Melhor produto")</f>
        <v>Consegui por 1499 e acho que, por esse preço, é bom o suficiente. Não compre se você o estiver comprando por esse preço. Se você só quer experimentar um relógio inteligente, isso é muito bom. Mas se você estiver esperando muitos recursos, vá para um mais caro. Pelo menos para este relógio, você não tem muitos recursos e precisa usar seu telefone para configurar a maioria das coisas (como alertas e notificações, não perturbar o modo e até alarmes também !!) além disso, Sua resposta ao toque é bastante decente, tem caras de relógio agradáveis ​​(você também pode fazer o seu próprio) e a bateria é duradoura (pelo menos para o meu uso, dura mais de 10 dias). Também observe que o pulso não é preto, É cinza escuro. Mas o mostrador é preto, este item é a melhor qualidade. O preço é muito valioso. A qualidade geral deste produto é muito boa. Eu recomendo comprar este item. O design deste relógio é realmente bom ... Eu tenho isso em 1499 na Amazon Sale e é realmente uma relação custo/benefício 👍, super, https: //m.media-amazon.com/ imagens/i/615xqv8mndl._sy88.jpg, aparência incrível, taxa de atualização da tela é um pouco baixa, mas um ótimo produto para este preço!, Melhor produto</v>
      </c>
    </row>
    <row r="769">
      <c r="A769" s="9" t="s">
        <v>3043</v>
      </c>
      <c r="B769" s="29" t="str">
        <f>VLOOKUP(dados!A769, reviews!A:G, 5, FALSE)</f>
        <v>Good,Quite Good, just a little too costly, but worth it,Best in this budget segment,Table is good,, wood is hard, legs are strong, but plastic frame is broken at one corner,The product quality is good. The size is small. It is stable not bending while working on table.,Good 👍,Perfect for WFH !,Best buy</v>
      </c>
      <c r="C769" s="29" t="str">
        <f>VLOOKUP(dados!A769, reviews!A:G, 6, FALSE)</f>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👍,It wobbles a little coz of the bed mattress. Otherwise, it is very study and quite light weight as well. Perfect for everyday use.,It will last a long time.Quality is awesome, it's stable even when kept on bed for writing.The drawer feature is also quite useful.</v>
      </c>
      <c r="D769" s="29" t="str">
        <f>IFERROR(__xludf.DUMMYFUNCTION("GOOGLETRANSLATE(B769, ""en"", ""pt-br"")"),"Bom, muito bom, um pouco caro demais, mas vale a pena, melhor neste segmento de orçamento, a mesa é boa, a madeira é dura, as pernas são fortes, mas a estrutura de plástico é quebrada em um canto, a qualidade do produto é boa. O tamanho é pequeno. É estáv"&amp;"el não dobrando enquanto trabalha na mesa., Bom 👍, perfeito para wfh!, Best Buy")</f>
        <v>Bom, muito bom, um pouco caro demais, mas vale a pena, melhor neste segmento de orçamento, a mesa é boa, a madeira é dura, as pernas são fortes, mas a estrutura de plástico é quebrada em um canto, a qualidade do produto é boa. O tamanho é pequeno. É estável não dobrando enquanto trabalha na mesa., Bom 👍, perfeito para wfh!, Best Buy</v>
      </c>
      <c r="E769" s="29" t="str">
        <f>IFERROR(__xludf.DUMMYFUNCTION("GOOGLETRANSLATE(C769, ""en"", ""pt-br"")"),"A embalagem chegou em uma caixa grande, dentro da mesa foi embalada dentro de outra caixa, a gaveta estava presa ou trancada um pouco, mas depois saiu. Produto muito bom, apenas um pouco caro, eu uso isso apenas na minha cama. Esse tipo de suporte ao fund"&amp;"o da mesa o torna muito estável, mesmo em uma cama. Realmente pensei em design completo. O material é bom. Sooth acabamento e o plástico ajuda a manter seus antebraços tão confortáveis. Você pode obtê -lo por 200 dólares mais baratos do site oficial. O lo"&amp;"cal para manter seu telefone é bom. O porta -copos é um pouco pequeno demais e mantém pequenas xícaras de 200 ml. Garrafas / shakers de água não podem ser colocados lá. É uma tabela realmente sólida com grande clareza 28 mm. Eu pensei que 25 mm também fic"&amp;"ariam bem, mas eu sugeriria muito 28 mm. Sua largura e comprimento é perfeita e devem ser o padrão a 40 cm e 60 cm. Ótimo produto ! 10/10. Agora eu uso isso como minha principal estação de trabalho o dia todo., A mesa é fantástica, mas eu recebi uma ou qu"&amp;"ebrada. Um canto está quebrado. A tabela geral é boa. Eu devolvi e peguei um novo. Isso é forte, mas plástico na junta de pernas e dobras pode ser melhor. No geral, esta é uma boa mesa., A qualidade do produto é boa. O tamanho do produto pouco pequeno. É "&amp;"estável não se dobrando enquanto trabalha nisso. Pouco expansivo também ... ao longo de toda a revisão do produto, é boa., Como 👍, ele balança um pouco de porco do colchão da cama. Caso contrário, é muito estudo e também leve peso. Perfeito para o uso di"&amp;"ário., Durará muito tempo. A qualidade é incrível, é estável mesmo quando mantida na cama para escrever. O recurso de gaveta também é bastante útil.")</f>
        <v>A embalagem chegou em uma caixa grande, dentro da mesa foi embalada dentro de outra caixa, a gaveta estava presa ou trancada um pouco, mas depois saiu. Produto muito bom, apenas um pouco caro, eu uso isso apenas na minha cama. Esse tipo de suporte ao fundo da mesa o torna muito estável, mesmo em uma cama. Realmente pensei em design completo. O material é bom. Sooth acabamento e o plástico ajuda a manter seus antebraços tão confortáveis. Você pode obtê -lo por 200 dólares mais baratos do site oficial. O local para manter seu telefone é bom. O porta -copos é um pouco pequeno demais e mantém pequenas xícaras de 200 ml. Garrafas / shakers de água não podem ser colocados lá. É uma tabela realmente sólida com grande clareza 28 mm. Eu pensei que 25 mm também ficariam bem, mas eu sugeriria muito 28 mm. Sua largura e comprimento é perfeita e devem ser o padrão a 40 cm e 60 cm. Ótimo produto ! 10/10. Agora eu uso isso como minha principal estação de trabalho o dia todo., A mesa é fantástica, mas eu recebi uma ou quebrada. Um canto está quebrado. A tabela geral é boa. Eu devolvi e peguei um novo. Isso é forte, mas plástico na junta de pernas e dobras pode ser melhor. No geral, esta é uma boa mesa., A qualidade do produto é boa. O tamanho do produto pouco pequeno. É estável não se dobrando enquanto trabalha nisso. Pouco expansivo também ... ao longo de toda a revisão do produto, é boa., Como 👍, ele balança um pouco de porco do colchão da cama. Caso contrário, é muito estudo e também leve peso. Perfeito para o uso diário., Durará muito tempo. A qualidade é incrível, é estável mesmo quando mantida na cama para escrever. O recurso de gaveta também é bastante útil.</v>
      </c>
    </row>
    <row r="770">
      <c r="A770" s="9" t="s">
        <v>141</v>
      </c>
      <c r="B770" s="29" t="str">
        <f>VLOOKUP(dados!A770, reviews!A:G, 5, FALSE)</f>
        <v>Ok cable,three pin with hybrid wire,Sturdy,Nice,Good.,So good,CarPlay Not supported,पैसा वसूल 🙂</v>
      </c>
      <c r="C770" s="29" t="str">
        <f>VLOOKUP(dados!A770, reviews!A:G, 6, FALSE)</f>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v>
      </c>
      <c r="D770" s="29" t="str">
        <f>IFERROR(__xludf.DUMMYFUNCTION("GOOGLETRANSLATE(B770, ""en"", ""pt-br"")"),"Ok cabo, três pinos com fio híbrido, resistente, bom, bom., Tão bom, carplay não suportado, पैसा वसूल 🙂")</f>
        <v>Ok cabo, três pinos com fio híbrido, resistente, bom, bom., Tão bom, carplay não suportado, पैसा वसूल 🙂</v>
      </c>
      <c r="E770" s="29" t="str">
        <f>IFERROR(__xludf.DUMMYFUNCTION("GOOGLETRANSLATE(C770, ""en"", ""pt-br"")"),"O produto parece e funciona bem, mas não é um cabo de carregamento rápido, como deve ser e quando todas as três portas estão conectadas, mais lentamente, estou carregando apenas um bom cabo, todas as três portas estão lá, então é um produto OK apenas se s"&amp;"e Você está procurando um carregamento rápido, então eu diria pensar duas vezes antes de você usar o inimigo há um tempo agora isso é com certeza um cabo de carregamento rápido e, nesse carregador de raios TGE, não está funcionando corretamente de vez em "&amp;"quando eu tenho que verificar seu Ele carregava meu iPhone e eu tive que desconectar e responder por carregar está sendo desconectado. Não entendo como esse cabo não está bem, usei esse tipo C mais comumente, dependendo do meu poder de poder, e também etc"&amp;". O carregamento é um pouco lento quando você conecta vários dispositivos. Mas não é adequado para mim, pois não suporta a Apple Car Play,")</f>
        <v>O produto parece e funciona bem, mas não é um cabo de carregamento rápido, como deve ser e quando todas as três portas estão conectadas, mais lentamente, estou carregando apenas um bom cabo, todas as três portas estão lá, então é um produto OK apenas se se Você está procurando um carregamento rápido, então eu diria pensar duas vezes antes de você usar o inimigo há um tempo agora isso é com certeza um cabo de carregamento rápido e, nesse carregador de raios TGE, não está funcionando corretamente de vez em quando eu tenho que verificar seu Ele carregava meu iPhone e eu tive que desconectar e responder por carregar está sendo desconectado. Não entendo como esse cabo não está bem, usei esse tipo C mais comumente, dependendo do meu poder de poder, e também etc. O carregamento é um pouco lento quando você conecta vários dispositivos. Mas não é adequado para mim, pois não suporta a Apple Car Play,</v>
      </c>
    </row>
    <row r="771">
      <c r="A771" s="9" t="s">
        <v>3048</v>
      </c>
      <c r="B771" s="29" t="str">
        <f>VLOOKUP(dados!A771, reviews!A:G, 5, FALSE)</f>
        <v>Good product,4 star overall,Good, nice worth it,Good cable,Good product,Reasonable price, good quality.,amazing,PERFECT!!</v>
      </c>
      <c r="C771" s="29" t="str">
        <f>VLOOKUP(dados!A771, reviews!A:G, 6, FALSE)</f>
        <v>Using since last  two weeks  .,Good,Good, nice, worth it, perfect,Does its job, the build quality of the wire is good nothing to complain about.,Good quality product works well.,Reasonable price, good quality.,wao wao super speed fast asf,</v>
      </c>
      <c r="D771" s="29" t="str">
        <f>IFERROR(__xludf.DUMMYFUNCTION("GOOGLETRANSLATE(B771, ""en"", ""pt-br"")"),"Bom produto, 4 estrelas em geral, bom, bom vale a pena, bom cabo, bom produto, preço razoável, boa qualidade., Incrível, perfeito !!")</f>
        <v>Bom produto, 4 estrelas em geral, bom, bom vale a pena, bom cabo, bom produto, preço razoável, boa qualidade., Incrível, perfeito !!</v>
      </c>
      <c r="E771" s="29" t="str">
        <f>IFERROR(__xludf.DUMMYFUNCTION("GOOGLETRANSLATE(C771, ""en"", ""pt-br"")"),"Usando desde as últimas duas semanas., Bom, bom, bom, vale a pena, perfeito, faz seu trabalho, a qualidade de construção do fio é boa nada para reclamar., Produto de boa qualidade funciona bem., Preço razoável, boa qualidade., wao wao super velocidade ráp"&amp;"ida asf,")</f>
        <v>Usando desde as últimas duas semanas., Bom, bom, bom, vale a pena, perfeito, faz seu trabalho, a qualidade de construção do fio é boa nada para reclamar., Produto de boa qualidade funciona bem., Preço razoável, boa qualidade., wao wao super velocidade rápida asf,</v>
      </c>
    </row>
    <row r="772">
      <c r="A772" s="9" t="s">
        <v>3054</v>
      </c>
      <c r="B772" s="29" t="str">
        <f>VLOOKUP(dados!A772, reviews!A:G, 5, FALSE)</f>
        <v>Great for typing horrible for gaming.,Performance good and smooth. 💖💖,Value for money,Keyboard,good for the price,This is the best wireless keyboard,Worth it product.......,Nice one</v>
      </c>
      <c r="C772" s="29" t="str">
        <f>VLOOKUP(dados!A772, reviews!A:G, 6, FALSE)</f>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v>
      </c>
      <c r="D772" s="29" t="str">
        <f>IFERROR(__xludf.DUMMYFUNCTION("GOOGLETRANSLATE(B772, ""en"", ""pt-br"")"),"Ótimo para digitar horríveis para jogos., Desempenho bom e suave. 💖💖, valor ao dinheiro, teclado, bom para o preço, este é o melhor teclado sem fio, vale a pena o produto ......., bom")</f>
        <v>Ótimo para digitar horríveis para jogos., Desempenho bom e suave. 💖💖, valor ao dinheiro, teclado, bom para o preço, este é o melhor teclado sem fio, vale a pena o produto ......., bom</v>
      </c>
      <c r="E772" s="29" t="str">
        <f>IFERROR(__xludf.DUMMYFUNCTION("GOOGLETRANSLATE(C772, ""en"", ""pt-br"")"),"A digitação é fácil, confortável e rápida, mas o teclado não é bom para os jogos. Os botões quando pressionados e segurados por muito tempo podem permanecer presos quando liberados. O botão em si não fica abaixo, mas ainda continua funcionando até que eu "&amp;"o pressione novamente. Morreu em jogos muitas vezes caindo de lugares altos. Eu também tive o mesmo problema no meu antigo teclado do laptop HP Pavilion. Algo que eles devem dar uma olhada., Estou usando 6 meses. Agora está realizando um bom e bom produto"&amp;". Bom produto., Bom produto, falta de LED para nível de potência, caps e numlock é uma grande dor de cabeça., O teclado não faz '' Temos tanto tátil como meu teclado HP com fio. Definitivamente parece bom e funciona perfeitamente. O mouse é um pouco peque"&amp;"no em comparação com os com fio. Não tenho certeza sobre a bateria. apenas comecei a usá -lo., eu comprei, estou trabalhando com ele e é bom., bom produto")</f>
        <v>A digitação é fácil, confortável e rápida, mas o teclado não é bom para os jogos. Os botões quando pressionados e segurados por muito tempo podem permanecer presos quando liberados. O botão em si não fica abaixo, mas ainda continua funcionando até que eu o pressione novamente. Morreu em jogos muitas vezes caindo de lugares altos. Eu também tive o mesmo problema no meu antigo teclado do laptop HP Pavilion. Algo que eles devem dar uma olhada., Estou usando 6 meses. Agora está realizando um bom e bom produto. Bom produto., Bom produto, falta de LED para nível de potência, caps e numlock é uma grande dor de cabeça., O teclado não faz '' Temos tanto tátil como meu teclado HP com fio. Definitivamente parece bom e funciona perfeitamente. O mouse é um pouco pequeno em comparação com os com fio. Não tenho certeza sobre a bateria. apenas comecei a usá -lo., eu comprei, estou trabalhando com ele e é bom., bom produto</v>
      </c>
    </row>
    <row r="773">
      <c r="A773" s="9" t="s">
        <v>149</v>
      </c>
      <c r="B773" s="29" t="str">
        <f>VLOOKUP(dados!A773, reviews!A:G, 5, FALSE)</f>
        <v>Just buy it dont even 2nd guess it,Quality is good,Nylon braided quiet sturdy,Amazing,Feels like steel harnessed wire - strong,Sturdy and durable. Useful for charging Power Banks,good,Nice quality</v>
      </c>
      <c r="C773" s="29" t="str">
        <f>VLOOKUP(dados!A773, reviews!A:G, 6, FALSE)</f>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v>
      </c>
      <c r="D773" s="29" t="str">
        <f>IFERROR(__xludf.DUMMYFUNCTION("GOOGLETRANSLATE(B773, ""en"", ""pt-br"")"),"Basta comprar, nem o segundo adivinhe, a qualidade é boa, nylon trançado silencioso robusto, incrível, parece um fio de aço - forte, forte e durável. Útil para cobrar bancos de energia, boa, boa qualidade")</f>
        <v>Basta comprar, nem o segundo adivinhe, a qualidade é boa, nylon trançado silencioso robusto, incrível, parece um fio de aço - forte, forte e durável. Útil para cobrar bancos de energia, boa, boa qualidade</v>
      </c>
      <c r="E773" s="29" t="str">
        <f>IFERROR(__xludf.DUMMYFUNCTION("GOOGLETRANSLATE(C773, ""en"", ""pt-br"")"),"Um cabo incrível por 300 dólares, ok de carregamento. Parece muito resistente e durável., Charagem rápida de até 25watts 2m de comprimento e realmente durável. Procurei como a 4ª vez passou por meus cabos mais antigos para os membros da família ainda em e"&amp;"stado de trabalho. Comprei em 2019 e quase os últimos três anos Publique um uso pesado ... vou comprar de novo! Cabo de carregamento USB C de boa qualidade, de boa qualidade, que permite o carregamento rápido para os telefones Samsung M21, bem como M33 5G"&amp;" 24 W, buscando telefones. Comprimento do cabo de 2 metros útil para manter o telefone na mesa enquanto carrega o adaptador conectado à saída elétrica. Melhor valor. Custos de 2 m semelhantes custam 3x ou 4x no mercado de varejo. Este é o melhor preço, ót"&amp;"imo produto. Quer isso, pois minha bateria portátil possui slot USB e iPad e Kindle Reader possui portas USB-C. Se encaixa perfeitamente na minha necessidade. Cobra muito rápido., Bom, muito bom no geral")</f>
        <v>Um cabo incrível por 300 dólares, ok de carregamento. Parece muito resistente e durável., Charagem rápida de até 25watts 2m de comprimento e realmente durável. Procurei como a 4ª vez passou por meus cabos mais antigos para os membros da família ainda em estado de trabalho. Comprei em 2019 e quase os últimos três anos Publique um uso pesado ... vou comprar de novo! Cabo de carregamento USB C de boa qualidade, de boa qualidade, que permite o carregamento rápido para os telefones Samsung M21, bem como M33 5G 24 W, buscando telefones. Comprimento do cabo de 2 metros útil para manter o telefone na mesa enquanto carrega o adaptador conectado à saída elétrica. Melhor valor. Custos de 2 m semelhantes custam 3x ou 4x no mercado de varejo. Este é o melhor preço, ótimo produto. Quer isso, pois minha bateria portátil possui slot USB e iPad e Kindle Reader possui portas USB-C. Se encaixa perfeitamente na minha necessidade. Cobra muito rápido., Bom, muito bom no geral</v>
      </c>
    </row>
    <row r="774">
      <c r="A774" s="9" t="s">
        <v>3059</v>
      </c>
      <c r="B774" s="29" t="str">
        <f>VLOOKUP(dados!A774, reviews!A:G, 5, FALSE)</f>
        <v>No TRRS to TRS converter in the box,Not suitable for DSLR camera,Good for beginners,OK,Don't buy,For beginners it's good,Average product,It is a good and useful mic for YouTube content maker</v>
      </c>
      <c r="C774" s="29" t="str">
        <f>VLOOKUP(dados!A774, reviews!A:G, 6, FALSE)</f>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v>
      </c>
      <c r="D774" s="29" t="str">
        <f>IFERROR(__xludf.DUMMYFUNCTION("GOOGLETRANSLATE(B774, ""en"", ""pt-br"")"),"Não há TRRs to TRS Converter na caixa, não adequado para a câmera DSLR, bom para iniciantes, ok, não compre, para iniciantes é bom, produto médio, é um microfone bom e útil para o YouTube Content Maker")</f>
        <v>Não há TRRs to TRS Converter na caixa, não adequado para a câmera DSLR, bom para iniciantes, ok, não compre, para iniciantes é bom, produto médio, é um microfone bom e útil para o YouTube Content Maker</v>
      </c>
      <c r="E774" s="29" t="str">
        <f>IFERROR(__xludf.DUMMYFUNCTION("GOOGLETRANSLATE(C774, ""en"", ""pt-br"")"),"A qualidade do som desse microfone é muito boa, mas se você estiver procurando por um microfone que usará no seu PC, não compre este microfone porque não vem com um conversor TRRS para TRS. O bom comprimento geral do microfone e do fio também é média de 1"&amp;" metro. Nesta faixa de preço, vale a pena comprar este microfone, mas se você quiser usar em laptop ou PC, compre o microfone Maono Au 400, que vem com um conversor e também é um microfone muito bom., Não é adequado para a câmera DSLR, apenas bom Para YT,"&amp;" ok 👌, o produto não é bom para ninguém. É uma sucata e desperdício de dinheiro. ,, Não muito bom, tem um bom som e qualidade de áudio. Não tem muito bom cancelamento de ruído. Ele filtrará algum som minuto. É útil para os criadores de vídeos do YouTube."&amp;" Mas o clipe é muito difícil, por isso não posso encaixá -lo na camisa. Vale a pena o custo.")</f>
        <v>A qualidade do som desse microfone é muito boa, mas se você estiver procurando por um microfone que usará no seu PC, não compre este microfone porque não vem com um conversor TRRS para TRS. O bom comprimento geral do microfone e do fio também é média de 1 metro. Nesta faixa de preço, vale a pena comprar este microfone, mas se você quiser usar em laptop ou PC, compre o microfone Maono Au 400, que vem com um conversor e também é um microfone muito bom., Não é adequado para a câmera DSLR, apenas bom Para YT, ok 👌, o produto não é bom para ninguém. É uma sucata e desperdício de dinheiro. ,, Não muito bom, tem um bom som e qualidade de áudio. Não tem muito bom cancelamento de ruído. Ele filtrará algum som minuto. É útil para os criadores de vídeos do YouTube. Mas o clipe é muito difícil, por isso não posso encaixá -lo na camisa. Vale a pena o custo.</v>
      </c>
    </row>
    <row r="775">
      <c r="A775" s="9" t="s">
        <v>3063</v>
      </c>
      <c r="B775" s="29" t="str">
        <f>VLOOKUP(dados!A775, reviews!A:G, 5, FALSE)</f>
        <v>Fits well in ears,Controls / Performance / backup,JUST OK,Good buy with small hiccups,Not good for gaming,Overall good product.,It's good,Active noise cancellation ok</v>
      </c>
      <c r="C775" s="29" t="str">
        <f>VLOOKUP(dados!A775, reviews!A:G, 6, FALSE)</f>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v>
      </c>
      <c r="D775" s="29" t="str">
        <f>IFERROR(__xludf.DUMMYFUNCTION("GOOGLETRANSLATE(B775, ""en"", ""pt-br"")"),"Se encaixa bem em ouvidos, controles / desempenho / backup, apenas ok, boa compra com pequenos soluços, não é bom para jogos, bom produto geral., É bom, cancelamento de ruído ativo ok")</f>
        <v>Se encaixa bem em ouvidos, controles / desempenho / backup, apenas ok, boa compra com pequenos soluços, não é bom para jogos, bom produto geral., É bom, cancelamento de ruído ativo ok</v>
      </c>
      <c r="E775" s="29" t="str">
        <f>IFERROR(__xludf.DUMMYFUNCTION("GOOGLETRANSLATE(C775, ""en"", ""pt-br"")"),"A qualidade do áudio é boa para essa faixa de preço. O cancelamento de ruído também funciona muito bem. A melhor coisa é que ele se encaixa bem nos meus ouvidos. A funcionalidade do microfone também é boa porque reduz o ruído ambiental indesejado para o e"&amp;"xemplo, quando você está conversando com alguém em um local lotado., Uma torneira (esquerda/direita) --- pausa/tapando tap (esquerda/direita) --- Anterior/ NextThree Tap (esquerda/ direita) --- Volume-/+Four Tap esquerda --- Música/ GameFour Tap direita -"&amp;"-- base/ rock/ hifiright hold --- altere onc/ sem anc/ transparentleft hold --- Bixby / Siri / Google Assistanthold por mais tempo --- Virar esses são os controles de toque para o Omega .Anc não é muito bom. Mas tudo bem. Fornece um bom backup. Para uma f"&amp;"aixa de preço de 2000, é bom. O ENC está bem.Não aplicativo ou qualquer coisa para empatar, tem que fazê -lo com o equalizador móvel embutido., O cancelamento de noice não é bom. É um sistema de qualidade inferior. Caso contrário, a qualidade do som é boa"&amp;". O baixo está ok. Parecendo muito bem, bons acessórios. Sensor de toque quase bom trabalho., É um bom conjunto em geral. Às vezes, não se conecta automaticamente, e eu preciso abrir as configurações do Bluetooth no meu telefone/laptops para conectar manu"&amp;"almente - o que é um pouco irritante para mim., Além da latência .. não é bom para jogos .. o som do ambiente não é bom .. Você não pode dizer a direção das etapas do pé até que esteja muito perto. Não compre para jogos ... além de jogar, é um bom fone de"&amp;" ouvido nessa faixa de preço .., bom produto. Som decente. O baixo deveria ter sido melhor. Treble está ligeiramente na nota mais alta. O ANC funciona bem e subjugará o ruído ambiente., Eu gostei, bom")</f>
        <v>A qualidade do áudio é boa para essa faixa de preço. O cancelamento de ruído também funciona muito bem. A melhor coisa é que ele se encaixa bem nos meus ouvidos. A funcionalidade do microfone também é boa porque reduz o ruído ambiental indesejado para o exemplo, quando você está conversando com alguém em um local lotado., Uma torneira (esquerda/direita) --- pausa/tapando tap (esquerda/direita) --- Anterior/ NextThree Tap (esquerda/ direita) --- Volume-/+Four Tap esquerda --- Música/ GameFour Tap direita --- base/ rock/ hifiright hold --- altere onc/ sem anc/ transparentleft hold --- Bixby / Siri / Google Assistanthold por mais tempo --- Virar esses são os controles de toque para o Omega .Anc não é muito bom. Mas tudo bem. Fornece um bom backup. Para uma faixa de preço de 2000, é bom. O ENC está bem.Não aplicativo ou qualquer coisa para empatar, tem que fazê -lo com o equalizador móvel embutido., O cancelamento de noice não é bom. É um sistema de qualidade inferior. Caso contrário, a qualidade do som é boa. O baixo está ok. Parecendo muito bem, bons acessórios. Sensor de toque quase bom trabalho., É um bom conjunto em geral. Às vezes, não se conecta automaticamente, e eu preciso abrir as configurações do Bluetooth no meu telefone/laptops para conectar manualmente - o que é um pouco irritante para mim., Além da latência .. não é bom para jogos .. o som do ambiente não é bom .. Você não pode dizer a direção das etapas do pé até que esteja muito perto. Não compre para jogos ... além de jogar, é um bom fone de ouvido nessa faixa de preço .., bom produto. Som decente. O baixo deveria ter sido melhor. Treble está ligeiramente na nota mais alta. O ANC funciona bem e subjugará o ruído ambiente., Eu gostei, bom</v>
      </c>
    </row>
    <row r="776">
      <c r="A776" s="9" t="s">
        <v>3066</v>
      </c>
      <c r="B776" s="29" t="str">
        <f>VLOOKUP(dados!A776, reviews!A:G, 5, FALSE)</f>
        <v>Totally worth rs99,Best,Good,Valuable,Fulfil purpose, easy to carry,Good product,Good product,Good</v>
      </c>
      <c r="C776" s="29" t="str">
        <f>VLOOKUP(dados!A776, reviews!A:G, 6, FALSE)</f>
        <v>Perfect for a 10 inch tablet both vertically and horizontally,It was the best phone holder,Good,Premium quality and reasonable price 👍🏼,Fulfil purpose, easy to carry, solid material. Think it will last long.,Nice,Liked the product. Easy to carry, portable,  foldable, lightweight.,Good</v>
      </c>
      <c r="D776" s="29" t="str">
        <f>IFERROR(__xludf.DUMMYFUNCTION("GOOGLETRANSLATE(B776, ""en"", ""pt-br"")"),"Vale a pena Rs99, melhor, bom, valioso, cumprir um propósito, fácil de transportar, bom produto, bom produto, bom")</f>
        <v>Vale a pena Rs99, melhor, bom, valioso, cumprir um propósito, fácil de transportar, bom produto, bom produto, bom</v>
      </c>
      <c r="E776" s="29" t="str">
        <f>IFERROR(__xludf.DUMMYFUNCTION("GOOGLETRANSLATE(C776, ""en"", ""pt-br"")"),"Perfeito para um comprimido de 10 polegadas, vertical e horizontalmente, era o melhor suporte para telefone, qualidade boa, premium e preço razoável 👍🏼, propósito atendido, fácil de transportar material sólido. Acho que vai durar muito., Nice, gostou do"&amp;" produto. Fácil de transportar, portátil, dobrável, leve., Bom")</f>
        <v>Perfeito para um comprimido de 10 polegadas, vertical e horizontalmente, era o melhor suporte para telefone, qualidade boa, premium e preço razoável 👍🏼, propósito atendido, fácil de transportar material sólido. Acho que vai durar muito., Nice, gostou do produto. Fácil de transportar, portátil, dobrável, leve., Bom</v>
      </c>
    </row>
    <row r="777">
      <c r="A777" s="9" t="s">
        <v>3069</v>
      </c>
      <c r="B777" s="29" t="str">
        <f>VLOOKUP(dados!A777, reviews!A:G, 5, FALSE)</f>
        <v>Very responsive and stylish mouse,Simply Awesome,Satisfactory but OTG not working,Satisfied with this wireless mouse,Overall performance is good.,Overall very happy with the product,Strong build with silent click,Excellent mouse for the price</v>
      </c>
      <c r="C777" s="29" t="str">
        <f>VLOOKUP(dados!A777, reviews!A:G, 6, FALSE)</f>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v>
      </c>
      <c r="D777" s="29" t="str">
        <f>IFERROR(__xludf.DUMMYFUNCTION("GOOGLETRANSLATE(B777, ""en"", ""pt-br"")"),"Mouse muito receptivo e elegante, simplesmente incrível, satisfatório, mas OTG não está funcionando, satisfeito com este mouse sem fio, o desempenho geral é bom. No geral, muito feliz com o produto, compilação forte com clique silencioso, excelente mouse "&amp;"pelo preço")</f>
        <v>Mouse muito receptivo e elegante, simplesmente incrível, satisfatório, mas OTG não está funcionando, satisfeito com este mouse sem fio, o desempenho geral é bom. No geral, muito feliz com o produto, compilação forte com clique silencioso, excelente mouse pelo preço</v>
      </c>
      <c r="E777" s="29" t="str">
        <f>IFERROR(__xludf.DUMMYFUNCTION("GOOGLETRANSLATE(C777, ""en"", ""pt-br"")"),"Eu realmente gosto deste mouse sem fio, tornou -se meu motorista diário. A conexão é instantânea e rápida. O mouse está super confortável na minha mão. O clique é uma sensação fácil e perfeita. Muito receptivo e a aparência é elegante e compacta. Comprei "&amp;"este mouse sem fio devido ao seu fator de forma compacto. Pode ser transportado facilmente na sacola de laptop, evitando e corcunda na bolsa. O produto construído é resistente. A roda de rolagem é suave., O mouse é de acordo com minhas expectativas e real"&amp;"mente está funcionando sem problemas e não faz com que um tik pareça como qualquer outro mouse. O OTG fornecido com o mouse não está funcionando., Achei este produto extremamente amigável e satisfatório. O mouse está perfeitamente projetado e fornece uma "&amp;"excelente aderência. A sensibilidade é calibrada ao melhor. Vem com o recurso de cliques silenciosos., Este mouse está realmente funcionando muito bem com a qualidade e a velocidade do mouse de ponteiro é muito precisa e, para a distância, funciona até a "&amp;"longa distância. É impecável e muito bom de usar e segurar. Inicialmente, acho que levará algum tempo para se acostumar com o tamanho e a forma do mouse, mas depois disso, é muito suave. Além disso, é muito silencioso, o melhor mouse nessa faixa de preço "&amp;"construído é muito bom. O tempo de resposta é tão incrível. No geral, muito feliz com o produto., Excelente mouse por esse preço. Senti que é muito melhor do que a HP Logitech Zebronics e o Dell Wireless Mouse, pois eu usei todos os acima")</f>
        <v>Eu realmente gosto deste mouse sem fio, tornou -se meu motorista diário. A conexão é instantânea e rápida. O mouse está super confortável na minha mão. O clique é uma sensação fácil e perfeita. Muito receptivo e a aparência é elegante e compacta. Comprei este mouse sem fio devido ao seu fator de forma compacto. Pode ser transportado facilmente na sacola de laptop, evitando e corcunda na bolsa. O produto construído é resistente. A roda de rolagem é suave., O mouse é de acordo com minhas expectativas e realmente está funcionando sem problemas e não faz com que um tik pareça como qualquer outro mouse. O OTG fornecido com o mouse não está funcionando., Achei este produto extremamente amigável e satisfatório. O mouse está perfeitamente projetado e fornece uma excelente aderência. A sensibilidade é calibrada ao melhor. Vem com o recurso de cliques silenciosos., Este mouse está realmente funcionando muito bem com a qualidade e a velocidade do mouse de ponteiro é muito precisa e, para a distância, funciona até a longa distância. É impecável e muito bom de usar e segurar. Inicialmente, acho que levará algum tempo para se acostumar com o tamanho e a forma do mouse, mas depois disso, é muito suave. Além disso, é muito silencioso, o melhor mouse nessa faixa de preço construído é muito bom. O tempo de resposta é tão incrível. No geral, muito feliz com o produto., Excelente mouse por esse preço. Senti que é muito melhor do que a HP Logitech Zebronics e o Dell Wireless Mouse, pois eu usei todos os acima</v>
      </c>
    </row>
    <row r="778">
      <c r="A778" s="9" t="s">
        <v>3073</v>
      </c>
      <c r="B778" s="29" t="str">
        <f>VLOOKUP(dados!A778, reviews!A:G, 5, FALSE)</f>
        <v>FPS increased in games after installing it 😍,Worst Experience turned great,Very good product,Really increase performance,8gb ram r*8,It Worked,Good ram at good price.,Good RAM</v>
      </c>
      <c r="C778" s="29" t="str">
        <f>VLOOKUP(dados!A778, reviews!A:G, 6, FALSE)</f>
        <v>I installed it in my ASUS TUF FX505DT and i use it for gaming earlier it have 8gb RAM after installing it total RAM is 16gb and fps in game increased i am satisfied from this product 🥰,I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v>
      </c>
      <c r="D778" s="29" t="str">
        <f>IFERROR(__xludf.DUMMYFUNCTION("GOOGLETRANSLATE(B778, ""en"", ""pt-br"")"),"O FPS aumentou nos jogos após a instalação 😍, a pior experiência tornou ótima, muito bom produto, realmente aumenta o desempenho, 8 GB de RAM r*8, funcionou, bom ram a um bom preço., Good Ram")</f>
        <v>O FPS aumentou nos jogos após a instalação 😍, a pior experiência tornou ótima, muito bom produto, realmente aumenta o desempenho, 8 GB de RAM r*8, funcionou, bom ram a um bom preço., Good Ram</v>
      </c>
      <c r="E778" s="29" t="str">
        <f>IFERROR(__xludf.DUMMYFUNCTION("GOOGLETRANSLATE(C778, ""en"", ""pt-br"")"),"Eu o instalei no meu ASUS TUF FX505DT e o uso para jogos anteriormente, ele tem 8 GB de RAM após a instalação de RAM total é de 16 GB e FPS no jogo aumentado. Estou satisfeito com este produto 🥰, recebi uma peça defeituosa. Eu já verifico meu laptop ante"&amp;"s de comprar o que a RAM seria compatível e meu laptop realmente suporta a atualização. Após pesquisas completas, comprei este RAM. Quando tentei instalá -lo, meu laptop mostrou uma tela em branco. Tentei alternar as portas nos Rams (pré-instalado e cruci"&amp;"al). Mas meu laptop estava trabalhando com o pré -instalado e não estava com um crucial. Eu tentei todas as combinações possíveis e ficou evidente que a RAM que recebi estava com defeito. Eu vá direto para substituir o produto, mas não havia opção para is"&amp;"so. Nenhuma opção de retorno também. Eu só tinha uma opção para entrar em contato com o atendimento ao cliente, então entrei em contato com eles e expliquei o problema em detalhes. Eles me pediram para me segurar e me conectar a um chamado especialista. O"&amp;" especialista não me pediu nada, apenas me pediu para fazer upload de uma foto que eu já fiz. Então a chamada especialista me pediu para fazer o upload da imagem no link que ela estaria compartilhando, que eu nunca recebi. Eu até tentei classificar, mas g"&amp;"raças ao aplicativo Amazon iOS, mesmo que isso não fosse possível porque não havia barra de rolagem na guia Classificação. Não sei se receberia algum apoio ou não, mas essa foi uma experiência patética e nunca esperava isso da Amazon. Seria um fim para es"&amp;"se título de mais de 8 anos com a Amazon se eu não recebesse nenhum suporte nisso. Atualizarei isso se receber alguma ajuda! Mas Ram é ótimo!, É melhor instalá -lo com o SSD. Senti uma elevação muito boa no meu laptop depois de instalar o SSD e este RAM d"&amp;"e 8 GB., Meu laptop tinha 8 GB de RAM antes de encomendar DDR4 Crucial 8 GB Sodimm Ram e realmente aumenta a várias tarefas, minha experiência de codificação também aumentou, Android Studio Take Menos tempo do que antes, ainda não joguei nenhum jogo ainda"&amp;" ... mas vou atualizá -lo quando jogar qualquer jogo no futuro, antes de tudo, deixe -me esclarecer qualquer confusão para outro comprador, é R*8 Ram que recebi claramente mencionado no adesivo RAM 8 GB operando a 3200MHz, se a sua RAM existente no seu la"&amp;"ptop estiver operando menos de 3200mhz, ele reduzirá automaticamente seu MHz a inadimpl Idéia sobre todos esses eletrônicos, mas depois de assistir a vídeos do YouTube, finalmente a instalei e funcionou. Meu laptop Aspire A5 com 4 GB instalado RAM, agora "&amp;"é 8+4 = 12 gb.Lets C Se meu laptok fornecer um bom desempenho. Um bom preço. É uma dupla classificação de 3200 MHz. Digitalize com scanner crusial., Bom RAM com preço decente, fácil de instalar e até agora o desempenho parece bom. Tem que testá -lo durant"&amp;"e os jogos. Mas até aí tudo bem.")</f>
        <v>Eu o instalei no meu ASUS TUF FX505DT e o uso para jogos anteriormente, ele tem 8 GB de RAM após a instalação de RAM total é de 16 GB e FPS no jogo aumentado. Estou satisfeito com este produto 🥰, recebi uma peça defeituosa. Eu já verifico meu laptop antes de comprar o que a RAM seria compatível e meu laptop realmente suporta a atualização. Após pesquisas completas, comprei este RAM. Quando tentei instalá -lo, meu laptop mostrou uma tela em branco. Tentei alternar as portas nos Rams (pré-instalado e crucial). Mas meu laptop estava trabalhando com o pré -instalado e não estava com um crucial. Eu tentei todas as combinações possíveis e ficou evidente que a RAM que recebi estava com defeito. Eu vá direto para substituir o produto, mas não havia opção para isso. Nenhuma opção de retorno também. Eu só tinha uma opção para entrar em contato com o atendimento ao cliente, então entrei em contato com eles e expliquei o problema em detalhes. Eles me pediram para me segurar e me conectar a um chamado especialista. O especialista não me pediu nada, apenas me pediu para fazer upload de uma foto que eu já fiz. Então a chamada especialista me pediu para fazer o upload da imagem no link que ela estaria compartilhando, que eu nunca recebi. Eu até tentei classificar, mas graças ao aplicativo Amazon iOS, mesmo que isso não fosse possível porque não havia barra de rolagem na guia Classificação. Não sei se receberia algum apoio ou não, mas essa foi uma experiência patética e nunca esperava isso da Amazon. Seria um fim para esse título de mais de 8 anos com a Amazon se eu não recebesse nenhum suporte nisso. Atualizarei isso se receber alguma ajuda! Mas Ram é ótimo!, É melhor instalá -lo com o SSD. Senti uma elevação muito boa no meu laptop depois de instalar o SSD e este RAM de 8 GB., Meu laptop tinha 8 GB de RAM antes de encomendar DDR4 Crucial 8 GB Sodimm Ram e realmente aumenta a várias tarefas, minha experiência de codificação também aumentou, Android Studio Take Menos tempo do que antes, ainda não joguei nenhum jogo ainda ... mas vou atualizá -lo quando jogar qualquer jogo no futuro, antes de tudo, deixe -me esclarecer qualquer confusão para outro comprador, é R*8 Ram que recebi claramente mencionado no adesivo RAM 8 GB operando a 3200MHz, se a sua RAM existente no seu laptop estiver operando menos de 3200mhz, ele reduzirá automaticamente seu MHz a inadimpl Idéia sobre todos esses eletrônicos, mas depois de assistir a vídeos do YouTube, finalmente a instalei e funcionou. Meu laptop Aspire A5 com 4 GB instalado RAM, agora é 8+4 = 12 gb.Lets C Se meu laptok fornecer um bom desempenho. Um bom preço. É uma dupla classificação de 3200 MHz. Digitalize com scanner crusial., Bom RAM com preço decente, fácil de instalar e até agora o desempenho parece bom. Tem que testá -lo durante os jogos. Mas até aí tudo bem.</v>
      </c>
    </row>
    <row r="779">
      <c r="A779" s="9" t="s">
        <v>3080</v>
      </c>
      <c r="B779" s="29" t="str">
        <f>VLOOKUP(dados!A779, reviews!A:G, 5, FALSE)</f>
        <v>Most featured UPS,Not Sufficient for a 65" Sony 4K TV,Easy to install,Kind of useless for a PC with a GPU,How to return,Value for money,Big,Good stuff for it's purpose, it is working</v>
      </c>
      <c r="C779" s="29" t="str">
        <f>VLOOKUP(dados!A779, reviews!A:G, 6, FALSE)</f>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v>
      </c>
      <c r="D779" s="29" t="str">
        <f>IFERROR(__xludf.DUMMYFUNCTION("GOOGLETRANSLATE(B779, ""en"", ""pt-br"")"),"A maioria dos destaques, não é suficiente para uma TV Sony 4K de 65 "", fácil de instalar, meio inútil para um PC com uma GPU, como devolver, valor ao dinheiro, coisas grandes e boas para o seu propósito, está funcionando")</f>
        <v>A maioria dos destaques, não é suficiente para uma TV Sony 4K de 65 ", fácil de instalar, meio inútil para um PC com uma GPU, como devolver, valor ao dinheiro, coisas grandes e boas para o seu propósito, está funcionando</v>
      </c>
      <c r="E779" s="29" t="str">
        <f>IFERROR(__xludf.DUMMYFUNCTION("GOOGLETRANSLATE(C779, ""en"", ""pt-br"")"),"Meu Office PC UPS LeGrand Numeric UPS Digital 600EX-V está tendo apenas um LED e os códigos de bipe. Isso não é suficiente, se queremos mais detalhes. No entanto, a unidade é robusta, fácil de desmontar, fácil de substituir a bateria por bateria genérica,"&amp;" com o melhor tempo de transferência (menos de 4 mili seg) 37 minutos para o monitor CPU + quando verificado. Em vista disso, o Legrand Numeric UPS Digital 600Ex-V deve minha opção número um. Mas também possui baixas classificações de usuário. As seguinte"&amp;"s marcas chegaram ao meu aviso na pesquisa.1) APC BX600C-IN2) APC BX600CI-IN3) Emerson Liebert Iton CX 600 (não considerei microtek, Intex, Iball; VGUARD etc. eles são bons) os parâmetros técnicos do que tudo pareciam semelhantes, como compatibilidade do "&amp;"gerador, AVR, proteções de alta/baixa/sobrecarga. Mas o tempo de transferência especificado para numérico é inferior a 4 milhões de segundos, para APC 10 mili seg típico e para Liebert 4-8 milissegundos.APC BX600C-In é selecionado, pois meu requisito não "&amp;"é para PC ou laptop (mais pesquisas não são feitas Para o UPS com porta de comunicação e software de salvamento automático) e em vista de uma melhor interface (cor de led de potência, com o LED de LED de carregamento, LED de economia de bateria). Ele tamb"&amp;"ém possui melhor potência de backup e surto do que a APC BX600CI-IN (relé térmico resetável) com base nas revisões, há quatro questões principais que notei, (1) estoque muito antigo (a capacidade da bateria que deve estar em condição reduzida, resultante "&amp;"em tempo de backup de baixo) ou problema da bateria. (2) Danos de trânsito, pois é volumoso ao seu volume. Embora seja melhor comprar esses itens offline, ainda tentei on -line em vista da localização remota. (3) Sem proteção de carga. Ele age se a carga "&amp;"muito baixa estiver conectada (por exemplo, apenas modem ou menos de 30W e o modo de economia de bateria estiver ligado) após 5 minutos, as pessoas ficam confundidas como apenas 5 minutos de backup (não deve ser considerado como um problema antes conhecid"&amp;"o, Como cargas adicionais podem ser conectadas ou o modo de economia de bateria pode ser não selecionado) (4) Se o economizador da bateria estiver ativado, ele se desliga enquanto o suco de 5 minutos ainda é deixado (não deve ser considerado como um probl"&amp;"ema, pois pode ser não selecionado se selecionado intencionalmente intencionalmente ou sem querer) para reduzir os riscos acima, a M/S Appario Retail Private Ltd foi escolhida (no Lightening Deal a Rs2659.00). O pedido foi feito em 10.04.19. O produto é e"&amp;"ntregue em 4 dias em 13.04.19. A embalagem original foi envolvida em voltas repetidas de polietileno. A embalagem chegou sem distorções importantes. A embalagem original do desenho animado estava em condição selada. No entanto, quando foi aberto, alguns ("&amp;"partes) que o som de frouxidão vem do UPS. O mesmo foi relatado ao Centro de Serviços da APC. Eles registraram a denúncia e me disseram que a pessoa do serviço visitará dentro de 48 horas dos dias úteis. Além disso, eles deram autorização para colocar o U"&amp;"PS em serviço. Primeiro, ele foi totalmente carregado, enquanto a UPS em estado fora (a luz de carregamento estava acesa durante o carregamento e ficou desligada após o carregamento). Agora, o UPS foi realizado por botão liga / desliga (ele deve ser press"&amp;"ionado e segurar por não menos de 1 segundo antes da liberação ou liberação após o tom do sinal a carga) estava acontecendo, se a entrada de energia for mantida fora (na bateria). Está acontecendo algumas vezes. Quando está na bateria, o som do bipe estav"&amp;"a ocorrendo a cada 22 segundos contra a especificação manual da APC de 60 segundos. (O modo de economia de bateria estava em condições de desligamento), ele foi desligado em 5 segundos de alarme baixo da bateria, contra 60 segundos especificados no manual"&amp;". A data de fabricação conforme o deslizamento colado na embalagem original foi de novembro de 2018 (foto em anexo), mas o A data de aprovação de teste e qualidade é 11.01.2018 12.53 hrs (foto em anexo) (como minha carga é superior a 30W, posso colocá -lo"&amp;" no modo de economia de bateria, o botão de economia Alterar o estado, isso é menor, mas o tempo de retenção não é onde escrito no manual). A temperatura corporal da UPS parece estar no lado mais alto, quando comparado ao numérico instalado no escritório "&amp;"sob temperatura ambiente semelhante (enquanto está em carga com a rede elétrica como como a entrada como como bem como em condições fora de condição sem carregar, mas conectadas à rede elétrica). Acelana é apenas a experiência inicial, quaisquer atualizaç"&amp;"ões devem ser compartilhadas no futuro. Não será devolvido à Amazon. Para obter mais informações ou ajuda, entre em contato com eles. (Se você deseja que a instalação de retorno seja pesquisada por outras alternativas) Atualização 1 A pessoa do serviço me"&amp;" ligou para 14.04.19 e informou sobre sua visita planejada em 15.04.19.O SERVIÇO PESSOOL Visitado na manhã de 15.04.2019 E desmontado o UPS, houve um jogo menor com a bateria (todo o invólucro é de plástico, uma capa lateral é aberta, incluindo o topo com"&amp;"o uma parte) a peça pode ser devido a tolerâncias de design / fabricação. O PCB e o transformador já estavam firmemente presos ao corpo e todas as conexões também estavam apertadas. Portanto, a frouxidão é aceitável. A data de fabricação de baterias foi e"&amp;"m outubro de 2018. Concordei por sua proposta opcional substituir por uma nova bateria selada (mas fabricada em setembro de 2018). A conversa pode ser relevante para a criação da fiação, pois não está acontecendo com os soquetes principais em outras salas"&amp;" ou se removermos o plugue de entrada do UPS do mesmo soquete (consulte a próxima atualização para um motivo preciso). No geral, a única preocupação da pessoa do serviço foi o transformador mais quente, com base em sua experiência (mas será substituído ap"&amp;"enas se falhar). A resposta do centro de serviço é apreciável (também para um interior de 76 km do centro de serviço, localizado localizado no Capital do Estado) e complementa a política que não é de retorno. Apdate 2it está totalmente carregada com a bat"&amp;"eria substituída e o tempo de backup foi testado com a mesma carga acima. Mas desta vez grandes melhorias foram observadas no tempo de backup e nos parâmetros (difícil de raciocinar) como abaixo. O tempo de backup é de 32 min (até que algum tipo diferente"&amp;" de piscar de energia LED e diferentes tipos de bipes ocorram por alguns segundos, podem ser relevantes Para o modo de economia de bateria e, no entanto, ficou normalizado no automóvel) após 5 minutos ainda mais, ocorreu baixa bateria pisca de LED de ener"&amp;"gia (portanto, total 37 minutos contra 18 minutos de experiência anterior como acima) e esses bipes ocorreram por 40 segundos antes de tropeçar ( Contra 5 segundos de experiência anterior como acima), mas o LED de energia estava brilhando a cada poucos se"&amp;"gundos, até que mais 20 segundos em condições offs. a cada 22 segundos experiência anterior como acima). Eu estava totalmente envolvido com a pessoa do serviço, pois ele precisa proteger equipamentos de tipo de parceiro de serviço muito caro, volumoso e d"&amp;"istante em minha casa. Ele substituiu apenas a bateria e nem removeu o PCB. Mas como tantas maravilhas aconteceram ainda não foram analisadas e fundamentadas. Portanto, a tensão de saída de um 230 VCAs é medida entre 170-180 VCA quando a bateria.II) A que"&amp;"da de baixa tensão atuará se qualquer proteção separada de baixa tensão e alta tensão for usada na saída da UPS (enquanto estiver na bateria) Iii) As conversas podem ocorrer na UPS se alguma proteção separada é usada na UPS Outletiv) algum órgão já aconse"&amp;"lhado a não usar nenhuma proteção de onda na entrada para a UPSV) a pessoa do serviço da APC informada que a APC UPS não vai ativar, se a casa não estiver corretamente aterrado (o aterramento deve ser apropriado) para proteger de surtos.vi) se o UPS estiv"&amp;"er na bateria com o modo de economia de bateria ativado (ou seja, desligado), ele dará apenas 5 minutos de backup para cargas inferiores a 30W (como nenhum atos de proteção de carga), No entanto, se a carga for superior a 30W, ela será desligada, enquanto"&amp;" o suco de 5 minutos ainda é deixado (ou seja, se desativarmos o modo de economia de bateria, obteremos 5 minutos mais energia de backup) do exposto, o UPS agora está funcionando de acordo com as especificações. (Mas uma estrela da APC é reduzida contra q"&amp;"uestões iniciais de equipamento, embora exista uma resposta super rápida de seu centro de serviço), 5 estrelas para ""M/S Appario Retail Private Ltd"" The Seller, 5 estrelas para o APC Service Center e 5 estrelas Para Courier ""M/s Entrega"" para entrega "&amp;"segura e rápida. A UPS começou a carregar ainda mais e esperei até que a cobrança seja concluída. Agora, a TV como monitor com PC foi feita (levou até 0,45 amp durante a bota a frio, amplificada com medidor de grampo) enquanto a rede elétrica está ligada."&amp;" Uma vez que o PC estabilize (0,3a), a rede elétrica é desligada. Agora, é o backup de 17 minutos com bipe a cada minuto e recebeu bipes repetidos aos 17 minutos. Novamente, cada um bipe começou por 5 min. Depois disso, ocorreram bipes repetidos por 30 se"&amp;"gundos e a UPS foi disparada. Por isso, recebi 22 minutos e 30 segundos no total. Em vista disso, a classificação de estrelas é mantida em 4 estrelas. Uma observação é que a temperatura do transformador é alta enquanto está na bateria que significa (mais)"&amp;" a energia está sendo desperdiçada pelo transformador. Eu substituí mais uma vez em 15 , 01.2020 sob garantia, conforme o tempo de backup reduzido para 11 minutos nas mesmas condições e carga. Com a bateria nova, estou recebendo 24 minutos. Portanto, a AP"&amp;"C está sendo decepcionada pelo fabricante de bateria, onde a pessoa da qualidade da APC deve ter controle. Após a garantia, instalarei a bateria de Exide and See., Prós: o dispositivo é elegante, pequeno e mistura no ambiente. Contar: faz muito barulho. C"&amp;"omprei isso principalmente para apoiar minha televisão Sony XR-65X90K para lidar com o interruptor de geradores a rede elétrica (por &lt;30 segundos). Não é suficiente fazer isso e a TV liga e desligam continuamente ao executar a energia da UPS. Não tenho ce"&amp;"rteza de qual é o problema, pois a potência é suficiente. Caso contrário, você acabará com peso morto., Fácil de instalar, meu PC possui um PSU de 550W com mais de 80 eficácia de bronze, mas os componentes instalados não devem ir além de 280watts sob carg"&amp;"a máxima. Isso é desligado assim que minha GPU (GTX 970) atinge 100%. Então eu a usei para minha impressora. Mas assim que eu bati em impressão, o UPS é desligado. Portanto, é inútil lá também. Agora está apegado à minha TV, roteador e palestrantes. Pelo "&amp;"menos eu posso assistir Netflix ininterrupto., Estou tendo problemas nisso, acho que isso não está funcionando corretamente onde devo retornar, valor ao dinheiro, até agora trabalhando bem.")</f>
        <v>Meu Office PC UPS LeGrand Numeric UPS Digital 600EX-V está tendo apenas um LED e os códigos de bipe. Isso não é suficiente, se queremos mais detalhes. No entanto, a unidade é robusta, fácil de desmontar, fácil de substituir a bateria por bateria genérica, com o melhor tempo de transferência (menos de 4 mili seg) 37 minutos para o monitor CPU + quando verificado. Em vista disso, o Legrand Numeric UPS Digital 600Ex-V deve minha opção número um. Mas também possui baixas classificações de usuário. As seguintes marcas chegaram ao meu aviso na pesquisa.1) APC BX600C-IN2) APC BX600CI-IN3) Emerson Liebert Iton CX 600 (não considerei microtek, Intex, Iball; VGUARD etc. eles são bons) os parâmetros técnicos do que tudo pareciam semelhantes, como compatibilidade do gerador, AVR, proteções de alta/baixa/sobrecarga. Mas o tempo de transferência especificado para numérico é inferior a 4 milhões de segundos, para APC 10 mili seg típico e para Liebert 4-8 milissegundos.APC BX600C-In é selecionado, pois meu requisito não é para PC ou laptop (mais pesquisas não são feitas Para o UPS com porta de comunicação e software de salvamento automático) e em vista de uma melhor interface (cor de led de potência, com o LED de LED de carregamento, LED de economia de bateria). Ele também possui melhor potência de backup e surto do que a APC BX600CI-IN (relé térmico resetável) com base nas revisões, há quatro questões principais que notei, (1) estoque muito antigo (a capacidade da bateria que deve estar em condição reduzida, resultante em tempo de backup de baixo) ou problema da bateria. (2) Danos de trânsito, pois é volumoso ao seu volume. Embora seja melhor comprar esses itens offline, ainda tentei on -line em vista da localização remota. (3) Sem proteção de carga. Ele age se a carga muito baixa estiver conectada (por exemplo, apenas modem ou menos de 30W e o modo de economia de bateria estiver ligado) após 5 minutos, as pessoas ficam confundidas como apenas 5 minutos de backup (não deve ser considerado como um problema antes conhecido, Como cargas adicionais podem ser conectadas ou o modo de economia de bateria pode ser não selecionado) (4) Se o economizador da bateria estiver ativado, ele se desliga enquanto o suco de 5 minutos ainda é deixado (não deve ser considerado como um problema, pois pode ser não selecionado se selecionado intencionalmente intencionalmente ou sem querer) para reduzir os riscos acima, a M/S Appario Retail Private Ltd foi escolhida (no Lightening Deal a Rs2659.00). O pedido foi feito em 10.04.19. O produto é entregue em 4 dias em 13.04.19. A embalagem original foi envolvida em voltas repetidas de polietileno. A embalagem chegou sem distorções importantes. A embalagem original do desenho animado estava em condição selada. No entanto, quando foi aberto, alguns (partes) que o som de frouxidão vem do UPS. O mesmo foi relatado ao Centro de Serviços da APC. Eles registraram a denúncia e me disseram que a pessoa do serviço visitará dentro de 48 horas dos dias úteis. Além disso, eles deram autorização para colocar o UPS em serviço. Primeiro, ele foi totalmente carregado, enquanto a UPS em estado fora (a luz de carregamento estava acesa durante o carregamento e ficou desligada após o carregamento). Agora, o UPS foi realizado por botão liga / desliga (ele deve ser pressionado e segurar por não menos de 1 segundo antes da liberação ou liberação após o tom do sinal a carga) estava acontecendo, se a entrada de energia for mantida fora (na bateria). Está acontecendo algumas vezes. Quando está na bateria, o som do bipe estava ocorrendo a cada 22 segundos contra a especificação manual da APC de 60 segundos. (O modo de economia de bateria estava em condições de desligamento), ele foi desligado em 5 segundos de alarme baixo da bateria, contra 60 segundos especificados no manual. A data de fabricação conforme o deslizamento colado na embalagem original foi de novembro de 2018 (foto em anexo), mas o A data de aprovação de teste e qualidade é 11.01.2018 12.53 hrs (foto em anexo) (como minha carga é superior a 30W, posso colocá -lo no modo de economia de bateria, o botão de economia Alterar o estado, isso é menor, mas o tempo de retenção não é onde escrito no manual). A temperatura corporal da UPS parece estar no lado mais alto, quando comparado ao numérico instalado no escritório sob temperatura ambiente semelhante (enquanto está em carga com a rede elétrica como como a entrada como como bem como em condições fora de condição sem carregar, mas conectadas à rede elétrica). Acelana é apenas a experiência inicial, quaisquer atualizações devem ser compartilhadas no futuro. Não será devolvido à Amazon. Para obter mais informações ou ajuda, entre em contato com eles. (Se você deseja que a instalação de retorno seja pesquisada por outras alternativas) Atualização 1 A pessoa do serviço me ligou para 14.04.19 e informou sobre sua visita planejada em 15.04.19.O SERVIÇO PESSOOL Visitado na manhã de 15.04.2019 E desmontado o UPS, houve um jogo menor com a bateria (todo o invólucro é de plástico, uma capa lateral é aberta, incluindo o topo como uma parte) a peça pode ser devido a tolerâncias de design / fabricação. O PCB e o transformador já estavam firmemente presos ao corpo e todas as conexões também estavam apertadas. Portanto, a frouxidão é aceitável. A data de fabricação de baterias foi em outubro de 2018. Concordei por sua proposta opcional substituir por uma nova bateria selada (mas fabricada em setembro de 2018). A conversa pode ser relevante para a criação da fiação, pois não está acontecendo com os soquetes principais em outras salas ou se removermos o plugue de entrada do UPS do mesmo soquete (consulte a próxima atualização para um motivo preciso). No geral, a única preocupação da pessoa do serviço foi o transformador mais quente, com base em sua experiência (mas será substituído apenas se falhar). A resposta do centro de serviço é apreciável (também para um interior de 76 km do centro de serviço, localizado localizado no Capital do Estado) e complementa a política que não é de retorno. Apdate 2it está totalmente carregada com a bateria substituída e o tempo de backup foi testado com a mesma carga acima. Mas desta vez grandes melhorias foram observadas no tempo de backup e nos parâmetros (difícil de raciocinar) como abaixo. O tempo de backup é de 32 min (até que algum tipo diferente de piscar de energia LED e diferentes tipos de bipes ocorram por alguns segundos, podem ser relevantes Para o modo de economia de bateria e, no entanto, ficou normalizado no automóvel) após 5 minutos ainda mais, ocorreu baixa bateria pisca de LED de energia (portanto, total 37 minutos contra 18 minutos de experiência anterior como acima) e esses bipes ocorreram por 40 segundos antes de tropeçar ( Contra 5 segundos de experiência anterior como acima), mas o LED de energia estava brilhando a cada poucos segundos, até que mais 20 segundos em condições offs. a cada 22 segundos experiência anterior como acima). Eu estava totalmente envolvido com a pessoa do serviço, pois ele precisa proteger equipamentos de tipo de parceiro de serviço muito caro, volumoso e distante em minha casa. Ele substituiu apenas a bateria e nem removeu o PCB. Mas como tantas maravilhas aconteceram ainda não foram analisadas e fundamentadas. Portanto, a tensão de saída de um 230 VCAs é medida entre 170-180 VCA quando a bateria.II) A queda de baixa tensão atuará se qualquer proteção separada de baixa tensão e alta tensão for usada na saída da UPS (enquanto estiver na bateria) Iii) As conversas podem ocorrer na UPS se alguma proteção separada é usada na UPS Outletiv) algum órgão já aconselhado a não usar nenhuma proteção de onda na entrada para a UPSV) a pessoa do serviço da APC informada que a APC UPS não vai ativar, se a casa não estiver corretamente aterrado (o aterramento deve ser apropriado) para proteger de surtos.vi) se o UPS estiver na bateria com o modo de economia de bateria ativado (ou seja, desligado), ele dará apenas 5 minutos de backup para cargas inferiores a 30W (como nenhum atos de proteção de carga), No entanto, se a carga for superior a 30W, ela será desligada, enquanto o suco de 5 minutos ainda é deixado (ou seja, se desativarmos o modo de economia de bateria, obteremos 5 minutos mais energia de backup) do exposto, o UPS agora está funcionando de acordo com as especificações. (Mas uma estrela da APC é reduzida contra questões iniciais de equipamento, embora exista uma resposta super rápida de seu centro de serviço), 5 estrelas para "M/S Appario Retail Private Ltd" The Seller, 5 estrelas para o APC Service Center e 5 estrelas Para Courier "M/s Entrega" para entrega segura e rápida. A UPS começou a carregar ainda mais e esperei até que a cobrança seja concluída. Agora, a TV como monitor com PC foi feita (levou até 0,45 amp durante a bota a frio, amplificada com medidor de grampo) enquanto a rede elétrica está ligada. Uma vez que o PC estabilize (0,3a), a rede elétrica é desligada. Agora, é o backup de 17 minutos com bipe a cada minuto e recebeu bipes repetidos aos 17 minutos. Novamente, cada um bipe começou por 5 min. Depois disso, ocorreram bipes repetidos por 30 segundos e a UPS foi disparada. Por isso, recebi 22 minutos e 30 segundos no total. Em vista disso, a classificação de estrelas é mantida em 4 estrelas. Uma observação é que a temperatura do transformador é alta enquanto está na bateria que significa (mais) a energia está sendo desperdiçada pelo transformador. Eu substituí mais uma vez em 15 , 01.2020 sob garantia, conforme o tempo de backup reduzido para 11 minutos nas mesmas condições e carga. Com a bateria nova, estou recebendo 24 minutos. Portanto, a APC está sendo decepcionada pelo fabricante de bateria, onde a pessoa da qualidade da APC deve ter controle. Após a garantia, instalarei a bateria de Exide and See., Prós: o dispositivo é elegante, pequeno e mistura no ambiente. Contar: faz muito barulho. Comprei isso principalmente para apoiar minha televisão Sony XR-65X90K para lidar com o interruptor de geradores a rede elétrica (por &lt;30 segundos). Não é suficiente fazer isso e a TV liga e desligam continuamente ao executar a energia da UPS. Não tenho certeza de qual é o problema, pois a potência é suficiente. Caso contrário, você acabará com peso morto., Fácil de instalar, meu PC possui um PSU de 550W com mais de 80 eficácia de bronze, mas os componentes instalados não devem ir além de 280watts sob carga máxima. Isso é desligado assim que minha GPU (GTX 970) atinge 100%. Então eu a usei para minha impressora. Mas assim que eu bati em impressão, o UPS é desligado. Portanto, é inútil lá também. Agora está apegado à minha TV, roteador e palestrantes. Pelo menos eu posso assistir Netflix ininterrupto., Estou tendo problemas nisso, acho que isso não está funcionando corretamente onde devo retornar, valor ao dinheiro, até agora trabalhando bem.</v>
      </c>
    </row>
    <row r="780">
      <c r="A780" s="9" t="s">
        <v>3086</v>
      </c>
      <c r="B780" s="29" t="str">
        <f>VLOOKUP(dados!A780, reviews!A:G, 5, FALSE)</f>
        <v>Value for money,Small-sized Notebook,Worthy for money,Quality,I think it is a normal product,Value for money,Quality,Quality Product</v>
      </c>
      <c r="C780" s="29" t="str">
        <f>VLOOKUP(dados!A780, reviews!A:G, 6, FALSE)</f>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v>
      </c>
      <c r="D780" s="29" t="str">
        <f>IFERROR(__xludf.DUMMYFUNCTION("GOOGLETRANSLATE(B780, ""en"", ""pt-br"")"),"Valor pelo dinheiro, caderno de pequeno porte, digno de dinheiro, qualidade, acho que é um produto normal, valor para dinheiro, qualidade e produto de qualidade")</f>
        <v>Valor pelo dinheiro, caderno de pequeno porte, digno de dinheiro, qualidade, acho que é um produto normal, valor para dinheiro, qualidade e produto de qualidade</v>
      </c>
      <c r="E780" s="29" t="str">
        <f>IFERROR(__xludf.DUMMYFUNCTION("GOOGLETRANSLATE(C780, ""en"", ""pt-br"")"),"Bom produto, pensei que o livro seria mais longo, mas é muito pequeno. Mas é fácil de transportar., Gosto do modo de embalar junto com a qualidade do produto, ótimo produto., Não gosto porque é muito pequeno, mas tem muitas páginas (300) THX, qualidade do"&amp;" papel e ligação em espiral é bom. Durável. Um bom valor para o dinheiro, o melhor caderno para 5 assuntos diferentes do seu plano de estudos e da qualidade da página é bom, mas eu não gostei da quantidade e do tamanho da página é pequeno em geral., Recom"&amp;"endaria fortemente este produto. É composto de papel de alta qualidade.")</f>
        <v>Bom produto, pensei que o livro seria mais longo, mas é muito pequeno. Mas é fácil de transportar., Gosto do modo de embalar junto com a qualidade do produto, ótimo produto., Não gosto porque é muito pequeno, mas tem muitas páginas (300) THX, qualidade do papel e ligação em espiral é bom. Durável. Um bom valor para o dinheiro, o melhor caderno para 5 assuntos diferentes do seu plano de estudos e da qualidade da página é bom, mas eu não gostei da quantidade e do tamanho da página é pequeno em geral., Recomendaria fortemente este produto. É composto de papel de alta qualidade.</v>
      </c>
    </row>
    <row r="781">
      <c r="A781" s="9" t="s">
        <v>3090</v>
      </c>
      <c r="B781" s="29" t="str">
        <f>VLOOKUP(dados!A781, reviews!A:G, 5, FALSE)</f>
        <v>Good work,super quality,Good mouse. Handy for work from home.,Good Mouse for Laptop,very nice to use and soundless,Good,At this price, it's definitely best. Good working and functioning.,Good</v>
      </c>
      <c r="C781" s="29" t="str">
        <f>VLOOKUP(dados!A781, reviews!A:G, 6, FALSE)</f>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v>
      </c>
      <c r="D781" s="29" t="str">
        <f>IFERROR(__xludf.DUMMYFUNCTION("GOOGLETRANSLATE(B781, ""en"", ""pt-br"")"),"Bom trabalho, super qualidade, bom rato. Handy para trabalhar em casa., Bom mouse para laptop, muito bom de usar e sem som, bom, a esse preço, é definitivamente o melhor. Bom trabalho e funcionamento., Bom")</f>
        <v>Bom trabalho, super qualidade, bom rato. Handy para trabalhar em casa., Bom mouse para laptop, muito bom de usar e sem som, bom, a esse preço, é definitivamente o melhor. Bom trabalho e funcionamento., Bom</v>
      </c>
      <c r="E781" s="29" t="str">
        <f>IFERROR(__xludf.DUMMYFUNCTION("GOOGLETRANSLATE(C781, ""en"", ""pt-br"")"),"Muito bom produto para manipular o DPI é incrível, use Karne Mai Bhut Badiya Clicando sem som Super qualidade Hai mere de acordo, eu o uso para WFH. É muito útil usar e ter uma boa duração da bateria, com base no mouse de uso inicial é agradável e fácil p"&amp;"ara uso, produto VG, apenas ok, https: //m.media-amazon.com/images/i/71r9cje-m5l._sy88 .jpg, bom")</f>
        <v>Muito bom produto para manipular o DPI é incrível, use Karne Mai Bhut Badiya Clicando sem som Super qualidade Hai mere de acordo, eu o uso para WFH. É muito útil usar e ter uma boa duração da bateria, com base no mouse de uso inicial é agradável e fácil para uso, produto VG, apenas ok, https: //m.media-amazon.com/images/i/71r9cje-m5l._sy88 .jpg, bom</v>
      </c>
    </row>
    <row r="782">
      <c r="A782" s="9" t="s">
        <v>3094</v>
      </c>
      <c r="B782" s="29" t="str">
        <f>VLOOKUP(dados!A782, reviews!A:G, 5, FALSE)</f>
        <v>Worst product😡,Ok product,Good product 👍,Good. Does the Job,Fitting Issue and Charging issue,Not working.,Superb I love it,It's ok nice..but not up to the mark</v>
      </c>
      <c r="C782" s="29" t="str">
        <f>VLOOKUP(dados!A782, reviews!A:G, 6, FALSE)</f>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v>
      </c>
      <c r="D782" s="29" t="str">
        <f>IFERROR(__xludf.DUMMYFUNCTION("GOOGLETRANSLATE(B782, ""en"", ""pt-br"")"),"Pior produto😡, produto OK, bom produto 👍, bom. Faz o trabalho, problemas de encaixe e cobrança, não funcionando., Soberbo, eu amo isso, tudo bem ... mas não está à altura da marca")</f>
        <v>Pior produto😡, produto OK, bom produto 👍, bom. Faz o trabalho, problemas de encaixe e cobrança, não funcionando., Soberbo, eu amo isso, tudo bem ... mas não está à altura da marca</v>
      </c>
      <c r="E782" s="29" t="str">
        <f>IFERROR(__xludf.DUMMYFUNCTION("GOOGLETRANSLATE(C782, ""en"", ""pt-br"")"),"Após 20 dias de uso, os por favor não compram este produto. Ele diz um intervalo de 10m, mas após 30 cm, ele se conectará corretamente. Ligue para o RiECiv não funcionando o controle de toque não melhor, https: //m.media-amazon.com/images/w/webp_402378-t1"&amp;"/images/i/61JO1NSTXJL._Sy88. JPG, faz o trabalho. Bom valor pelo dinheiro pago, os fones de ouvido não com a carga completa de 100% sempre que eu os retiro da caixa de carregamento. Sempre mostra que começam com 90%. Também não é muito ajustado nas orelha"&amp;"s, mesmo mudando com as ouvido. Por que a empresa não está dando a opção de reembolso?, Esta é a entrega de retorno que recebi e isso também está culpado. Meus Airpots não estão cobrando desta vez. , Tudo bem, bom ... mas não à altura que eu usei de 10 me"&amp;"ses 🤝🏻")</f>
        <v>Após 20 dias de uso, os por favor não compram este produto. Ele diz um intervalo de 10m, mas após 30 cm, ele se conectará corretamente. Ligue para o RiECiv não funcionando o controle de toque não melhor, https: //m.media-amazon.com/images/w/webp_402378-t1/images/i/61JO1NSTXJL._Sy88. JPG, faz o trabalho. Bom valor pelo dinheiro pago, os fones de ouvido não com a carga completa de 100% sempre que eu os retiro da caixa de carregamento. Sempre mostra que começam com 90%. Também não é muito ajustado nas orelhas, mesmo mudando com as ouvido. Por que a empresa não está dando a opção de reembolso?, Esta é a entrega de retorno que recebi e isso também está culpado. Meus Airpots não estão cobrando desta vez. , Tudo bem, bom ... mas não à altura que eu usei de 10 meses 🤝🏻</v>
      </c>
    </row>
    <row r="783">
      <c r="A783" s="9" t="s">
        <v>3098</v>
      </c>
      <c r="B783" s="29" t="str">
        <f>VLOOKUP(dados!A783, reviews!A:G, 5, FALSE)</f>
        <v>Brightness effect,Birthday Gift for my nephew...,Product damage,Very good !,Nice product,Very good product,Just Ok Ok type Quality and costly, Not a Standard Quality Product.,Good quality product</v>
      </c>
      <c r="C783" s="29" t="str">
        <f>VLOOKUP(dados!A783, reviews!A:G, 6, FALSE)</f>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v>
      </c>
      <c r="D783" s="29" t="str">
        <f>IFERROR(__xludf.DUMMYFUNCTION("GOOGLETRANSLATE(B783, ""en"", ""pt-br"")"),"Efeito de brilho, presente de aniversário para o meu sobrinho ..., dano ao produto, muito bom!, Produto agradável, produto muito bom, apenas ok, ok tipo de qualidade e caro, não um produto de qualidade padrão., Produto de boa qualidade")</f>
        <v>Efeito de brilho, presente de aniversário para o meu sobrinho ..., dano ao produto, muito bom!, Produto agradável, produto muito bom, apenas ok, ok tipo de qualidade e caro, não um produto de qualidade padrão., Produto de boa qualidade</v>
      </c>
      <c r="E783" s="29" t="str">
        <f>IFERROR(__xludf.DUMMYFUNCTION("GOOGLETRANSLATE(C783, ""en"", ""pt-br"")"),"O produto é muito bom, mas depois de escrever as palavras no bloco, ele mostra muito mais leve, não podemos ver bem., É bom para o meu sobrinho ... mas o preço é um pouco alto para este produto., Um foi danificado imediatamente, muito Bom produto se a tel"&amp;"a um pouco mais brilhante, em todo o bom produto! ,, Este produto é muito bom, sua qualidade também é muito boa e provou ser muito útil para crianças, comprou um produto muito bom, o brilho é bom, a escrita é suave. Pode aparecer 4.2, pois o ponto aparece"&amp;" automaticamente entre ou próximo por eles em determinados lugares. Problema mais próximo da borda e da esquina. T Pedido de substituição ou retorno como vendedor envia até agora por entrega e acho que pode ser inoconômico para o vendedor receber e devolv"&amp;"er via serviço de entrega. Então, pensando em vendedores e entender sua conveniência, escolho mantê -lo e usá -lo. Somente pode ajudar e apoiar o humano :), produto de boa qualidade.")</f>
        <v>O produto é muito bom, mas depois de escrever as palavras no bloco, ele mostra muito mais leve, não podemos ver bem., É bom para o meu sobrinho ... mas o preço é um pouco alto para este produto., Um foi danificado imediatamente, muito Bom produto se a tela um pouco mais brilhante, em todo o bom produto! ,, Este produto é muito bom, sua qualidade também é muito boa e provou ser muito útil para crianças, comprou um produto muito bom, o brilho é bom, a escrita é suave. Pode aparecer 4.2, pois o ponto aparece automaticamente entre ou próximo por eles em determinados lugares. Problema mais próximo da borda e da esquina. T Pedido de substituição ou retorno como vendedor envia até agora por entrega e acho que pode ser inoconômico para o vendedor receber e devolver via serviço de entrega. Então, pensando em vendedores e entender sua conveniência, escolho mantê -lo e usá -lo. Somente pode ajudar e apoiar o humano :), produto de boa qualidade.</v>
      </c>
    </row>
    <row r="784">
      <c r="A784" s="9" t="s">
        <v>3102</v>
      </c>
      <c r="B784" s="29" t="str">
        <f>VLOOKUP(dados!A784, reviews!A:G, 5, FALSE)</f>
        <v>No any specific,Ok, in this price !,Write karte samay vibrate hota hai,Good but little hard to use on bed because of curvy edge,Poorly designed product,All over good product,Poor Stability,Good</v>
      </c>
      <c r="C784" s="29" t="str">
        <f>VLOOKUP(dados!A784, reviews!A:G, 6, FALSE)</f>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v>
      </c>
      <c r="D784" s="29" t="str">
        <f>IFERROR(__xludf.DUMMYFUNCTION("GOOGLETRANSLATE(B784, ""en"", ""pt-br"")"),"Não, qualquer específico, ok, neste preço!, Escreva karte samay vibrar hota hai, bom, mas pouco difícil de usar na cama por causa da borda curvilínea, produto mal projetado, em todo o produto, baixa estabilidade, boa estabilidade, bom")</f>
        <v>Não, qualquer específico, ok, neste preço!, Escreva karte samay vibrar hota hai, bom, mas pouco difícil de usar na cama por causa da borda curvilínea, produto mal projetado, em todo o produto, baixa estabilidade, boa estabilidade, bom</v>
      </c>
      <c r="E784" s="29" t="str">
        <f>IFERROR(__xludf.DUMMYFUNCTION("GOOGLETRANSLATE(C784, ""en"", ""pt-br"")"),"NA, pernas um pouco desequilibradas, produto geral OK para usar delicadamente., Antigo, a borda curvilínea está dificultando a permanecer na cama, geralmente cairá se o peso em uma extremidade da mesa for mais. No geral, estou usando, então estou acostuma"&amp;"do agora para usar isso. Mas as novas pessoas acharão problemático., Os pés são mal projetados, a mesa rola com o menor empurrão, um bom produto, mas reserve mais tempo para entregar, valor ao dinheiro, problemas de estabilidade estavam lá neste produto, "&amp;"foi tão demorado, Não preenche todas as suas expectativas, mas oferece a melhor qualidade a esses preços. Não é estável completamente")</f>
        <v>NA, pernas um pouco desequilibradas, produto geral OK para usar delicadamente., Antigo, a borda curvilínea está dificultando a permanecer na cama, geralmente cairá se o peso em uma extremidade da mesa for mais. No geral, estou usando, então estou acostumado agora para usar isso. Mas as novas pessoas acharão problemático., Os pés são mal projetados, a mesa rola com o menor empurrão, um bom produto, mas reserve mais tempo para entregar, valor ao dinheiro, problemas de estabilidade estavam lá neste produto, foi tão demorado, Não preenche todas as suas expectativas, mas oferece a melhor qualidade a esses preços. Não é estável completamente</v>
      </c>
    </row>
    <row r="785">
      <c r="A785" s="9" t="s">
        <v>3106</v>
      </c>
      <c r="B785" s="29" t="str">
        <f>VLOOKUP(dados!A785, reviews!A:G, 5, FALSE)</f>
        <v>Good &amp; attractive,Very versatile,Good,Good Product....,Good night light at 5Volt.,Pretty good product,Good,Nice bt it should be in direct plug not in usb</v>
      </c>
      <c r="C785" s="29" t="str">
        <f>VLOOKUP(dados!A785, reviews!A:G, 6, FALSE)</f>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v>
      </c>
      <c r="D785" s="29" t="str">
        <f>IFERROR(__xludf.DUMMYFUNCTION("GOOGLETRANSLATE(B785, ""en"", ""pt-br"")"),"Bom e atraente, muito versátil, bom, bom produto ...., boa luz noturna em 5Volt., Produto muito bom, bom, bom bt, ele deve estar em plugue direto não no USB")</f>
        <v>Bom e atraente, muito versátil, bom, bom produto ...., boa luz noturna em 5Volt., Produto muito bom, bom, bom bt, ele deve estar em plugue direto não no USB</v>
      </c>
      <c r="E785" s="29" t="str">
        <f>IFERROR(__xludf.DUMMYFUNCTION("GOOGLETRANSLATE(C785, ""en"", ""pt-br"")"),"Algumas portas USB estão pouco soltas, mas eu vou gerenciar., O brilho adequado pode ser usado como uma lâmpada noturna, produto agradável, sim, boa luz leitosa. Melhor valor para dinheiro. Usou -o no carregador de um telefone. E também em um banco de pot"&amp;"ência. Pode ser usado no inverno nevado quando a menor eletricidade está disponível na Caxemira., Recomenda ao dinheiro, como não havia conta ou qualquer rótulo dentro de D Parcel")</f>
        <v>Algumas portas USB estão pouco soltas, mas eu vou gerenciar., O brilho adequado pode ser usado como uma lâmpada noturna, produto agradável, sim, boa luz leitosa. Melhor valor para dinheiro. Usou -o no carregador de um telefone. E também em um banco de potência. Pode ser usado no inverno nevado quando a menor eletricidade está disponível na Caxemira., Recomenda ao dinheiro, como não havia conta ou qualquer rótulo dentro de D Parcel</v>
      </c>
    </row>
    <row r="786">
      <c r="A786" s="9" t="s">
        <v>145</v>
      </c>
      <c r="B786" s="29" t="str">
        <f>VLOOKUP(dados!A786, reviews!A:G, 5, FALSE)</f>
        <v>Very good product.,Using as a spare cable in car,Sturdy, Durable, Fast Charging!,Good brand,It’s like original apple cable,One of the best wire ..,Super well build. Quality product worth the money,Good product</v>
      </c>
      <c r="C786" s="29" t="str">
        <f>VLOOKUP(dados!A786, reviews!A:G, 6, FALSE)</f>
        <v>Fast charging.,Cable seems to be of good quality, not used much as I keep it as backup in my car.,It’s good, sturdy &amp; durable!It supports fast charging!Only thing is it’s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v>
      </c>
      <c r="D786" s="29" t="str">
        <f>IFERROR(__xludf.DUMMYFUNCTION("GOOGLETRANSLATE(B786, ""en"", ""pt-br"")"),"Produto muito bom., Usando como um cabo sobressalente em carro, carregamento robusto, durável e rápido!, Boa marca, é como o cabo de maçã original, um dos melhores fios .., super bem construir. Produto de qualidade que vale o dinheiro, bom produto")</f>
        <v>Produto muito bom., Usando como um cabo sobressalente em carro, carregamento robusto, durável e rápido!, Boa marca, é como o cabo de maçã original, um dos melhores fios .., super bem construir. Produto de qualidade que vale o dinheiro, bom produto</v>
      </c>
      <c r="E786" s="29" t="str">
        <f>IFERROR(__xludf.DUMMYFUNCTION("GOOGLETRANSLATE(C786, ""en"", ""pt-br"")"),"Carregamento rápido., O cabo parece ser de boa qualidade, não é usado muito, pois eu o mantenho como backup no meu carro., É bom, robusto e durável! Ele suporta carregamento rápido! Estou escrevendo esta resenha após 10 dias de uso deste produto e achei m"&amp;"uito durável e resistente. Também é bom para viajar, onde você deve mantê -lo nas sacolas sem qualquer tipo de caixa. Eu recomendaria a todos., Melhor fio de fio C para conector de iluminação GO Compra de dinheiro, valor ao dinheiro, estou feliz com o pro"&amp;"duto. A qualidade é boa. Durável.")</f>
        <v>Carregamento rápido., O cabo parece ser de boa qualidade, não é usado muito, pois eu o mantenho como backup no meu carro., É bom, robusto e durável! Ele suporta carregamento rápido! Estou escrevendo esta resenha após 10 dias de uso deste produto e achei muito durável e resistente. Também é bom para viajar, onde você deve mantê -lo nas sacolas sem qualquer tipo de caixa. Eu recomendaria a todos., Melhor fio de fio C para conector de iluminação GO Compra de dinheiro, valor ao dinheiro, estou feliz com o produto. A qualidade é boa. Durável.</v>
      </c>
    </row>
    <row r="787">
      <c r="A787" s="9" t="s">
        <v>3111</v>
      </c>
      <c r="B787" s="29" t="str">
        <f>VLOOKUP(dados!A787, reviews!A:G, 5, FALSE)</f>
        <v>[Updated] decent tws for under 1k,Sound clarity.,Good Product,Buds are very good Quality.,Nothing,Budget Friendly,Amazing sound,Good product...</v>
      </c>
      <c r="C787" s="29" t="str">
        <f>VLOOKUP(dados!A787, reviews!A:G, 6, FALSE)</f>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v>
      </c>
      <c r="D787" s="29" t="str">
        <f>IFERROR(__xludf.DUMMYFUNCTION("GOOGLETRANSLATE(B787, ""en"", ""pt-br"")"),"[Atualizado] TWs decentes para menos de 1k, clareza de som., Bom produto, brotos são de boa qualidade., Nada, som orçamentário, som incrível, bom produto ...")</f>
        <v>[Atualizado] TWs decentes para menos de 1k, clareza de som., Bom produto, brotos são de boa qualidade., Nada, som orçamentário, som incrível, bom produto ...</v>
      </c>
      <c r="E787" s="29" t="str">
        <f>IFERROR(__xludf.DUMMYFUNCTION("GOOGLETRANSLATE(C787, ""en"", ""pt-br"")"),"[Atualizado] No geral, você realmente recebe o que paga. Eles servem ao objetivo de um par de decente de TWS para chamadas básicas de qualidade e escuta musical. O principal problema que notei foi com o emparelhamento e a força da conexão, pois eles rotin"&amp;"eiramente perdem o sinal sem motivo aparente. Uma ou duas vezes eu tive problemas de apenas um dos brotos sendo emparelhado e tive que redefinir o outro para emparelhá -lo. Se você os uniu a um dispositivo e tentar emparelhar -se com outro sem se desconec"&amp;"tar primeiro trabalhar. Isso está começando a ficar irritante, mas talvez eu se acostuma. Veremos.--------------------------------------------- ------------- Esta é apenas o dia 1 de revisão destes. Peguei -os por Rs 898 em alguma oferta na Amazon. Vou po"&amp;"star atualizações mais tarde. Espero que isso seja útil para qualquer pessoa interessada. Vem com os fones de ouvido TWS equipados com tampões para os ouvidos médios instalados dentro da caixa. Também estão incluídos um cabo USB C muito curto e dois tampõ"&amp;"es para os ouvidos adicionais - pequenos e grandes. O pacote inclui alguns adesivos de ruído e um bom manual do usuário e cartão de instrução de garantia. Usarei por um tempo para ver se minhas preocupações são infundadas. Os fones de ouvido são os sentim"&amp;"entos bastante robustos na mão. Eles se encaixam muito aconchegando -se no caso e não há uma sensação evidente de que eles perdem ou sacudam dentro do caso.comfort: isso é muito subjetivo e cada orelha é diferente. É um dos reeonss que eu queria ter um TW"&amp;"S barato para ver se estou bem com o fator de forma por longas horas. Os tampões para os ouvidos de tamanho médio previstos não eram confortáveis, então mudei para os pequenos tamanhos. E depois de cerca de 20 minutos, esqueci que estava usando. Os fones "&amp;"de ouvido são muito leves devido à construção de plástico, mas de cabeça para baixo é que eles não causam tensão, mesmo após uma hora de uso contínuo. Uma coisa a observar é que, se você tem ouvidos de ""Gandhi"", o ajuste pode ser um pouco estranho - eu "&amp;"deveria saber. Meus ouvidos cobriam as áreas de toque dos brotos, então eu tive que mexer um pouco se quisesse fazer alguma das ações de toque. YMMV.SOUND QUALIDADE: Gostei deles. Não sou audiófilo, mas eles têm volume decente e níveis satisfatórios de gr"&amp;"aves e separação. Eu tentei meu teste habitual em https://youtu.be/j0a2prc_mqo e eles se saíram muito bem. O Treble Maxes fora no post de 15kHz, que você não ouve nada, mas isso é de se esperar no preço. Houve vibrações perceptíveis subindo abaixo de 30Hz"&amp;", mas os motoristas L e R parecem ser bem parecidos e todos os testes de panorning foram bastante decentes. Eu sinto que isso definitivamente dá um soco acima do seu preço. Não havia atraso e a pessoa do outro lado disse que minha voz estava muito clara. "&amp;"Mas as coisas dão uma queda íngreme assim que pouco barulho estiver presente e você começa a parecer que está dentro de um poço. Parece que os microfones não conseguem descobrir como filtrar sua voz para que acabem destruindo a qualidade da chamada. No ge"&amp;"ral, você obtém o que paga aqui. Não tenho certeza de como eles testaram e obtiveram 10m conforme anunciado. Quaisquer interrupções como uma parede simplesmente quebrarão a conexão, mas elas se conectaram automaticamente sempre até agora, então acho que é"&amp;" aceitável. Já emparelhado com um dispositivo como um laptop, eles simplesmente não podem ser emparelhados com outro dispositivo como o seu telefone. Você precisa desacelerar do primeiro dispositivo e depois tentar emparelhar novamente. Tinha problemas co"&amp;"mo apenas um dos brotos emparelhando também. Tive a briga para fazê-lo funcionar e não é conveniente .---------------- Não tenho um telefone para testar Os recursos rápidos do par - na verdade, eu nem tenho certeza de que eles suportam. De qualquer forma,"&amp;" os fones de ouvido entram no modo de emparelhamento assim que você os remove do estojo e eu consegui emparelhar sem problemas em vários telefones. Eles vão postar automaticamente essa configuração inicial em dispositivos emparelhados anteriormente. Eu nã"&amp;"o consegui encontrar nenhuma maneira de controlar o modo de emparelhamento. Você precisa viver com o que vem, pois não há aplicativo ou qualquer coisa para controlar o que ele faz. Eles desligam o modo de emparelhamento depois que você os colocar no caso,"&amp;" então espero que isso signifique que a bateria seja salva um pouco. Compartilharei minha experiência post uma semana e um mês. Mas eles vieram cerca de 80% cobrados na caixa e eu afirmei carregar o caso - a caixa diz que levará 2 horas para carregá -lo c"&amp;"ompletamente e existem indicadores básicos como um LED vermelho piscando para carregar que fica vermelho sólido uma vez feito. Os fones de ouvido também têm LEDs que piscam vermelho e branco para indicar emparelhamento, bateria baixa etc. Sync Questões: N"&amp;"enhum até agora. Mas já viram muitos desses relatórios e revisões em que os fones de ouvido L e R parecem sair de sincronia em TWSEs de preço baixo semelhante. Então, verá se eu enfrento desses problemas. Essas são as principais áreas com as quais me preo"&amp;"cupo ao avaliar qualquer TWS, então compartilhará como é minha experiência depois de um tempo. Até agora estou feliz com eles., Oi, meu nome é Akshay.Eu usei este produto e isso é muito bom em som e dinheiro valioso. são muito boa qualidade. Com grande re"&amp;"curso de cancelamento de ruído., Quando recebemos esta caixa de pedidos já está aberta assim. Eu não era esperado., O que eu não gosto são os Earpads, algum dia saiu, não sei o motivo que nem tentei ajustes diferentes. Descanso é ótimo., Som incrível, é a"&amp;" melhor escolha para o produto")</f>
        <v>[Atualizado] No geral, você realmente recebe o que paga. Eles servem ao objetivo de um par de decente de TWS para chamadas básicas de qualidade e escuta musical. O principal problema que notei foi com o emparelhamento e a força da conexão, pois eles rotineiramente perdem o sinal sem motivo aparente. Uma ou duas vezes eu tive problemas de apenas um dos brotos sendo emparelhado e tive que redefinir o outro para emparelhá -lo. Se você os uniu a um dispositivo e tentar emparelhar -se com outro sem se desconectar primeiro trabalhar. Isso está começando a ficar irritante, mas talvez eu se acostuma. Veremos.--------------------------------------------- ------------- Esta é apenas o dia 1 de revisão destes. Peguei -os por Rs 898 em alguma oferta na Amazon. Vou postar atualizações mais tarde. Espero que isso seja útil para qualquer pessoa interessada. Vem com os fones de ouvido TWS equipados com tampões para os ouvidos médios instalados dentro da caixa. Também estão incluídos um cabo USB C muito curto e dois tampões para os ouvidos adicionais - pequenos e grandes. O pacote inclui alguns adesivos de ruído e um bom manual do usuário e cartão de instrução de garantia. Usarei por um tempo para ver se minhas preocupações são infundadas. Os fones de ouvido são os sentimentos bastante robustos na mão. Eles se encaixam muito aconchegando -se no caso e não há uma sensação evidente de que eles perdem ou sacudam dentro do caso.comfort: isso é muito subjetivo e cada orelha é diferente. É um dos reeonss que eu queria ter um TWS barato para ver se estou bem com o fator de forma por longas horas. Os tampões para os ouvidos de tamanho médio previstos não eram confortáveis, então mudei para os pequenos tamanhos. E depois de cerca de 20 minutos, esqueci que estava usando. Os fones de ouvido são muito leves devido à construção de plástico, mas de cabeça para baixo é que eles não causam tensão, mesmo após uma hora de uso contínuo. Uma coisa a observar é que, se você tem ouvidos de "Gandhi", o ajuste pode ser um pouco estranho - eu deveria saber. Meus ouvidos cobriam as áreas de toque dos brotos, então eu tive que mexer um pouco se quisesse fazer alguma das ações de toque. YMMV.SOUND QUALIDADE: Gostei deles. Não sou audiófilo, mas eles têm volume decente e níveis satisfatórios de graves e separação. Eu tentei meu teste habitual em https://youtu.be/j0a2prc_mqo e eles se saíram muito bem. O Treble Maxes fora no post de 15kHz, que você não ouve nada, mas isso é de se esperar no preço. Houve vibrações perceptíveis subindo abaixo de 30Hz, mas os motoristas L e R parecem ser bem parecidos e todos os testes de panorning foram bastante decentes. Eu sinto que isso definitivamente dá um soco acima do seu preço. Não havia atraso e a pessoa do outro lado disse que minha voz estava muito clara. Mas as coisas dão uma queda íngreme assim que pouco barulho estiver presente e você começa a parecer que está dentro de um poço. Parece que os microfones não conseguem descobrir como filtrar sua voz para que acabem destruindo a qualidade da chamada. No geral, você obtém o que paga aqui. Não tenho certeza de como eles testaram e obtiveram 10m conforme anunciado. Quaisquer interrupções como uma parede simplesmente quebrarão a conexão, mas elas se conectaram automaticamente sempre até agora, então acho que é aceitável. Já emparelhado com um dispositivo como um laptop, eles simplesmente não podem ser emparelhados com outro dispositivo como o seu telefone. Você precisa desacelerar do primeiro dispositivo e depois tentar emparelhar novamente. Tinha problemas como apenas um dos brotos emparelhando também. Tive a briga para fazê-lo funcionar e não é conveniente .---------------- Não tenho um telefone para testar Os recursos rápidos do par - na verdade, eu nem tenho certeza de que eles suportam. De qualquer forma, os fones de ouvido entram no modo de emparelhamento assim que você os remove do estojo e eu consegui emparelhar sem problemas em vários telefones. Eles vão postar automaticamente essa configuração inicial em dispositivos emparelhados anteriormente. Eu não consegui encontrar nenhuma maneira de controlar o modo de emparelhamento. Você precisa viver com o que vem, pois não há aplicativo ou qualquer coisa para controlar o que ele faz. Eles desligam o modo de emparelhamento depois que você os colocar no caso, então espero que isso signifique que a bateria seja salva um pouco. Compartilharei minha experiência post uma semana e um mês. Mas eles vieram cerca de 80% cobrados na caixa e eu afirmei carregar o caso - a caixa diz que levará 2 horas para carregá -lo completamente e existem indicadores básicos como um LED vermelho piscando para carregar que fica vermelho sólido uma vez feito. Os fones de ouvido também têm LEDs que piscam vermelho e branco para indicar emparelhamento, bateria baixa etc. Sync Questões: Nenhum até agora. Mas já viram muitos desses relatórios e revisões em que os fones de ouvido L e R parecem sair de sincronia em TWSEs de preço baixo semelhante. Então, verá se eu enfrento desses problemas. Essas são as principais áreas com as quais me preocupo ao avaliar qualquer TWS, então compartilhará como é minha experiência depois de um tempo. Até agora estou feliz com eles., Oi, meu nome é Akshay.Eu usei este produto e isso é muito bom em som e dinheiro valioso. são muito boa qualidade. Com grande recurso de cancelamento de ruído., Quando recebemos esta caixa de pedidos já está aberta assim. Eu não era esperado., O que eu não gosto são os Earpads, algum dia saiu, não sei o motivo que nem tentei ajustes diferentes. Descanso é ótimo., Som incrível, é a melhor escolha para o produto</v>
      </c>
    </row>
    <row r="788">
      <c r="A788" s="9" t="s">
        <v>3115</v>
      </c>
      <c r="B788" s="29" t="str">
        <f>VLOOKUP(dados!A788, reviews!A:G, 5, FALSE)</f>
        <v>Worth the proce,Can't complain for the price,Good product,An Affordable Mouse Pad,Office only,Badiya,Worth it just for the cost to quality ratio.,Good.. But could've been excellent.</v>
      </c>
      <c r="C788" s="29" t="str">
        <f>VLOOKUP(dados!A788, reviews!A:G, 6, FALSE)</f>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it’ll hold up. Worth it just for the price.,Good quality &amp; comfort. But it isn't washable. Will have to throw it eventually even if it doesn't go bad.</v>
      </c>
      <c r="D788" s="29" t="str">
        <f>IFERROR(__xludf.DUMMYFUNCTION("GOOGLETRANSLATE(B788, ""en"", ""pt-br"")"),"Vale a pena o Proce, não pode reclamar pelo preço, bom produto, um bloco de mouse acessível, apenas escritório, badiya, vale a pena apenas para a proporção de custo / qualidade., Bom .. mas poderia ter sido excelente.")</f>
        <v>Vale a pena o Proce, não pode reclamar pelo preço, bom produto, um bloco de mouse acessível, apenas escritório, badiya, vale a pena apenas para a proporção de custo / qualidade., Bom .. mas poderia ter sido excelente.</v>
      </c>
      <c r="E788" s="29" t="str">
        <f>IFERROR(__xludf.DUMMYFUNCTION("GOOGLETRANSLATE(C788, ""en"", ""pt-br"")"),"É suave e de boa qualidade. O fundo tem um acabamento que o impede de se mover ... bom produto, melhor comprar um melhor por mais preço, eu gosto deste mouse pad. Não tenho nenhum problema com este item. Eu queria pedir um mousepad que não fosse um desper"&amp;"dício de dinheiro gigantesco, como adicionar o logotipo de uma marca de jogos em um bloco não deve custar 500 dólares, mas aqui estamos. Pad que agarra a mesa perfeitamente. A aparência de aparência e construção são boas. A costura parece bem, nem um únic"&amp;"o fio se destacando. Embora eu esteja falando da perspectiva de uma pessoa que precisa de um mousepad, não um jogador que está em sua 3ª compra de mousepad em um ano. (Eu mesmo sou um jogador, mas ainda não preciso de uma configuração de desktop adequada)"&amp;"., Não destinado a jogar obviamente, olhe para o seu tamanho, parece que você tem um escravo infantil durante o jogo XD, bom produto, ótimo mousepad, Parece sutil, se sente bem, os ratos funcionam muito bem nele. A costura parece que vai se sustentar. Val"&amp;"e a pena apenas pelo preço., Boa qualidade e conforto. Mas não é lavável. Terá que jogá -lo eventualmente, mesmo que não seja ruim.")</f>
        <v>É suave e de boa qualidade. O fundo tem um acabamento que o impede de se mover ... bom produto, melhor comprar um melhor por mais preço, eu gosto deste mouse pad. Não tenho nenhum problema com este item. Eu queria pedir um mousepad que não fosse um desperdício de dinheiro gigantesco, como adicionar o logotipo de uma marca de jogos em um bloco não deve custar 500 dólares, mas aqui estamos. Pad que agarra a mesa perfeitamente. A aparência de aparência e construção são boas. A costura parece bem, nem um único fio se destacando. Embora eu esteja falando da perspectiva de uma pessoa que precisa de um mousepad, não um jogador que está em sua 3ª compra de mousepad em um ano. (Eu mesmo sou um jogador, mas ainda não preciso de uma configuração de desktop adequada)., Não destinado a jogar obviamente, olhe para o seu tamanho, parece que você tem um escravo infantil durante o jogo XD, bom produto, ótimo mousepad, Parece sutil, se sente bem, os ratos funcionam muito bem nele. A costura parece que vai se sustentar. Vale a pena apenas pelo preço., Boa qualidade e conforto. Mas não é lavável. Terá que jogá -lo eventualmente, mesmo que não seja ruim.</v>
      </c>
    </row>
    <row r="789">
      <c r="A789" s="9" t="s">
        <v>3119</v>
      </c>
      <c r="B789" s="29" t="str">
        <f>VLOOKUP(dados!A789, reviews!A:G, 5, FALSE)</f>
        <v>Good quality,Good quality product,Must Go For It 🥰,Great case to carry charger or manage cabled products,Good,Rugged, compact. Would have been better with a loop to hold.,best for your earphones,Good</v>
      </c>
      <c r="C789" s="29" t="str">
        <f>VLOOKUP(dados!A789, reviews!A:G, 6, FALSE)</f>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v>
      </c>
      <c r="D789" s="29" t="str">
        <f>IFERROR(__xludf.DUMMYFUNCTION("GOOGLETRANSLATE(B789, ""en"", ""pt-br"")"),"Produto de boa qualidade, de boa qualidade, deve ir em busca de um ótimo caso para transportar ou gerenciar produtos com cabelos, bons, robustos, compactos. Teria sido melhor com um loop a ser segurado., Melhor para seus fones de ouvido, bom")</f>
        <v>Produto de boa qualidade, de boa qualidade, deve ir em busca de um ótimo caso para transportar ou gerenciar produtos com cabelos, bons, robustos, compactos. Teria sido melhor com um loop a ser segurado., Melhor para seus fones de ouvido, bom</v>
      </c>
      <c r="E789" s="29" t="str">
        <f>IFERROR(__xludf.DUMMYFUNCTION("GOOGLETRANSLATE(C789, ""en"", ""pt-br"")"),"Produto de boa qualidade a esse preço, é bom, mas pode ser menor e mais fácil de transportar, é muito difícil de fora, o que protegerá suas coisas mantidas dentro de coisas, mesmo que coisas pesadas fossem carregadas nele. O tamanho é grande. A área de su"&amp;"perfície é ótima. Duas pistas de ouvido com pequenas coisas, como pêndrive ou fones de ouvido, podem estar lá, mesmo após o fechamento/zipping. Muito bom. AMOR !!! Amor !!!, durável e compacto, em geral um bom produto versus casos caros. , Excelente argum"&amp;"ento compacto e forte para armazenar fones de ouvido com fio. A única coisa que falta é uma alça ou um loop conectado ao zíper para facilitar o transporte., É o caso que você precisa para armazenar seus fones de ouvido. Fornece excelente proteção e é muit"&amp;"o útil para carregar seus fones de ouvido!, Bom")</f>
        <v>Produto de boa qualidade a esse preço, é bom, mas pode ser menor e mais fácil de transportar, é muito difícil de fora, o que protegerá suas coisas mantidas dentro de coisas, mesmo que coisas pesadas fossem carregadas nele. O tamanho é grande. A área de superfície é ótima. Duas pistas de ouvido com pequenas coisas, como pêndrive ou fones de ouvido, podem estar lá, mesmo após o fechamento/zipping. Muito bom. AMOR !!! Amor !!!, durável e compacto, em geral um bom produto versus casos caros. , Excelente argumento compacto e forte para armazenar fones de ouvido com fio. A única coisa que falta é uma alça ou um loop conectado ao zíper para facilitar o transporte., É o caso que você precisa para armazenar seus fones de ouvido. Fornece excelente proteção e é muito útil para carregar seus fones de ouvido!, Bom</v>
      </c>
    </row>
    <row r="790">
      <c r="A790" s="9" t="s">
        <v>3125</v>
      </c>
      <c r="B790" s="29" t="str">
        <f>VLOOKUP(dados!A790, reviews!A:G, 5, FALSE)</f>
        <v>Good Product But Spped Upto 30mbps,Nice,Regarding Card,Excellent SDCARD,Good,Fake product,Good,working fine read/write speed is good</v>
      </c>
      <c r="C790" s="29" t="str">
        <f>VLOOKUP(dados!A790, reviews!A:G, 6, FALSE)</f>
        <v>Good Product But Spped Upto 30mbps,Nice,Superb card for DSLR camera 😊👍Instant support must buy 👍Totally satisfied with the product 👍👍👍😊,Highly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v>
      </c>
      <c r="D790" s="29" t="str">
        <f>IFERROR(__xludf.DUMMYFUNCTION("GOOGLETRANSLATE(B790, ""en"", ""pt-br"")"),"Bom produto, mas esparteu até 30 Mbps, bom, sobre cartão, excelente sdcard, bom e falso produto, bom, funcionando, a velocidade de leitura/gravação é boa")</f>
        <v>Bom produto, mas esparteu até 30 Mbps, bom, sobre cartão, excelente sdcard, bom e falso produto, bom, funcionando, a velocidade de leitura/gravação é boa</v>
      </c>
      <c r="E790" s="29" t="str">
        <f>IFERROR(__xludf.DUMMYFUNCTION("GOOGLETRANSLATE(C790, ""en"", ""pt-br"")"),"Bom produto, mas superei até 30 Mbps, bom e excelente cartão para a câmera DSLR 😊👍 INSTANT SUPORTE DEVE COMPRAR ""TOTALMENTE FATO COM O PRODUTO 👍👍👍😊, compra altamente recomendada, boa, parece que sou enganado pela Amazon, vendendo para mim uma falsa"&amp;" Sandisk Fake Sandisk Cartão de memória de 128 GB. O cartão morreu em 3 meses. Todas as fotos, as memórias foram varridas. É mencionado que ele vem com garantia de 10 anos. Registrei o cartão no Sandisk Oficial, mas não recebi nenhuma compensação (reembol"&amp;"so/substituição) até a data, mesmo depois de aumentar o bilhete. Amazon é melhor não vender uma porcaria tão barata e uma confiança frouxa., Bom, funcionando bem a velocidade de leitura/gravação é boa")</f>
        <v>Bom produto, mas superei até 30 Mbps, bom e excelente cartão para a câmera DSLR 😊👍 INSTANT SUPORTE DEVE COMPRAR "TOTALMENTE FATO COM O PRODUTO 👍👍👍😊, compra altamente recomendada, boa, parece que sou enganado pela Amazon, vendendo para mim uma falsa Sandisk Fake Sandisk Cartão de memória de 128 GB. O cartão morreu em 3 meses. Todas as fotos, as memórias foram varridas. É mencionado que ele vem com garantia de 10 anos. Registrei o cartão no Sandisk Oficial, mas não recebi nenhuma compensação (reembolso/substituição) até a data, mesmo depois de aumentar o bilhete. Amazon é melhor não vender uma porcaria tão barata e uma confiança frouxa., Bom, funcionando bem a velocidade de leitura/gravação é boa</v>
      </c>
    </row>
    <row r="791">
      <c r="A791" s="9" t="s">
        <v>3131</v>
      </c>
      <c r="B791" s="29" t="str">
        <f>VLOOKUP(dados!A791, reviews!A:G, 5, FALSE)</f>
        <v>Worst Quality Stand,Very productive product and value for money.,Good,It is functioning good,Product is good but RGB is of no use - RECOMMENDED FOR WHITE LIGHT,Nice,Worth for money,Good product for it's price range</v>
      </c>
      <c r="C791" s="29" t="str">
        <f>VLOOKUP(dados!A791, reviews!A:G, 6, FALSE)</f>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v>
      </c>
      <c r="D791" s="29" t="str">
        <f>IFERROR(__xludf.DUMMYFUNCTION("GOOGLETRANSLATE(B791, ""en"", ""pt-br"")"),"Pior posição de qualidade, produto e valor muito produtivos.")</f>
        <v>Pior posição de qualidade, produto e valor muito produtivos.</v>
      </c>
      <c r="E791" s="29" t="str">
        <f>IFERROR(__xludf.DUMMYFUNCTION("GOOGLETRANSLATE(C791, ""en"", ""pt-br"")"),"O LED é bom, no entanto, o estande que é enviado com o produto parece ser fabricado em alguma fábrica local de Gaziabad Street Side. A qualidade e a precisão são tão ruins que mesmo isso não pode manter o LED corretamente., Este produto ajuda a tornar o v"&amp;"ídeo profissionalmente e realmente valorizar dinheiro., Nice Product ,, PROS: 1. A qualidade do produto é boa. Sensação robusta e bom encaixe. O tamanho médio é melhor. A intensidade da luz é boa, mas pode ser ainda melhor. O comprimento do fio está bem. "&amp;"O suporte móvel é resistente e se encaixa bem. Altura para uma pessoa de 6,2 pés está bem. Contar: 1. RGB não é tão bom; luz muito baixa. Não é tão fácil desmontar, pois às vezes se torna vacilante durante o manuseio., Nada mal, vale a pena por dinheiro, "&amp;"mas a qualidade construída melhorada necessária no fio interno para moldes de plástico, leve, mas resistente o suficiente. Pode selecionar a altura diferente de acordo com o seu requisito. A luz do anel não é muito brilhante, mesmo em sua configuração mai"&amp;"s alta, mas se você tiver iluminação moderada na sala, as fotos/vídeo ficarão bem. Bom para iniciantes.")</f>
        <v>O LED é bom, no entanto, o estande que é enviado com o produto parece ser fabricado em alguma fábrica local de Gaziabad Street Side. A qualidade e a precisão são tão ruins que mesmo isso não pode manter o LED corretamente., Este produto ajuda a tornar o vídeo profissionalmente e realmente valorizar dinheiro., Nice Product ,, PROS: 1. A qualidade do produto é boa. Sensação robusta e bom encaixe. O tamanho médio é melhor. A intensidade da luz é boa, mas pode ser ainda melhor. O comprimento do fio está bem. O suporte móvel é resistente e se encaixa bem. Altura para uma pessoa de 6,2 pés está bem. Contar: 1. RGB não é tão bom; luz muito baixa. Não é tão fácil desmontar, pois às vezes se torna vacilante durante o manuseio., Nada mal, vale a pena por dinheiro, mas a qualidade construída melhorada necessária no fio interno para moldes de plástico, leve, mas resistente o suficiente. Pode selecionar a altura diferente de acordo com o seu requisito. A luz do anel não é muito brilhante, mesmo em sua configuração mais alta, mas se você tiver iluminação moderada na sala, as fotos/vídeo ficarão bem. Bom para iniciantes.</v>
      </c>
    </row>
    <row r="792">
      <c r="A792" s="9" t="s">
        <v>3137</v>
      </c>
      <c r="B792" s="29" t="str">
        <f>VLOOKUP(dados!A792, reviews!A:G, 5, FALSE)</f>
        <v>Good 👍,Product is Good,VALUE FOR MONEY,Worth it,Notebook is good and paking in very bad,Very nice book and good packaging,Nice set of 12 Lovely 😍 Books 📚,The books are beautiful</v>
      </c>
      <c r="C792" s="29" t="str">
        <f>VLOOKUP(dados!A792, reviews!A:G, 6, FALSE)</f>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v>
      </c>
      <c r="D792" s="29" t="str">
        <f>IFERROR(__xludf.DUMMYFUNCTION("GOOGLETRANSLATE(B792, ""en"", ""pt-br"")"),"Bom 👍, produto é bom, valor ao dinheiro, vale a pena, notebook é bom e batendo em um livro muito ruim e muito bom e uma boa embalagem, bom conjunto de 12 livros adoráveis ​​😍, os livros são lindos")</f>
        <v>Bom 👍, produto é bom, valor ao dinheiro, vale a pena, notebook é bom e batendo em um livro muito ruim e muito bom e uma boa embalagem, bom conjunto de 12 livros adoráveis ​​😍, os livros são lindos</v>
      </c>
      <c r="E792" s="29" t="str">
        <f>IFERROR(__xludf.DUMMYFUNCTION("GOOGLETRANSLATE(C792, ""en"", ""pt-br"")"),"Tudo bem, o produto é bom, eu amo o caderno. A qualidade é boa. E eu gosto da textura da página e da embalagem também é boa, não é ruim por dinheiro, as páginas de cópia de boa qualidade são suaves e brilhantes. livros. Valor ao dinheiro e capa externa é "&amp;"muito adorável e bom de usar, certamente recomendo isso a todos para comprá -lo, e meu pai levou 2 livros sobre como vê -lo., Os livros estão em ótimas condições que eles também têm um acabamento fosco de boa qualidade Papel eu certamente comprarei novame"&amp;"nte")</f>
        <v>Tudo bem, o produto é bom, eu amo o caderno. A qualidade é boa. E eu gosto da textura da página e da embalagem também é boa, não é ruim por dinheiro, as páginas de cópia de boa qualidade são suaves e brilhantes. livros. Valor ao dinheiro e capa externa é muito adorável e bom de usar, certamente recomendo isso a todos para comprá -lo, e meu pai levou 2 livros sobre como vê -lo., Os livros estão em ótimas condições que eles também têm um acabamento fosco de boa qualidade Papel eu certamente comprarei novamente</v>
      </c>
    </row>
    <row r="793">
      <c r="A793" s="9" t="s">
        <v>3141</v>
      </c>
      <c r="B793" s="29" t="str">
        <f>VLOOKUP(dados!A793, reviews!A:G, 5, FALSE)</f>
        <v>worth buying this mouse!,Good,Traditional mouse that does the job,nice,GOOD PRODUCT AND GOOD QUALITY,Worth the price money and amazing built quality,Compact mouse,super comfortable</v>
      </c>
      <c r="C793" s="29" t="str">
        <f>VLOOKUP(dados!A793, reviews!A:G, 6, FALSE)</f>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v>
      </c>
      <c r="D793" s="29" t="str">
        <f>IFERROR(__xludf.DUMMYFUNCTION("GOOGLETRANSLATE(B793, ""en"", ""pt-br"")"),"Vale a pena comprar este mouse!, Bom, mouse tradicional que faz o trabalho, bom, bom produto e boa qualidade, vale o preço do preço e uma qualidade incrível de qualidade, mouse compacto, super confortável")</f>
        <v>Vale a pena comprar este mouse!, Bom, mouse tradicional que faz o trabalho, bom, bom produto e boa qualidade, vale o preço do preço e uma qualidade incrível de qualidade, mouse compacto, super confortável</v>
      </c>
      <c r="E793" s="29" t="str">
        <f>IFERROR(__xludf.DUMMYFUNCTION("GOOGLETRANSLATE(C793, ""en"", ""pt-br"")"),"Eu não sou pró-jogador, jogo GTA, Valo e CS: vá, este mouse é suficiente para jogos casuais e não encontrei nenhum problema com ele, embora depois de um ano alguma coisa, eu possa ouvir as partes do lado O mouse chocalho, mas isso pode ser porque o mouse "&amp;"foi retirado várias vezes no ano. Talvez esteja bem construído, então, mesmo os colegas estão movendo o mouse ainda funciona, bom nesse preço, nada a dizer. Faz o trabalho e o cabo são fortes o suficiente. Compra decente se você quiser um mouse simples co"&amp;"m cabo longo o suficiente., O produto construído é muito bom e a espera também é agradável, deve comprar se você estiver procurando um bom mouse a esse preço, um mouse padrão com boa qualidade de construção. Pode ser usado para fins básicos do escritório "&amp;"e da casa., Barato em preços de preços construídos com o que é o melhor de uso em relação a outros mouses desse segmento de preços e ainda melhor do que as mouses caros. No mercado, pode ser usado para fins normais. Comprimento adequado do cabo. O valor d"&amp;"a marca vem com qualidade. Fácil de usar, não adequado para jogos., Uso de um tempo e é super confortável")</f>
        <v>Eu não sou pró-jogador, jogo GTA, Valo e CS: vá, este mouse é suficiente para jogos casuais e não encontrei nenhum problema com ele, embora depois de um ano alguma coisa, eu possa ouvir as partes do lado O mouse chocalho, mas isso pode ser porque o mouse foi retirado várias vezes no ano. Talvez esteja bem construído, então, mesmo os colegas estão movendo o mouse ainda funciona, bom nesse preço, nada a dizer. Faz o trabalho e o cabo são fortes o suficiente. Compra decente se você quiser um mouse simples com cabo longo o suficiente., O produto construído é muito bom e a espera também é agradável, deve comprar se você estiver procurando um bom mouse a esse preço, um mouse padrão com boa qualidade de construção. Pode ser usado para fins básicos do escritório e da casa., Barato em preços de preços construídos com o que é o melhor de uso em relação a outros mouses desse segmento de preços e ainda melhor do que as mouses caros. No mercado, pode ser usado para fins normais. Comprimento adequado do cabo. O valor da marca vem com qualidade. Fácil de usar, não adequado para jogos., Uso de um tempo e é super confortável</v>
      </c>
    </row>
    <row r="794">
      <c r="A794" s="9" t="s">
        <v>3145</v>
      </c>
      <c r="B794" s="29" t="str">
        <f>VLOOKUP(dados!A794, reviews!A:G, 5, FALSE)</f>
        <v>Price wise the best in Category,Laptop is not sitting properly on the stand.,Product Quality,A good product.,Awesome product,Not that good for heavy 17 inches laptops,Good product can be better,Value for money and compact</v>
      </c>
      <c r="C794" s="29" t="str">
        <f>VLOOKUP(dados!A794, reviews!A:G, 6, FALSE)</f>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v>
      </c>
      <c r="D794" s="29" t="str">
        <f>IFERROR(__xludf.DUMMYFUNCTION("GOOGLETRANSLATE(B794, ""en"", ""pt-br"")"),"Em termos de preço, o melhor em categoria, o laptop não está sentado corretamente no estande., Qualidade do produto, um bom produto., Produto incrível, não é bom para laptops pesados ​​de 17 polegadas, um bom produto pode ser melhor, valor para dinheiro e"&amp;" compacto compacto")</f>
        <v>Em termos de preço, o melhor em categoria, o laptop não está sentado corretamente no estande., Qualidade do produto, um bom produto., Produto incrível, não é bom para laptops pesados ​​de 17 polegadas, um bom produto pode ser melhor, valor para dinheiro e compacto compacto</v>
      </c>
      <c r="E794" s="29" t="str">
        <f>IFERROR(__xludf.DUMMYFUNCTION("GOOGLETRANSLATE(C794, ""en"", ""pt-br"")"),"Acabei de começar a usá -lo, não posso dizer muito sobre sua robustez. Parece que parece resistente, mas dependendo dos usos, mostrará quanto tempo durará, em todas as etapas, um lado do estande não se encaixa corretamente., Não é perfeito, um lado tem um"&amp;" pouco de lacuna, bastante satisfatório com o produto Após cerca de 2 semanas de uso. Valor para o dinheiro. A ergonomia é satisfatória, mas ainda precisa ser analisada. Pelo que parece, também teria uma durabilidade a longo prazo. Este é um produto incrí"&amp;"vel que comprei até a data para o meu objetivo de WFH. Ele pode conter muito bem o laptop de 14 "". Pode ser ajustado para diferentes alturas. A aderência à mesa é realmente boa. Ajuda a ver o laptop com o ângulo necessário. Fácil de transportar. Parece r"&amp;"ealmente ótimo em uma mesa preta. . A embalagem também é muito boa., 3,5 Starsi recebeu isso hoje e experimentou. Meu laptop é de 2,5 kg e 17 polegadas, um pouco de uma máquina pesada. Enquanto o suporte segurava meu laptop, não se encaixava corretamente."&amp;" Por causa de O peso do laptop ou o tamanho, a frente do laptop aumenta em vez de permanecer nos entalhes acolchoados. tem que levar a máquina um pouco para ela para permanecer. Se você deseja usá -lo como simplesmente um suporte - onde você define o Lapt"&amp;"op e use dispositivos externos para usá -lo como o mouse, o gamepad ou o teclado, tudo bem. Você pode optar por ele. Usá -lo diretamente está tornando a máquina um pouco balançada. Testá -lo com um trabalho / jogo pesado para ver como a temperatura se man"&amp;"tém. Pode editar a revisão e a classificação depois de usá -la um pouco., O produto em si é incrível e, nos dias modernos, onde a facilidade de transportar e os produtos compactos são preferidos, é uma boa escolha, meu único motivo para dar 4 estrelas e r"&amp;"emover uma de Cinco são as travas do produto (vínculos/braços que definem o nível de ângulo de elevação) são livres e podem ser desfeitos de um dos lados com um leve jark, enquanto a segunda trava lateral suporta todo o peso nesse meio tempo., É muito Con"&amp;"veniente e compacto para levar junto com você. Definitivamente, valor pelo dinheiro 👍")</f>
        <v>Acabei de começar a usá -lo, não posso dizer muito sobre sua robustez. Parece que parece resistente, mas dependendo dos usos, mostrará quanto tempo durará, em todas as etapas, um lado do estande não se encaixa corretamente., Não é perfeito, um lado tem um pouco de lacuna, bastante satisfatório com o produto Após cerca de 2 semanas de uso. Valor para o dinheiro. A ergonomia é satisfatória, mas ainda precisa ser analisada. Pelo que parece, também teria uma durabilidade a longo prazo. Este é um produto incrível que comprei até a data para o meu objetivo de WFH. Ele pode conter muito bem o laptop de 14 ". Pode ser ajustado para diferentes alturas. A aderência à mesa é realmente boa. Ajuda a ver o laptop com o ângulo necessário. Fácil de transportar. Parece realmente ótimo em uma mesa preta. . A embalagem também é muito boa., 3,5 Starsi recebeu isso hoje e experimentou. Meu laptop é de 2,5 kg e 17 polegadas, um pouco de uma máquina pesada. Enquanto o suporte segurava meu laptop, não se encaixava corretamente. Por causa de O peso do laptop ou o tamanho, a frente do laptop aumenta em vez de permanecer nos entalhes acolchoados. tem que levar a máquina um pouco para ela para permanecer. Se você deseja usá -lo como simplesmente um suporte - onde você define o Laptop e use dispositivos externos para usá -lo como o mouse, o gamepad ou o teclado, tudo bem. Você pode optar por ele. Usá -lo diretamente está tornando a máquina um pouco balançada. Testá -lo com um trabalho / jogo pesado para ver como a temperatura se mantém. Pode editar a revisão e a classificação depois de usá -la um pouco., O produto em si é incrível e, nos dias modernos, onde a facilidade de transportar e os produtos compactos são preferidos, é uma boa escolha, meu único motivo para dar 4 estrelas e remover uma de Cinco são as travas do produto (vínculos/braços que definem o nível de ângulo de elevação) são livres e podem ser desfeitos de um dos lados com um leve jark, enquanto a segunda trava lateral suporta todo o peso nesse meio tempo., É muito Conveniente e compacto para levar junto com você. Definitivamente, valor pelo dinheiro 👍</v>
      </c>
    </row>
    <row r="795">
      <c r="A795" s="9" t="s">
        <v>3149</v>
      </c>
      <c r="B795" s="29" t="str">
        <f>VLOOKUP(dados!A795, reviews!A:G, 5, FALSE)</f>
        <v>Good enough for now.. Could be better..,Amzon better then Flipcart &amp; Others,Compact and Reliable 2TB External HDD: A Must-Have for Storing and Backing Up Your Data,💝👍One of the best available mechanical external hard disks,Nice,Woth Money,Good product,Heating problem</v>
      </c>
      <c r="C795" s="29" t="str">
        <f>VLOOKUP(dados!A795, reviews!A:G, 6, FALSE)</f>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v>
      </c>
      <c r="D795" s="29" t="str">
        <f>IFERROR(__xludf.DUMMYFUNCTION("GOOGLETRANSLATE(B795, ""en"", ""pt-br"")"),"Bom o suficiente por enquanto .. pode ser melhor .., Amzon melhor do que Flipcart e outros, HDD externo compacto e confiável de 2 TB: um must-have para armazenar e fazer backup de seus dados, um dos melhores discos mecânicos externos mecânicos, Bom, dinhe"&amp;"iro, bom produto, problema de aquecimento")</f>
        <v>Bom o suficiente por enquanto .. pode ser melhor .., Amzon melhor do que Flipcart e outros, HDD externo compacto e confiável de 2 TB: um must-have para armazenar e fazer backup de seus dados, um dos melhores discos mecânicos externos mecânicos, Bom, dinheiro, bom produto, problema de aquecimento</v>
      </c>
      <c r="E795" s="29" t="str">
        <f>IFERROR(__xludf.DUMMYFUNCTION("GOOGLETRANSLATE(C795, ""en"", ""pt-br"")"),"Já se passaram apenas 10 dias e o usou para transferir 64 GB por enquanto .. então eu não usei o suficiente ... eu atualizaria isso depois de alguns dias .. meu parente comprou a Seagate OneTouch (seu melhor concorrente) para compará -lo com ele com isso "&amp;".. ** Velocidade ** Várias fotos (32 GB): obteve 105 Mbps no máximo, mas 95 consistente. . Não verifiquei ainda mais .. ** Construa ** É muito elegante e leve .. com certeza .. mas não parece muito premium .. é plástico por toda parte .. você definitivame"&amp;"nte pode sentir a vibração dos pratos enquanto Transferência de arquivos ... o OneTouch era muito premium. .. ** Software ** Minha experiência não foi muito boa .. Não consegui registrar meu produto por alguns dias .. a tela ficou branca e não mostrou nad"&amp;"a .. Não há software de backup gratuito .. você é solicitado backup no gdrive, Dropbox ou OneDrive. Nenhuma ferramenta de recuperação incluída .. Eu acho que é um serviço pago ... não tenho certeza do último. 3 meses Adobe CC Se você gosta disso .. ** con"&amp;"fiabilidade ** agora a grande parte .. Esta é a única razão pela qual eu comprei este .. Caso contrário por mais que as unidades da WD .. então eu não poderia correr riscos. Muitos afirmam que a Seagate agora aprendeu com o erro deles e D está ficando par"&amp;"a trás ficando no primeiro lugar. Não posso dizer sobre a primeira frase, mas com certeza sobre o segundo .. ** misc ** veio sem embrulho de bolha .. apenas uma bandeja de plástico que talvez estivesse bem o suficiente ... CABLE poderia ser um pouco melho"&amp;"r ... oneoch's de se agarrar para puxá -lo e parecia melhor .. tem uma textura fina em corpo, então sem impressão digital ... e este são o mesmo preço. Você pode optar por qualquer um desses ... desculpe pela longa resenha .. mas eu queria contar aos comp"&amp;"radores a história completa. Atualizaria minha resenha mais tarde. ., Amzon realmente é um serviço ... se não tiver desconto, mas a amzon não fornece falsa! Então, eu gosto de comprar o produto AMZON .. 5TB WD DUSCO INCRÍVEL, estou extremamente satisfeito"&amp;" com minha compra. O HDD é compacto e leve, facilitando o transporte comigo. Também é muito fácil de usar - tudo o que eu precisava fazer era conectá -lo e estava pronto para ir. O 2 TB de espaço de armazenamento é mais do que suficiente para minhas neces"&amp;"sidades, e é uma ótima maneira de armazenar e fazer backup de tudo meus dados importantes. O HDD também é muito rápido, o que torna a transferência de arquivos uma brisa. OBLEALL, estou extremamente feliz com a compra deste disco rígido externo de 2 TB. É"&amp;" confiável e conveniente armazenar e fazer backup dos meus dados, e eu o recomendo para qualquer pessoa que precise de espaço de armazenamento adicional. ,, boa qualidade, feliz com este produto. Muito legal. Não se esqueça de comprar seu caso separadamen"&amp;"te. O produto é bom, ele aquece rapidamente.")</f>
        <v>Já se passaram apenas 10 dias e o usou para transferir 64 GB por enquanto .. então eu não usei o suficiente ... eu atualizaria isso depois de alguns dias .. meu parente comprou a Seagate OneTouch (seu melhor concorrente) para compará -lo com ele com isso .. ** Velocidade ** Várias fotos (32 GB): obteve 105 Mbps no máximo, mas 95 consistente. . Não verifiquei ainda mais .. ** Construa ** É muito elegante e leve .. com certeza .. mas não parece muito premium .. é plástico por toda parte .. você definitivamente pode sentir a vibração dos pratos enquanto Transferência de arquivos ... o OneTouch era muito premium. .. ** Software ** Minha experiência não foi muito boa .. Não consegui registrar meu produto por alguns dias .. a tela ficou branca e não mostrou nada .. Não há software de backup gratuito .. você é solicitado backup no gdrive, Dropbox ou OneDrive. Nenhuma ferramenta de recuperação incluída .. Eu acho que é um serviço pago ... não tenho certeza do último. 3 meses Adobe CC Se você gosta disso .. ** confiabilidade ** agora a grande parte .. Esta é a única razão pela qual eu comprei este .. Caso contrário por mais que as unidades da WD .. então eu não poderia correr riscos. Muitos afirmam que a Seagate agora aprendeu com o erro deles e D está ficando para trás ficando no primeiro lugar. Não posso dizer sobre a primeira frase, mas com certeza sobre o segundo .. ** misc ** veio sem embrulho de bolha .. apenas uma bandeja de plástico que talvez estivesse bem o suficiente ... CABLE poderia ser um pouco melhor ... oneoch's de se agarrar para puxá -lo e parecia melhor .. tem uma textura fina em corpo, então sem impressão digital ... e este são o mesmo preço. Você pode optar por qualquer um desses ... desculpe pela longa resenha .. mas eu queria contar aos compradores a história completa. Atualizaria minha resenha mais tarde. ., Amzon realmente é um serviço ... se não tiver desconto, mas a amzon não fornece falsa! Então, eu gosto de comprar o produto AMZON .. 5TB WD DUSCO INCRÍVEL, estou extremamente satisfeito com minha compra. O HDD é compacto e leve, facilitando o transporte comigo. Também é muito fácil de usar - tudo o que eu precisava fazer era conectá -lo e estava pronto para ir. O 2 TB de espaço de armazenamento é mais do que suficiente para minhas necessidades, e é uma ótima maneira de armazenar e fazer backup de tudo meus dados importantes. O HDD também é muito rápido, o que torna a transferência de arquivos uma brisa. OBLEALL, estou extremamente feliz com a compra deste disco rígido externo de 2 TB. É confiável e conveniente armazenar e fazer backup dos meus dados, e eu o recomendo para qualquer pessoa que precise de espaço de armazenamento adicional. ,, boa qualidade, feliz com este produto. Muito legal. Não se esqueça de comprar seu caso separadamente. O produto é bom, ele aquece rapidamente.</v>
      </c>
    </row>
    <row r="796">
      <c r="A796" s="9" t="s">
        <v>3153</v>
      </c>
      <c r="B796" s="29" t="str">
        <f>VLOOKUP(dados!A796, reviews!A:G, 5, FALSE)</f>
        <v>Amazing Product!,Good product at in this range.,Thik thak photo aa jata hai.,Good product,Review,Nice hd webcam,Not all of Logitech's products are excellent.,Decent buy for the price.</v>
      </c>
      <c r="C796" s="29" t="str">
        <f>VLOOKUP(dados!A796, reviews!A:G, 6, FALSE)</f>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v>
      </c>
      <c r="D796" s="29" t="str">
        <f>IFERROR(__xludf.DUMMYFUNCTION("GOOGLETRANSLATE(B796, ""en"", ""pt-br"")"),"Produto incrível!, Bom produto nesta linha., Thik Thak Photo AA Jata Hai., Bom produto, revisão, Webcam HD Nice, nem todos os produtos da Logitech são excelentes., Compra decente pelo preço.")</f>
        <v>Produto incrível!, Bom produto nesta linha., Thik Thak Photo AA Jata Hai., Bom produto, revisão, Webcam HD Nice, nem todos os produtos da Logitech são excelentes., Compra decente pelo preço.</v>
      </c>
      <c r="E796" s="29" t="str">
        <f>IFERROR(__xludf.DUMMYFUNCTION("GOOGLETRANSLATE(C796, ""en"", ""pt-br"")"),"Vale a pena! O produto é que a qualidade é boa e além da expectativa em uma faixa de preço. A Wish Company adicionou outros recursos e alguns adicionam qualidade e mais megapixels a ele. Das 5 !!, valor ao dinheiro, o Google encontra par chalaya tha foto "&amp;"thik thak aa raha hai., Usada para exame on -line. Bom produto !!, boa qualidade da foto, imagem e qualidade de vídeo A qualidade melhora depois de tudo o que sua câmera HD oferece melhor saída do que os laptops Original Basic Camera. A qualidade da micro"&amp;"fone embutida é agradável e o cancelamento de ruído está funcionando bem., Paguei Rs 1.199,00 por ele em 29 de setembro de 2019. O design da CAM é simplificado e sofisticado, e o recurso plug-and-play é bastante útil. Foi uma ótima opção a um preço de ₹ 1"&amp;".199 em 2019, mas agora existem melhores opções disponíveis. Não caia em boas críticas, a maioria deles é antiga. Seja inteligente, você pode usar o software DROIDCAM para configurar seu telefone Android como uma webcam se tiver breves chamadas de vídeo, "&amp;"como uma entrevista ou exame. Uma webcam Lenovo 300 FHD com uma visão ""grande angular"" e microfones mais fortes fazem mais sentido se você quiser investir um pouco de dinheiro. Gaste o dinheiro no Logitech C920 ou C922 se você realmente deseja iniciar u"&amp;"ma transmissão ao vivo ou vídeos tutoriais mais profissionais; você não vai se arrepender. Se você já tem um ponto e fotografar câmera ou DSLR em casa, obtenha um cartão de captura barato para que você possa configurá-lo como uma webcam.pros: simples plug"&amp;"-and-play está disponível. A câmera oferece um modo regular e um grande angular Opção. Seja granulado e barulhento. ₹ 1.699 Sério, não !!!! Conclusão: Escolha isso se não houver melhor opção disponível entre ₹ 500 e ₹ 1200. Isso o ajudará momentaneamente."&amp;" Você precisa de iluminação suficiente e não deve confiar no microfone da webcam., Faz o trabalho.")</f>
        <v>Vale a pena! O produto é que a qualidade é boa e além da expectativa em uma faixa de preço. A Wish Company adicionou outros recursos e alguns adicionam qualidade e mais megapixels a ele. Das 5 !!, valor ao dinheiro, o Google encontra par chalaya tha foto thik thak aa raha hai., Usada para exame on -line. Bom produto !!, boa qualidade da foto, imagem e qualidade de vídeo A qualidade melhora depois de tudo o que sua câmera HD oferece melhor saída do que os laptops Original Basic Camera. A qualidade da microfone embutida é agradável e o cancelamento de ruído está funcionando bem., Paguei Rs 1.199,00 por ele em 29 de setembro de 2019. O design da CAM é simplificado e sofisticado, e o recurso plug-and-play é bastante útil. Foi uma ótima opção a um preço de ₹ 1.199 em 2019, mas agora existem melhores opções disponíveis. Não caia em boas críticas, a maioria deles é antiga. Seja inteligente, você pode usar o software DROIDCAM para configurar seu telefone Android como uma webcam se tiver breves chamadas de vídeo, como uma entrevista ou exame. Uma webcam Lenovo 300 FHD com uma visão "grande angular" e microfones mais fortes fazem mais sentido se você quiser investir um pouco de dinheiro. Gaste o dinheiro no Logitech C920 ou C922 se você realmente deseja iniciar uma transmissão ao vivo ou vídeos tutoriais mais profissionais; você não vai se arrepender. Se você já tem um ponto e fotografar câmera ou DSLR em casa, obtenha um cartão de captura barato para que você possa configurá-lo como uma webcam.pros: simples plug-and-play está disponível. A câmera oferece um modo regular e um grande angular Opção. Seja granulado e barulhento. ₹ 1.699 Sério, não !!!! Conclusão: Escolha isso se não houver melhor opção disponível entre ₹ 500 e ₹ 1200. Isso o ajudará momentaneamente. Você precisa de iluminação suficiente e não deve confiar no microfone da webcam., Faz o trabalho.</v>
      </c>
    </row>
    <row r="797">
      <c r="A797" s="9" t="s">
        <v>3160</v>
      </c>
      <c r="B797" s="29" t="str">
        <f>VLOOKUP(dados!A797, reviews!A:G, 5, FALSE)</f>
        <v>Nice product,It works!,Indoor device, not for field use!,Does the job,Value for money product.,Good product,Till now...Using since 7 days..It's good,Useful USB multiplier</v>
      </c>
      <c r="C797" s="29" t="str">
        <f>VLOOKUP(dados!A797, reviews!A:G, 6, FALSE)</f>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v>
      </c>
      <c r="D797" s="29" t="str">
        <f>IFERROR(__xludf.DUMMYFUNCTION("GOOGLETRANSLATE(B797, ""en"", ""pt-br"")"),"Bom produto, funciona!, Dispositivo interno, não para uso em campo!, Faz o trabalho, produto para dinheiro., Bom produto, até agora ... usando desde 7 dias ... é bom e útil multiplicador USB")</f>
        <v>Bom produto, funciona!, Dispositivo interno, não para uso em campo!, Faz o trabalho, produto para dinheiro., Bom produto, até agora ... usando desde 7 dias ... é bom e útil multiplicador USB</v>
      </c>
      <c r="E797" s="29" t="str">
        <f>IFERROR(__xludf.DUMMYFUNCTION("GOOGLETRANSLATE(C797, ""en"", ""pt-br"")"),"Fácil de instalar. elogie o laptop elegante com o qual o uso. Provavelmente, uma extensão de plug -in direta (sem cabo) seria uma opção muito melhor., Precisava de uma extensão USB portátil. Fones de ouvido, teclado e mouse. Serve o objetivo de uma config"&amp;"uração interna. Explicaram por que não é um dispositivo externo sob os contras:- design agradável, elegante e discreto de alguns ambientes de trabalho. Para aqueles que têm propriedade limitada, opte por modelos com slots USB verticais, economizam espaço."&amp;" Isso é para aqueles que podem tê -lo plano ao lado do laptop/computador. (Verifique a imagem)- Funciona bem para áudio, hids e ótimo para transferência de dados.observation:- Uma observação interessante ao usar o teclado USB, a unidade USB é como se não "&amp;"fosse mais sensível do que a digitação direta. Com os teclados USB mecânicos, há uma latência, mas os teclados sem fio baseados em dongle e chiclet e USB parecem funcionar bem. Muito pouca latência perceptível- não para fins de jogo (teclados/ratos/joysti"&amp;"cks etc.). Este é um acéfalo. Em Rapid Response, os ambientes de jogos eram latência é vida ou morte. Uma extensão não é uma opção.CONS: (Verifique a imagem) Os slots femininos USB na extensão são rasos. Os plugues masculinos não entram completamente. Há "&amp;"0,5 cm do plugue de metal exposto. Isso pode ser um risco em ambientes expostos/externos. A umidade aumenta as chances de choque elétrico, e a poeira é um isolador pode causar o acúmulo de eletricidade estática. O pior caso é que, se um condutor atrapalha"&amp;"r os pontos expostos, todo o sistema poderá curvar -se. Sugestão os designers levam isso em consideração para o próximo lote de produtos. A profundidade dos slots USB precisa acomodar todo o comprimento dos plugues USB.Funcionalmente, o design deixa muito"&amp;" desejando. Vá em frente Se tiver certeza de que você pode estar seguro, vá para um modelo diferente se precisar disso para uso ao ar livre. responda como previsto. O texto não aparece na tela imediatamente e, às vezes, uma letra específica apenas em casc"&amp;"ata repetidamente, e é preciso pressionar o backspace frequentemente para excluir as letras em excesso. Para a transferência de dados, funciona bem, mas tem velocidades mais baixas, quando todos os quatro slots estão sendo usados. Esperado provavelmente!,"&amp;" Funciona bem e faz o trabalho., Gosto muito. Valor por dinheiro ..., o produto é excelente. Apenas esse fio é muito curto! Descanse tudo de bom, usando no laptop, o multiplicador USB útil e também funciona bem para fones de ouvido (ficou apreensivo mais "&amp;"cedo se deteriora a qualidade do áudio) apenas a desvantagem é o comprimento do cabo, pois continua saindo da bolsa de laptop")</f>
        <v>Fácil de instalar. elogie o laptop elegante com o qual o uso. Provavelmente, uma extensão de plug -in direta (sem cabo) seria uma opção muito melhor., Precisava de uma extensão USB portátil. Fones de ouvido, teclado e mouse. Serve o objetivo de uma configuração interna. Explicaram por que não é um dispositivo externo sob os contras:- design agradável, elegante e discreto de alguns ambientes de trabalho. Para aqueles que têm propriedade limitada, opte por modelos com slots USB verticais, economizam espaço. Isso é para aqueles que podem tê -lo plano ao lado do laptop/computador. (Verifique a imagem)- Funciona bem para áudio, hids e ótimo para transferência de dados.observation:- Uma observação interessante ao usar o teclado USB, a unidade USB é como se não fosse mais sensível do que a digitação direta. Com os teclados USB mecânicos, há uma latência, mas os teclados sem fio baseados em dongle e chiclet e USB parecem funcionar bem. Muito pouca latência perceptível- não para fins de jogo (teclados/ratos/joysticks etc.). Este é um acéfalo. Em Rapid Response, os ambientes de jogos eram latência é vida ou morte. Uma extensão não é uma opção.CONS: (Verifique a imagem) Os slots femininos USB na extensão são rasos. Os plugues masculinos não entram completamente. Há 0,5 cm do plugue de metal exposto. Isso pode ser um risco em ambientes expostos/externos. A umidade aumenta as chances de choque elétrico, e a poeira é um isolador pode causar o acúmulo de eletricidade estática. O pior caso é que, se um condutor atrapalhar os pontos expostos, todo o sistema poderá curvar -se. Sugestão os designers levam isso em consideração para o próximo lote de produtos. A profundidade dos slots USB precisa acomodar todo o comprimento dos plugues USB.Funcionalmente, o design deixa muito desejando. Vá em frente Se tiver certeza de que você pode estar seguro, vá para um modelo diferente se precisar disso para uso ao ar livre. responda como previsto. O texto não aparece na tela imediatamente e, às vezes, uma letra específica apenas em cascata repetidamente, e é preciso pressionar o backspace frequentemente para excluir as letras em excesso. Para a transferência de dados, funciona bem, mas tem velocidades mais baixas, quando todos os quatro slots estão sendo usados. Esperado provavelmente!, Funciona bem e faz o trabalho., Gosto muito. Valor por dinheiro ..., o produto é excelente. Apenas esse fio é muito curto! Descanse tudo de bom, usando no laptop, o multiplicador USB útil e também funciona bem para fones de ouvido (ficou apreensivo mais cedo se deteriora a qualidade do áudio) apenas a desvantagem é o comprimento do cabo, pois continua saindo da bolsa de laptop</v>
      </c>
    </row>
    <row r="798">
      <c r="A798" s="9" t="s">
        <v>3164</v>
      </c>
      <c r="B798" s="29" t="str">
        <f>VLOOKUP(dados!A798, reviews!A:G, 5, FALSE)</f>
        <v>Decent Prodyuct,Normal,Good product,Great product,Good product,perfect,Built quality of product is excellent,Excellent</v>
      </c>
      <c r="C798" s="29" t="str">
        <f>VLOOKUP(dados!A798, reviews!A:G, 6, FALSE)</f>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v>
      </c>
      <c r="D798" s="29" t="str">
        <f>IFERROR(__xludf.DUMMYFUNCTION("GOOGLETRANSLATE(B798, ""en"", ""pt-br"")"),"Prodyucto decente, normal, bom produto, ótimo produto, bom produto, perfeita, qualidade do produto construída é excelente, excelente")</f>
        <v>Prodyucto decente, normal, bom produto, ótimo produto, bom produto, perfeita, qualidade do produto construída é excelente, excelente</v>
      </c>
      <c r="E798" s="29" t="str">
        <f>IFERROR(__xludf.DUMMYFUNCTION("GOOGLETRANSLATE(C798, ""en"", ""pt-br"")"),"No geral, uma coisa boa de se ter. Mas seria melhor se você pudesse fornecer um titular para essa variente preta específica da cobertura de casos., Bom, valor ao dinheiro, eu gosto da qualidade está acima da expectativa. Você pode comprar este produto. Se"&amp;"u laptop será salvo de arranhões e danos, é um bom produto que qualquer um pode seguir em frente. segurar.")</f>
        <v>No geral, uma coisa boa de se ter. Mas seria melhor se você pudesse fornecer um titular para essa variente preta específica da cobertura de casos., Bom, valor ao dinheiro, eu gosto da qualidade está acima da expectativa. Você pode comprar este produto. Seu laptop será salvo de arranhões e danos, é um bom produto que qualquer um pode seguir em frente. segurar.</v>
      </c>
    </row>
    <row r="799">
      <c r="A799" s="9" t="s">
        <v>3168</v>
      </c>
      <c r="B799" s="29" t="str">
        <f>VLOOKUP(dados!A799, reviews!A:G, 5, FALSE)</f>
        <v>Good for cooling,Not good for gaming,quality n performance,Good product,Nice performance,ABOVE AVERAGE,Good at this price (999),Works fine</v>
      </c>
      <c r="C799" s="29" t="str">
        <f>VLOOKUP(dados!A799, reviews!A:G, 6, FALSE)</f>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v>
      </c>
      <c r="D799" s="29" t="str">
        <f>IFERROR(__xludf.DUMMYFUNCTION("GOOGLETRANSLATE(B799, ""en"", ""pt-br"")"),"Bom para refrigeração, não é bom para jogos, desempenho de qualidade n, bom produto, bom desempenho, acima da média, bom neste preço (999), funciona bem")</f>
        <v>Bom para refrigeração, não é bom para jogos, desempenho de qualidade n, bom produto, bom desempenho, acima da média, bom neste preço (999), funciona bem</v>
      </c>
      <c r="E799" s="29" t="str">
        <f>IFERROR(__xludf.DUMMYFUNCTION("GOOGLETRANSLATE(C799, ""en"", ""pt-br"")"),"Depois de testar algumas vezes, parecia que os fãs não afetaram a experiência de resfriamento tanto quanto eu espero e a maior parte do trabalho foi feita pelo estande elevando o próprio laptop. Isso os fãs do laptop começaram a falhar alguns meses Após a"&amp;" compra e agora faça um barulho bastante irritante, portanto, referindo minha declaração acima, se você experimentar esse ruído, seria melhor deixá -lo desligado se você não se importa com o pequeno resfriamento adicional. Não é assim que eu estava espera"&amp;"ndo., A qualidade é boa, com 5 fãs e dois controles separados. 1 controla quatro fãs n 2º controle para fã do meio. Portanto, dependendo da bateria do laptop N é necessária, a energia pode ser distribuída. A qualidade construída é boa, embora seja muito l"&amp;"eve. O design é excelente. Tendo duas portas USB, então mesmo um falha, o segundo seria aproveitado. o que aumentará a vida útil deste produto. Está jogando ar muito frio através de pequenos favos de mel, pode sentir -se com as mãos. Então está esfriando "&amp;"meu laptop muito bem. Só tive um pequeno problema sobre os fãs que, em algum momento, se Pad for inclinado antes de começar, tenho que tocá -lo levemente para iniciá -lo. Pode ser uma questão de equilíbrio. Mas não é muito problema para mim, pois ocorre a"&amp;"penas às vezes n, funciona muito bem o tempo todo. Por isso, recomende a todos para comprar., bom produto, eu gosto do produto e do desempenho também. Mas o custo é muito alto, acho que eles precisam reduzir o preço de acordo com o desempenho, para o uso "&amp;"do escritório, é bom, ajustável é um pouco a qualidade da okbuild e a qualidade dos fãs é boa para o preço, 1200-1400 rpmlooks Gamingi pesado estou usando -o para edição de vídeo (Premier Pro), funciona bem, mas o som do ventilador é alto ..")</f>
        <v>Depois de testar algumas vezes, parecia que os fãs não afetaram a experiência de resfriamento tanto quanto eu espero e a maior parte do trabalho foi feita pelo estande elevando o próprio laptop. Isso os fãs do laptop começaram a falhar alguns meses Após a compra e agora faça um barulho bastante irritante, portanto, referindo minha declaração acima, se você experimentar esse ruído, seria melhor deixá -lo desligado se você não se importa com o pequeno resfriamento adicional. Não é assim que eu estava esperando., A qualidade é boa, com 5 fãs e dois controles separados. 1 controla quatro fãs n 2º controle para fã do meio. Portanto, dependendo da bateria do laptop N é necessária, a energia pode ser distribuída. A qualidade construída é boa, embora seja muito leve. O design é excelente. Tendo duas portas USB, então mesmo um falha, o segundo seria aproveitado. o que aumentará a vida útil deste produto. Está jogando ar muito frio através de pequenos favos de mel, pode sentir -se com as mãos. Então está esfriando meu laptop muito bem. Só tive um pequeno problema sobre os fãs que, em algum momento, se Pad for inclinado antes de começar, tenho que tocá -lo levemente para iniciá -lo. Pode ser uma questão de equilíbrio. Mas não é muito problema para mim, pois ocorre apenas às vezes n, funciona muito bem o tempo todo. Por isso, recomende a todos para comprar., bom produto, eu gosto do produto e do desempenho também. Mas o custo é muito alto, acho que eles precisam reduzir o preço de acordo com o desempenho, para o uso do escritório, é bom, ajustável é um pouco a qualidade da okbuild e a qualidade dos fãs é boa para o preço, 1200-1400 rpmlooks Gamingi pesado estou usando -o para edição de vídeo (Premier Pro), funciona bem, mas o som do ventilador é alto ..</v>
      </c>
    </row>
    <row r="800">
      <c r="A800" s="9" t="s">
        <v>3174</v>
      </c>
      <c r="B800" s="29" t="str">
        <f>VLOOKUP(dados!A800, reviews!A:G, 5, FALSE)</f>
        <v>Good,Decent purchase,Awesome product,Worth,Does exactly what it meant to do !!!,Good product,Good,Worth buying</v>
      </c>
      <c r="C800" s="29" t="str">
        <f>VLOOKUP(dados!A800, reviews!A:G, 6, FALSE)</f>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v>
      </c>
      <c r="D800" s="29" t="str">
        <f>IFERROR(__xludf.DUMMYFUNCTION("GOOGLETRANSLATE(B800, ""en"", ""pt-br"")"),"Bom, compra decente, produto incrível, vale a pena, faz exatamente o que significava !!!, bom produto, bom, vale a pena comprar")</f>
        <v>Bom, compra decente, produto incrível, vale a pena, faz exatamente o que significava !!!, bom produto, bom, vale a pena comprar</v>
      </c>
      <c r="E800" s="29" t="str">
        <f>IFERROR(__xludf.DUMMYFUNCTION("GOOGLETRANSLATE(C800, ""en"", ""pt-br"")"),"Isso é bom. Muito leve e fino. Mas, se a diferença visível quando a tela fechar com muita força., Precisará disso não me ocorreu até que eu assisti Snowden (2016) recentemente:/, design e, portanto, a operação são excelentes!, Eles trabalham para o que fo"&amp;"ram projetados. , É destinado a cobrir sua privacidade e isso se sai bem :) Muito esbelto e adesivo também é bom o suficiente e fica em torno. Eu o apliquei no meu dell Latitude 7490 e apenas a observação é, enquanto fechando a tampa, sinto que não está d"&amp;"evidamente fechado e trancado. Bem, isso não será um problema quando você desligar o laptop (considere isso com um laptop de tela sensível ao toque seria um pouco pesado). Quaisquer vias satisfeitas com o principal objetivo de proteger a privacidade :), b"&amp;"oa adesão, mas não se encaixa em todas as câmeras do laptop. Mas é um pouco de solavanco, mas use completo para fins de segurança, vale a pena comprar ... faz o trabalho")</f>
        <v>Isso é bom. Muito leve e fino. Mas, se a diferença visível quando a tela fechar com muita força., Precisará disso não me ocorreu até que eu assisti Snowden (2016) recentemente:/, design e, portanto, a operação são excelentes!, Eles trabalham para o que foram projetados. , É destinado a cobrir sua privacidade e isso se sai bem :) Muito esbelto e adesivo também é bom o suficiente e fica em torno. Eu o apliquei no meu dell Latitude 7490 e apenas a observação é, enquanto fechando a tampa, sinto que não está devidamente fechado e trancado. Bem, isso não será um problema quando você desligar o laptop (considere isso com um laptop de tela sensível ao toque seria um pouco pesado). Quaisquer vias satisfeitas com o principal objetivo de proteger a privacidade :), boa adesão, mas não se encaixa em todas as câmeras do laptop. Mas é um pouco de solavanco, mas use completo para fins de segurança, vale a pena comprar ... faz o trabalho</v>
      </c>
    </row>
    <row r="801">
      <c r="A801" s="9" t="s">
        <v>3178</v>
      </c>
      <c r="B801" s="29" t="str">
        <f>VLOOKUP(dados!A801, reviews!A:G, 5, FALSE)</f>
        <v>Could be better.,Nice for office use,Good,Nice but little small,Nice mouse for office work not for gaming.,Good,Performance i good...,sleek n smooth</v>
      </c>
      <c r="C801" s="29" t="str">
        <f>VLOOKUP(dados!A801, reviews!A:G, 6, FALSE)</f>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v>
      </c>
      <c r="D801" s="29" t="str">
        <f>IFERROR(__xludf.DUMMYFUNCTION("GOOGLETRANSLATE(B801, ""en"", ""pt-br"")"),"Pode ser melhor., Bom para uso do escritório, bom, agradável, mas pequeno e bom mouse para o trabalho de escritório não para jogos., Bom, desempenho eu bom ..., elegante n suave")</f>
        <v>Pode ser melhor., Bom para uso do escritório, bom, agradável, mas pequeno e bom mouse para o trabalho de escritório não para jogos., Bom, desempenho eu bom ..., elegante n suave</v>
      </c>
      <c r="E801" s="29" t="str">
        <f>IFERROR(__xludf.DUMMYFUNCTION("GOOGLETRANSLATE(C801, ""en"", ""pt-br"")"),"Eu gostaria que tivesse apresentado o recurso de desligamento automático. A partir de agora é manual. Ele mata a bateria., No geral, para o trabalho normal, é tão suave usar isso. Não há pressão nas mãos., O mouse está funcionando muito bem e parece també"&amp;"m incrível, mas pequeno., Usou por um tempo e sempre corteja a atenção das pessoas por causa de um bom design, mas não foi feito para os jogos com certeza., Bom, o desempenho é bom, mas O mouse é tão pequeno que se sente desconfortável porque não estou ac"&amp;"ostumado a segurar ratos tão finos! Acabei de receber e postar meus pensamentos iniciais ... terá que ver se eu me acostumei a segurá -lo!, Muito suave, elegante e elegante e elegante e elegante e elegante e elegante Linda, combinou com minhas cores de la"&amp;"ptop preto prateado.")</f>
        <v>Eu gostaria que tivesse apresentado o recurso de desligamento automático. A partir de agora é manual. Ele mata a bateria., No geral, para o trabalho normal, é tão suave usar isso. Não há pressão nas mãos., O mouse está funcionando muito bem e parece também incrível, mas pequeno., Usou por um tempo e sempre corteja a atenção das pessoas por causa de um bom design, mas não foi feito para os jogos com certeza., Bom, o desempenho é bom, mas O mouse é tão pequeno que se sente desconfortável porque não estou acostumado a segurar ratos tão finos! Acabei de receber e postar meus pensamentos iniciais ... terá que ver se eu me acostumei a segurá -lo!, Muito suave, elegante e elegante e elegante e elegante e elegante e elegante Linda, combinou com minhas cores de laptop preto prateado.</v>
      </c>
    </row>
    <row r="802">
      <c r="A802" s="9" t="s">
        <v>3182</v>
      </c>
      <c r="B802" s="29" t="str">
        <f>VLOOKUP(dados!A802, reviews!A:G, 5, FALSE)</f>
        <v>loud &amp; clear,Avrage in budget range,Best for beginners,Good for price,Very nice mic in this price range,In budget,Product Good, Packaging damaged.,Gzzzbbbbb mic 🎤</v>
      </c>
      <c r="C802" s="29" t="str">
        <f>VLOOKUP(dados!A802, reviews!A:G, 6, FALSE)</f>
        <v>at Rs.319 it's a great deal. I use it for mobile vlogging.,Noice cancellation is not working,Value of money 💰,Good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v>
      </c>
      <c r="D802" s="29" t="str">
        <f>IFERROR(__xludf.DUMMYFUNCTION("GOOGLETRANSLATE(B802, ""en"", ""pt-br"")"),"Alto e claro, avrage na faixa de orçamento, melhor para iniciantes, bom para preços, microfone muito bom nessa faixa de preço, em orçamento, produto bom, embalagem danificada., gzzzbbbbb mic 🎤")</f>
        <v>Alto e claro, avrage na faixa de orçamento, melhor para iniciantes, bom para preços, microfone muito bom nessa faixa de preço, em orçamento, produto bom, embalagem danificada., gzzzbbbbb mic 🎤</v>
      </c>
      <c r="E802" s="29" t="str">
        <f>IFERROR(__xludf.DUMMYFUNCTION("GOOGLETRANSLATE(C802, ""en"", ""pt-br"")"),"Em Rs.319, é muito. Eu o uso para vlogging móvel. O cancelamento de noice não está funcionando, valor do dinheiro 💰, bom mike, vale dinheiro, microfone muito agradável nessa faixa de preço., Depois de ver muitos microfones. Descobri que isso o comprei po"&amp;"rque suas boas classificações e críticas e a um preço de buget. Isso é melhor para iniciantes, a primeira vez que encomendei esse microfone, recebi em um saco plástico da Amazon e a caixa de produto dentro foi completamente danificada e foi selada usando "&amp;"fita de violoncelo. Além disso, o vendedor de microfone me enviou danificado e tinha áudio de baixa qualidade. Era uma duplicata. Mas, quando substituí, recebi a embalagem em uma caixa de papelão, mas ainda assim a caixa interna teve alguns danos. A mistu"&amp;"ra recebida no interior era boa. Aqui está uma revisão detalhada do microfone: 1. A qualidade: qualidade geral agradável. O fio pode parecer imundo e fraco, mas na realidade quando eu o testei, foi realmente um pouco durável. Pode facilmente sustentar um "&amp;"pouco de atração e torção. Apenas cuide dos pontos quando o fio encontrar o conector de áudio e o mic2. Qualidade do som: a qualidade do som é muito boa. Mas mas ... antes de pensar em comprá -lo, leia o parágrafo abaixo (do cancelamento de ruído). O micr"&amp;"ofone pega soa igualmente, mesmo se você estiver longe ou perto dele. Cancelamento de ruído: este é um ponto importante. Eu costumava microfone para fins de teste. Deixe -me compartilhar minha experiência. Eu o testei em diferentes ambientes. Em uma sala "&amp;"fechada com CA e silêncio total: nesse ambiente, você terá um som nítido como um microfone de boom. Porém, você também receberá um pouco de ruído branco ou ruído estático de fundo que você pode reduzir facilmente usando o recurso de redução de ruído. Em u"&amp;"ma sala com ventilador de teto e ruído moderado: ainda parece bom, mas não ótimo. Seus vocais ainda seriam crocantes e claros, mas o ruído de fundo aumentará. Ainda assim, se você usar um software de redução de ruído agradável (como o Audacity), isso soar"&amp;"á ótimo. Adicionar música de fundo ao seu vídeo ajudaria.C. Em uma sala com ventilador em pé e alto ruído: não recomendado. Não apenas esse microfone, mas qualquer microfone capturaria uma tonelada de ruído. Para expressar estatisticamente, haverá pelo me"&amp;"nos 40% de ruído do vento no fundo. A mesma sala de alto ruído com janelas abertas: você morrerá fazendo redução de ruído. Não vou mentir, o ruído de fundo aumenta em 60 vezes. Não tente isso. O filtro pop ou a esponja na parte superior do microfone ajuda"&amp;" muito. Quando você está falando perto do microfone, muito ar entra enquanto fala. Portanto, quando o ""filtro"" está conectado, o som de saída não possui whooshing de ar, mas com o filtro removido, o som de saída é apenas ar. agora, para resumir ... o mi"&amp;"crofone é bom em geral. O cancelamento de ruído não é ótimo, mas sim, para a faixa de preço, é a melhor! Dicas de gravação: 1. Registre em uma sala silenciosa com A/C ou ligue o ventilador pelo menos velocidade para que não faça muito ruído. Use o clipe d"&amp;"o colar para colocar o microfone, não o segure na mão. (Quero dizer, isso é bom senso:-p) 3. Se as linhas de transmissão (fios de eletricidade que estão acima da cabeça) chegarem de perto do seu quarto, eu recomendaria trocar os vestiários. Agora, o motiv"&amp;"o disso é que, às vezes, o microfone pode capturar a integração eletromagnética. Este microfone maono não o pega, mas eu recomendo isso para microfones genéricos. Redução de ruído na audácia. É muito eficaz do que as ferramentas de redução de ruído embuti"&amp;"das nos editores de vídeo. Além disso, é muito fácil. Além disso, o microfone Boya BY-M1 parece quase o mesmo que este microfone. Há apenas 2% de diferença no cancelamento de ruído. Mas, eu ainda daria a ambos 3 estrelas para cancelamento de ruído. Isso é"&amp;" isso! Espero que você entenda o que quero dizer.")</f>
        <v>Em Rs.319, é muito. Eu o uso para vlogging móvel. O cancelamento de noice não está funcionando, valor do dinheiro 💰, bom mike, vale dinheiro, microfone muito agradável nessa faixa de preço., Depois de ver muitos microfones. Descobri que isso o comprei porque suas boas classificações e críticas e a um preço de buget. Isso é melhor para iniciantes, a primeira vez que encomendei esse microfone, recebi em um saco plástico da Amazon e a caixa de produto dentro foi completamente danificada e foi selada usando fita de violoncelo. Além disso, o vendedor de microfone me enviou danificado e tinha áudio de baixa qualidade. Era uma duplicata. Mas, quando substituí, recebi a embalagem em uma caixa de papelão, mas ainda assim a caixa interna teve alguns danos. A mistura recebida no interior era boa. Aqui está uma revisão detalhada do microfone: 1. A qualidade: qualidade geral agradável. O fio pode parecer imundo e fraco, mas na realidade quando eu o testei, foi realmente um pouco durável. Pode facilmente sustentar um pouco de atração e torção. Apenas cuide dos pontos quando o fio encontrar o conector de áudio e o mic2. Qualidade do som: a qualidade do som é muito boa. Mas mas ... antes de pensar em comprá -lo, leia o parágrafo abaixo (do cancelamento de ruído). O microfone pega soa igualmente, mesmo se você estiver longe ou perto dele. Cancelamento de ruído: este é um ponto importante. Eu costumava microfone para fins de teste. Deixe -me compartilhar minha experiência. Eu o testei em diferentes ambientes. Em uma sala fechada com CA e silêncio total: nesse ambiente, você terá um som nítido como um microfone de boom. Porém, você também receberá um pouco de ruído branco ou ruído estático de fundo que você pode reduzir facilmente usando o recurso de redução de ruído. Em uma sala com ventilador de teto e ruído moderado: ainda parece bom, mas não ótimo. Seus vocais ainda seriam crocantes e claros, mas o ruído de fundo aumentará. Ainda assim, se você usar um software de redução de ruído agradável (como o Audacity), isso soará ótimo. Adicionar música de fundo ao seu vídeo ajudaria.C. Em uma sala com ventilador em pé e alto ruído: não recomendado. Não apenas esse microfone, mas qualquer microfone capturaria uma tonelada de ruído. Para expressar estatisticamente, haverá pelo menos 40% de ruído do vento no fundo. A mesma sala de alto ruído com janelas abertas: você morrerá fazendo redução de ruído. Não vou mentir, o ruído de fundo aumenta em 60 vezes. Não tente isso. O filtro pop ou a esponja na parte superior do microfone ajuda muito. Quando você está falando perto do microfone, muito ar entra enquanto fala. Portanto, quando o "filtro" está conectado, o som de saída não possui whooshing de ar, mas com o filtro removido, o som de saída é apenas ar. agora, para resumir ... o microfone é bom em geral. O cancelamento de ruído não é ótimo, mas sim, para a faixa de preço, é a melhor! Dicas de gravação: 1. Registre em uma sala silenciosa com A/C ou ligue o ventilador pelo menos velocidade para que não faça muito ruído. Use o clipe do colar para colocar o microfone, não o segure na mão. (Quero dizer, isso é bom senso:-p) 3. Se as linhas de transmissão (fios de eletricidade que estão acima da cabeça) chegarem de perto do seu quarto, eu recomendaria trocar os vestiários. Agora, o motivo disso é que, às vezes, o microfone pode capturar a integração eletromagnética. Este microfone maono não o pega, mas eu recomendo isso para microfones genéricos. Redução de ruído na audácia. É muito eficaz do que as ferramentas de redução de ruído embutidas nos editores de vídeo. Além disso, é muito fácil. Além disso, o microfone Boya BY-M1 parece quase o mesmo que este microfone. Há apenas 2% de diferença no cancelamento de ruído. Mas, eu ainda daria a ambos 3 estrelas para cancelamento de ruído. Isso é isso! Espero que você entenda o que quero dizer.</v>
      </c>
    </row>
    <row r="803">
      <c r="A803" s="9" t="s">
        <v>3186</v>
      </c>
      <c r="B803" s="29" t="str">
        <f>VLOOKUP(dados!A803, reviews!A:G, 5, FALSE)</f>
        <v>Not sturdy enough but good.,Product looks good for the price,Good One,Good quality in this range....,Budget buy,Good,2 problems i noticed,Incorrect steps order</v>
      </c>
      <c r="C803" s="29" t="str">
        <f>VLOOKUP(dados!A803, reviews!A:G, 6, FALSE)</f>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v>
      </c>
      <c r="D803" s="29" t="str">
        <f>IFERROR(__xludf.DUMMYFUNCTION("GOOGLETRANSLATE(B803, ""en"", ""pt-br"")"),"Não é resistente o suficiente, mas bom., O produto parece bom para o preço, bom, boa qualidade nesse intervalo ..., compra de orçamento, bom, 2 problemas que notei, etapas incorretas pedidos")</f>
        <v>Não é resistente o suficiente, mas bom., O produto parece bom para o preço, bom, boa qualidade nesse intervalo ..., compra de orçamento, bom, 2 problemas que notei, etapas incorretas pedidos</v>
      </c>
      <c r="E803" s="29" t="str">
        <f>IFERROR(__xludf.DUMMYFUNCTION("GOOGLETRANSLATE(C803, ""en"", ""pt-br"")"),"Foi fácil montar. O manual explica o procedimento de montagem para e sem a almofada de descanso. E a altura pode ser ajustada de acordo. Apenas senti que não é resistente o suficiente., A embalagem do produto era boa e limpa. Durante a montagem, pude ver "&amp;"que há pequenos arranhões. Fora isso, parece bom e resistente!, Bom, usando o trabalho de escritório e minha esposa usando também para fins de corte de vegetais., Https: //m.media-amazon.com/images/w/webp_402378-t2/images /I/61udja3dinl._sy88.jpg, poderia"&amp;" ter sido mais resistente e os acessórios anexados ao topo da mesa são facilmente sentidos que parecem baratos. Os profissionais são: Bom para WFH e se você tiver restrições orçamentárias. Ângulos e ajuste de altura é o melhor. Você pode ajustar facilment"&amp;"e a altura para qualquer cadeira que estiver usando., Bom ,,")</f>
        <v>Foi fácil montar. O manual explica o procedimento de montagem para e sem a almofada de descanso. E a altura pode ser ajustada de acordo. Apenas senti que não é resistente o suficiente., A embalagem do produto era boa e limpa. Durante a montagem, pude ver que há pequenos arranhões. Fora isso, parece bom e resistente!, Bom, usando o trabalho de escritório e minha esposa usando também para fins de corte de vegetais., Https: //m.media-amazon.com/images/w/webp_402378-t2/images /I/61udja3dinl._sy88.jpg, poderia ter sido mais resistente e os acessórios anexados ao topo da mesa são facilmente sentidos que parecem baratos. Os profissionais são: Bom para WFH e se você tiver restrições orçamentárias. Ângulos e ajuste de altura é o melhor. Você pode ajustar facilmente a altura para qualquer cadeira que estiver usando., Bom ,,</v>
      </c>
    </row>
    <row r="804">
      <c r="A804" s="9" t="s">
        <v>153</v>
      </c>
      <c r="B804" s="29" t="str">
        <f>VLOOKUP(dados!A804, reviews!A:G, 5, FALSE)</f>
        <v>Nice,good,Paisa vassol,Sturdy and long.,Good for the price and great quality.,Works as expected,Good,Good</v>
      </c>
      <c r="C804" s="29" t="str">
        <f>VLOOKUP(dados!A804, reviews!A:G, 6, FALSE)</f>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v>
      </c>
      <c r="D804" s="29" t="str">
        <f>IFERROR(__xludf.DUMMYFUNCTION("GOOGLETRANSLATE(B804, ""en"", ""pt-br"")"),"Bom, bom, Paisa Vassol, resistente e longo., Bom para o preço e a ótima qualidade., Funciona como esperado, bom, bom")</f>
        <v>Bom, bom, Paisa Vassol, resistente e longo., Bom para o preço e a ótima qualidade., Funciona como esperado, bom, bom</v>
      </c>
      <c r="E804" s="29" t="str">
        <f>IFERROR(__xludf.DUMMYFUNCTION("GOOGLETRANSLATE(C804, ""en"", ""pt-br"")"),"Comprimento suficiente, excelente qualidade de construção, boa alternativa aos cabos genéricos, cabo forte, as extremidades do cabo são quase como borracha. Ouro revestido. O cabo também é de alta espessura., Por que eu comprei isso? Eu tenho DVR Rack, pa"&amp;"ra DVR, que está muito acima do limite de alcance, portanto, preciso que um mouse seja conectado à porta USB do DVR, que está no rack acima, alterações de alcance ? Mouse sem fio não funcionou bem com meu DVR em particular, tinha muito atraso, portanto, e"&amp;"u tive que recorrer a um extensor de porta USB com amplo comprimento: o cabo muito robusto capaz de se conectar ao meu dvr e a conexão é estável. Amazon Basics é muito confiável., Este cabo é bom para qualquer dispositivo que precise de extensão sobre imp"&amp;"ressoras USB 2.0, como impressoras, TVs, consoles de jogos, teclados etc. A qualidade de construção é boa. O material do cabo é macio para que não quebre. Os conectores são banhados a ouro e não enferrujam. Mas lembre -se, este cabo não fornecerá velocida"&amp;"des USB 3.0, mesmo se você o conectar a uma porta USB 3.0., Para USB 2.0, qualquer USB 3.0 se usado será se comportar como USB 2.0TYPE: Adirection: Fêmea a Malefunção: Extensão do comprimento do USBBuilt: Média Not Pano/Fibra BraiderLength: Como mencionad"&amp;"o obras para todas as conexões: Sim [incluindo PC \ Printer \ Console Pen Drive etc], o produto é conforme descrição, bom como o esperado.")</f>
        <v>Comprimento suficiente, excelente qualidade de construção, boa alternativa aos cabos genéricos, cabo forte, as extremidades do cabo são quase como borracha. Ouro revestido. O cabo também é de alta espessura., Por que eu comprei isso? Eu tenho DVR Rack, para DVR, que está muito acima do limite de alcance, portanto, preciso que um mouse seja conectado à porta USB do DVR, que está no rack acima, alterações de alcance ? Mouse sem fio não funcionou bem com meu DVR em particular, tinha muito atraso, portanto, eu tive que recorrer a um extensor de porta USB com amplo comprimento: o cabo muito robusto capaz de se conectar ao meu dvr e a conexão é estável. Amazon Basics é muito confiável., Este cabo é bom para qualquer dispositivo que precise de extensão sobre impressoras USB 2.0, como impressoras, TVs, consoles de jogos, teclados etc. A qualidade de construção é boa. O material do cabo é macio para que não quebre. Os conectores são banhados a ouro e não enferrujam. Mas lembre -se, este cabo não fornecerá velocidades USB 3.0, mesmo se você o conectar a uma porta USB 3.0., Para USB 2.0, qualquer USB 3.0 se usado será se comportar como USB 2.0TYPE: Adirection: Fêmea a Malefunção: Extensão do comprimento do USBBuilt: Média Not Pano/Fibra BraiderLength: Como mencionado obras para todas as conexões: Sim [incluindo PC \ Printer \ Console Pen Drive etc], o produto é conforme descrição, bom como o esperado.</v>
      </c>
    </row>
    <row r="805">
      <c r="A805" s="9" t="s">
        <v>3192</v>
      </c>
      <c r="B805" s="29" t="str">
        <f>VLOOKUP(dados!A805, reviews!A:G, 5, FALSE)</f>
        <v>Okay product in picture,Good for students,Nice product,Portability,Great product at this price,Just working,Nice,Good</v>
      </c>
      <c r="C805" s="29" t="str">
        <f>VLOOKUP(dados!A805, reviews!A:G, 6, FALSE)</f>
        <v>When you use its okay product.,I am using and don't find any problem 🤠,Nice product, good quality and easy to manage,The best thing about it is that its super light weight and small.. so its wasy to carry almost everything,Go for itGood for landscape mode,I liked low price.,Nice,Ok</v>
      </c>
      <c r="D805" s="29" t="str">
        <f>IFERROR(__xludf.DUMMYFUNCTION("GOOGLETRANSLATE(B805, ""en"", ""pt-br"")"),"Ok, produto na imagem, bom para estudantes, bom produto, portabilidade, ótimo produto a esse preço, apenas trabalhando, bom, bom")</f>
        <v>Ok, produto na imagem, bom para estudantes, bom produto, portabilidade, ótimo produto a esse preço, apenas trabalhando, bom, bom</v>
      </c>
      <c r="E805" s="29" t="str">
        <f>IFERROR(__xludf.DUMMYFUNCTION("GOOGLETRANSLATE(C805, ""en"", ""pt-br"")"),"Quando você usa o produto está bom., Estou usando e não encontro nenhum problema 🤠, bom produto, boa qualidade e fácil de gerenciar, a melhor coisa é que é super leve e pequeno .. então é Wasy carregar Quase tudo, vá para Itgood para o modo paisagem, eu "&amp;"gostei de baixo preço., Nice, OK")</f>
        <v>Quando você usa o produto está bom., Estou usando e não encontro nenhum problema 🤠, bom produto, boa qualidade e fácil de gerenciar, a melhor coisa é que é super leve e pequeno .. então é Wasy carregar Quase tudo, vá para Itgood para o modo paisagem, eu gostei de baixo preço., Nice, OK</v>
      </c>
    </row>
    <row r="806">
      <c r="A806" s="9" t="s">
        <v>3197</v>
      </c>
      <c r="B806" s="29" t="str">
        <f>VLOOKUP(dados!A806, reviews!A:G, 5, FALSE)</f>
        <v>Sound Quality : Boat Stone 650 vs Nakamichi Speck vs Boat Stone 200,It's just a speaker with less sound,Okay to buy,Sound is not much loud in maximum volume,Boat rocks always,Excellent 👌,VFM PRODUCT BUT THERE'S MORE TO IT. READ ON!,Excellent sound quality, i like this speaker sooooooo much 👌👌👌</v>
      </c>
      <c r="C806" s="29" t="str">
        <f>VLOOKUP(dados!A806, reviews!A:G, 6, FALSE)</f>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v>
      </c>
      <c r="D806" s="29" t="str">
        <f>IFERROR(__xludf.DUMMYFUNCTION("GOOGLETRANSLATE(B806, ""en"", ""pt-br"")"),"Qualidade do som: Bax Stone 650 vs Nakamichi Speck vs Boat Stone 200, é apenas um alto -falante com menos som, bom de comprar, o som não é muito alto em volume máximo, o barco sempre, o excelente produto 👌, VFM, mas há mais. Continue lendo!, Excelente qu"&amp;"alidade de som, eu gosto muito do alto -falante")</f>
        <v>Qualidade do som: Bax Stone 650 vs Nakamichi Speck vs Boat Stone 200, é apenas um alto -falante com menos som, bom de comprar, o som não é muito alto em volume máximo, o barco sempre, o excelente produto 👌, VFM, mas há mais. Continue lendo!, Excelente qualidade de som, eu gosto muito do alto -falante</v>
      </c>
      <c r="E806" s="29" t="str">
        <f>IFERROR(__xludf.DUMMYFUNCTION("GOOGLETRANSLATE(C806, ""en"", ""pt-br"")"),"Esta é a revisão focada principalmente na qualidade do som. O baixo do termo é usado de maneira generalizada. Não se espera graves verdadeiros de drivers tão pequenos. Versão Shorter: Boat Stone 650: Muito alto. Baixo alto e um tanto irregular. Mids são u"&amp;"m pouco suprimidos. Um pouco abafado de médio porte. Agudos decentes. Um alto -falante baixo e baixo. No geral, é justo o som, a um preço e volume questionáveis. Muito Lounder do que você pode esperar de um alto -falante de 3W. Speaker incrível em um pequ"&amp;"eno pacote, com uma versão insuficiente de graves. É um excelente pacote minúsculo satisfatório. A faixa média, os vocais e as agudos são excelentes e combina com os alto -falantes várias vezes o preço. Se o baixo não é o que você procura, é improvável qu"&amp;"e você encontre um pacote melhor, mesmo a um preço muito mais alto, especialmente se você se preocupa com o som. (Mesmo o som, quero dizer todas as frequências relevantes produzidas razoavelmente bem - sem grande supressão ou aprimoramento), verifiquei os"&amp;" outros, pois normalmente ouço música em um sistema semi-pro, e o baixo insuperável (médios mais baixos) me incomodava. eram altos (agora é uma empresa da China). Os 25W aumentaram ainda mais as expectativas. Como dito, é quase mais alto que o 3W Stone 20"&amp;"0. É bastante sólido, mas não é uma melhoria significativa o suficiente no baixo em relação aos 200. Se você não se importa com o dinheiro e deseja algo melhor do que os 200 com os 200 com Mesmo o som, pode ser isso. O Mids e o Terble são um pouco melhore"&amp;"s no 200. Speck também tem uma bateria maior, oferecendo backup substancialmente mais longo e melhor proteção da água (útil se você usar o seu na menor sala da casa :)) A pedra 650 é milhas à frente no baixo e no volume. Se é isso que você gosta, entre os"&amp;" 3 - sua escolha é simples. O baixo é irregular, no entanto. Todos os três alto -falantes têm membros na concha interna atuando como radiadores de graves passivos. Não se deve esperar muita nuances no baixo deles. Se um baque é o que você gosta - sim, cer"&amp;"tamente está lá (para o tamanho). Com graves um tanto descontrolados, o meio -dia está comprometido - um pouco suprimido e um pouco abafado. Não, não é importante, e muitos Mgiht nem percebem muito. O transiton entre médio e baixo médio/baixo não é ótimo."&amp;" Geralmente, não se espera tanto desses alto -falantes, mas a pedra do barco 200 colocou a barra alta - muito alta. Mantenha a pedra do barco em um ângulo, de modo que os motoristas (alto -falante) estejam na direção de seus ouvidos. Torna o meio -dia um "&amp;"pouco melhor. Reduz um pouco o baixo, mas torna o som mais uniforme. É difícil que seja impraticável mantê -lo, isso torna o som muito mais próximo do que eu desejo. Alguns extras: a colocação desses alto -falantes faz uma grande diferença. Mantenha -os a"&amp;" cerca de 6 ""de uma parede (idealmente em um canto) para graves aprimorados e som mais cheio. Assim, pois mantém estável e a borracha do lado ajuda mais. Ela é bem projetada, exceto que os botões de volume + e - deveriam ter sido trocados para uso intuit"&amp;"ivo. O 650 também pode ser colocado verticalmente. Isso também muda o som do som . OPNION Antes de executá -los por cerca de uma hora. Conclusão: Nakamichi Spekk: mais sólido do que os outros dois, nem tão alto quanto o esperado, melhor classificação Wate"&amp;"rProf, bateria maior, com preços altos, apesar de chinês - comprar se você não Cuidado com o dinheiro, volume e estão bem, com muito baixo. Excelente som mesmo som, no entanto, a falta de baixo em comparação com os outros o puxa de volta. Se você estiver "&amp;"com orçamento limitado, ou se não se importa muito com o baixo (especialmente para palestras/documentários ou música vocal), isso é brilhante. Eu o usei por long.boat 650: pesado. Alto. Muito baixo. Se você pode lidar com a irregularidade um tanto (e não "&amp;"é grande) e um som levemente abafado - é um bom pacote. de retribuir à comunidade para as inúmeras críticas que ganhei. Som, não há problema em comprar, o som não é muito alto, está abaixo das minhas expectativas, 1. Baixo preço2. Som incrível3. A duração"&amp;" da bateria deve ser mais reduzida a 1 estrela, mas em geral o Good4. Dá sensação de teatro em casa5. A conectividade múltipla também é boa., Adorei o produto ,,")</f>
        <v>Esta é a revisão focada principalmente na qualidade do som. O baixo do termo é usado de maneira generalizada. Não se espera graves verdadeiros de drivers tão pequenos. Versão Shorter: Boat Stone 650: Muito alto. Baixo alto e um tanto irregular. Mids são um pouco suprimidos. Um pouco abafado de médio porte. Agudos decentes. Um alto -falante baixo e baixo. No geral, é justo o som, a um preço e volume questionáveis. Muito Lounder do que você pode esperar de um alto -falante de 3W. Speaker incrível em um pequeno pacote, com uma versão insuficiente de graves. É um excelente pacote minúsculo satisfatório. A faixa média, os vocais e as agudos são excelentes e combina com os alto -falantes várias vezes o preço. Se o baixo não é o que você procura, é improvável que você encontre um pacote melhor, mesmo a um preço muito mais alto, especialmente se você se preocupa com o som. (Mesmo o som, quero dizer todas as frequências relevantes produzidas razoavelmente bem - sem grande supressão ou aprimoramento), verifiquei os outros, pois normalmente ouço música em um sistema semi-pro, e o baixo insuperável (médios mais baixos) me incomodava. eram altos (agora é uma empresa da China). Os 25W aumentaram ainda mais as expectativas. Como dito, é quase mais alto que o 3W Stone 200. É bastante sólido, mas não é uma melhoria significativa o suficiente no baixo em relação aos 200. Se você não se importa com o dinheiro e deseja algo melhor do que os 200 com os 200 com Mesmo o som, pode ser isso. O Mids e o Terble são um pouco melhores no 200. Speck também tem uma bateria maior, oferecendo backup substancialmente mais longo e melhor proteção da água (útil se você usar o seu na menor sala da casa :)) A pedra 650 é milhas à frente no baixo e no volume. Se é isso que você gosta, entre os 3 - sua escolha é simples. O baixo é irregular, no entanto. Todos os três alto -falantes têm membros na concha interna atuando como radiadores de graves passivos. Não se deve esperar muita nuances no baixo deles. Se um baque é o que você gosta - sim, certamente está lá (para o tamanho). Com graves um tanto descontrolados, o meio -dia está comprometido - um pouco suprimido e um pouco abafado. Não, não é importante, e muitos Mgiht nem percebem muito. O transiton entre médio e baixo médio/baixo não é ótimo. Geralmente, não se espera tanto desses alto -falantes, mas a pedra do barco 200 colocou a barra alta - muito alta. Mantenha a pedra do barco em um ângulo, de modo que os motoristas (alto -falante) estejam na direção de seus ouvidos. Torna o meio -dia um pouco melhor. Reduz um pouco o baixo, mas torna o som mais uniforme. É difícil que seja impraticável mantê -lo, isso torna o som muito mais próximo do que eu desejo. Alguns extras: a colocação desses alto -falantes faz uma grande diferença. Mantenha -os a cerca de 6 "de uma parede (idealmente em um canto) para graves aprimorados e som mais cheio. Assim, pois mantém estável e a borracha do lado ajuda mais. Ela é bem projetada, exceto que os botões de volume + e - deveriam ter sido trocados para uso intuitivo. O 650 também pode ser colocado verticalmente. Isso também muda o som do som . OPNION Antes de executá -los por cerca de uma hora. Conclusão: Nakamichi Spekk: mais sólido do que os outros dois, nem tão alto quanto o esperado, melhor classificação WaterProf, bateria maior, com preços altos, apesar de chinês - comprar se você não Cuidado com o dinheiro, volume e estão bem, com muito baixo. Excelente som mesmo som, no entanto, a falta de baixo em comparação com os outros o puxa de volta. Se você estiver com orçamento limitado, ou se não se importa muito com o baixo (especialmente para palestras/documentários ou música vocal), isso é brilhante. Eu o usei por long.boat 650: pesado. Alto. Muito baixo. Se você pode lidar com a irregularidade um tanto (e não é grande) e um som levemente abafado - é um bom pacote. de retribuir à comunidade para as inúmeras críticas que ganhei. Som, não há problema em comprar, o som não é muito alto, está abaixo das minhas expectativas, 1. Baixo preço2. Som incrível3. A duração da bateria deve ser mais reduzida a 1 estrela, mas em geral o Good4. Dá sensação de teatro em casa5. A conectividade múltipla também é boa., Adorei o produto ,,</v>
      </c>
    </row>
    <row r="807">
      <c r="A807" s="9" t="s">
        <v>3201</v>
      </c>
      <c r="B807" s="29" t="str">
        <f>VLOOKUP(dados!A807, reviews!A:G, 5, FALSE)</f>
        <v>Material not worth,Stable for use,Overall product is good,Durable, travel friendly,Adapter,Useful product for international travellers,Doubtful for Durability and sturdiness,very good product</v>
      </c>
      <c r="C807" s="29" t="str">
        <f>VLOOKUP(dados!A807, reviews!A:G, 6, FALSE)</f>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v>
      </c>
      <c r="D807" s="29" t="str">
        <f>IFERROR(__xludf.DUMMYFUNCTION("GOOGLETRANSLATE(B807, ""en"", ""pt-br"")"),"Material não vale, estável para uso, o produto geral é bom, durável, amigável para viagens, adaptador, produto útil para viajantes internacionais, duvidoso para durabilidade e robustez, produto muito bom")</f>
        <v>Material não vale, estável para uso, o produto geral é bom, durável, amigável para viagens, adaptador, produto útil para viajantes internacionais, duvidoso para durabilidade e robustez, produto muito bom</v>
      </c>
      <c r="E807" s="29" t="str">
        <f>IFERROR(__xludf.DUMMYFUNCTION("GOOGLETRANSLATE(C807, ""en"", ""pt-br"")"),"Posso dizer caro, embora possa fazer o trabalho, eu gosto do modal e do tamanho, comprei isso um ano atrás, apenas revisando agora, carreguei isso para a Europa e o Reino Unido. Ainda está funcionando bem. Produto muito bom., Meu adaptador caiu do ponto d"&amp;"e carregamento que não está funcionando, produto útil para viajantes internacionais, mas um pouco no lado caro, a qualidade do produto não está em relação à marca, eu carreguei algumas fotos, por favor, os caras verifiquem isso antes de comprar ., muito b"&amp;"om produto verificou a compra")</f>
        <v>Posso dizer caro, embora possa fazer o trabalho, eu gosto do modal e do tamanho, comprei isso um ano atrás, apenas revisando agora, carreguei isso para a Europa e o Reino Unido. Ainda está funcionando bem. Produto muito bom., Meu adaptador caiu do ponto de carregamento que não está funcionando, produto útil para viajantes internacionais, mas um pouco no lado caro, a qualidade do produto não está em relação à marca, eu carreguei algumas fotos, por favor, os caras verifiquem isso antes de comprar ., muito bom produto verificou a compra</v>
      </c>
    </row>
    <row r="808">
      <c r="A808" s="9" t="s">
        <v>3209</v>
      </c>
      <c r="B808" s="29" t="str">
        <f>VLOOKUP(dados!A808, reviews!A:G, 5, FALSE)</f>
        <v>Stone 180 is good as a portable speaker.,Good but not that much ok sound,Nice,Battery life,Poor battery life,Not have loud sound,Value for money...,Average</v>
      </c>
      <c r="C808" s="29" t="str">
        <f>VLOOKUP(dados!A808, reviews!A:G, 6, FALSE)</f>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v>
      </c>
      <c r="D808" s="29" t="str">
        <f>IFERROR(__xludf.DUMMYFUNCTION("GOOGLETRANSLATE(B808, ""en"", ""pt-br"")"),"Stone 180 é bom como um alto -falante portátil., Bom, mas não muito bom, bom, bom, duração da bateria, baixa duração da bateria, não tem som alto, valor para dinheiro ..., média")</f>
        <v>Stone 180 é bom como um alto -falante portátil., Bom, mas não muito bom, bom, bom, duração da bateria, baixa duração da bateria, não tem som alto, valor para dinheiro ..., média</v>
      </c>
      <c r="E808" s="29" t="str">
        <f>IFERROR(__xludf.DUMMYFUNCTION("GOOGLETRANSLATE(C808, ""en"", ""pt-br"")"),"Comprado em 800. A qualidade do solo é boa o suficiente. Seria melhor se o botão for fornecido em uma cor diferente e não na mesma cor. Bom, mas a duração da bateria não é boa se você tocar em todo o volume, apenas 3-5 músicas serão tocadas e, quando se t"&amp;"rata de som baixo, descendo a bateria, a duração da bateria é boa, no máximo 4-5 horas. Mas a qualidade do som não é Como eu esperava, mas está tudo bem., Pode comprar para piquenique e pequenas unidades, não ter alto -falado, boa conectividade e qualidad"&amp;"e de som também é boa de acordo com o custo de valor do produto, bom para transporte")</f>
        <v>Comprado em 800. A qualidade do solo é boa o suficiente. Seria melhor se o botão for fornecido em uma cor diferente e não na mesma cor. Bom, mas a duração da bateria não é boa se você tocar em todo o volume, apenas 3-5 músicas serão tocadas e, quando se trata de som baixo, descendo a bateria, a duração da bateria é boa, no máximo 4-5 horas. Mas a qualidade do som não é Como eu esperava, mas está tudo bem., Pode comprar para piquenique e pequenas unidades, não ter alto -falado, boa conectividade e qualidade de som também é boa de acordo com o custo de valor do produto, bom para transporte</v>
      </c>
    </row>
    <row r="809">
      <c r="A809" s="9" t="s">
        <v>3213</v>
      </c>
      <c r="B809" s="29" t="str">
        <f>VLOOKUP(dados!A809, reviews!A:G, 5, FALSE)</f>
        <v>Average,Value for money product,Nice product,very nice product... screen should be little bit more bright,Product looks Good,Nice product, easy to use and perfect delivery,Overall nice,Good</v>
      </c>
      <c r="C809" s="29" t="str">
        <f>VLOOKUP(dados!A809, reviews!A:G, 6, FALSE)</f>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v>
      </c>
      <c r="D809" s="29" t="str">
        <f>IFERROR(__xludf.DUMMYFUNCTION("GOOGLETRANSLATE(B809, ""en"", ""pt-br"")"),"Média, valor para dinheiro, produto agradável, produto muito bom ... a tela deve ser um pouco mais brilhante, o produto parece bom, bom produto, fácil de usar e entrega perfeita, em geral, bom, bom")</f>
        <v>Média, valor para dinheiro, produto agradável, produto muito bom ... a tela deve ser um pouco mais brilhante, o produto parece bom, bom produto, fácil de usar e entrega perfeita, em geral, bom, bom</v>
      </c>
      <c r="E809" s="29" t="str">
        <f>IFERROR(__xludf.DUMMYFUNCTION("GOOGLETRANSLATE(C809, ""en"", ""pt-br"")"),"A qualidade do produto não é tão boa que você deve trabalhar com a mão de Lite se colocar a mão nela e começar a desenhar ou escrever, causará flexão no bloco, um produto agradável em geral, um bom produto, o brilho não foi até a marca, https:/ /m.media-m"&amp;"azon.com/images/i/71gd+nnhszl._sy88.jpg,nice Eu darei 4 estrelas, o produto geral é bom, mas a tela é um pouco menor, mas nessa faixa de preço está tudo bem ... Vá em frente pessoal !!!!! ....., vale a pena.")</f>
        <v>A qualidade do produto não é tão boa que você deve trabalhar com a mão de Lite se colocar a mão nela e começar a desenhar ou escrever, causará flexão no bloco, um produto agradável em geral, um bom produto, o brilho não foi até a marca, https:/ /m.media-mazon.com/images/i/71gd+nnhszl._sy88.jpg,nice Eu darei 4 estrelas, o produto geral é bom, mas a tela é um pouco menor, mas nessa faixa de preço está tudo bem ... Vá em frente pessoal !!!!! ....., vale a pena.</v>
      </c>
    </row>
    <row r="810">
      <c r="A810" s="9" t="s">
        <v>3217</v>
      </c>
      <c r="B810" s="29" t="str">
        <f>VLOOKUP(dados!A810, reviews!A:G, 5, FALSE)</f>
        <v>Good,Heads up,Good product,Bright in color  good product 👍🏻,Nice dark colors...,black  and dark blue paper not supplied  as it should be also there making it 4x12,Quality is too good,Nice bright colour</v>
      </c>
      <c r="C810" s="29" t="str">
        <f>VLOOKUP(dados!A810, reviews!A:G, 6, FALSE)</f>
        <v>Good value of money if u have students at home,Liked it,Good product,Product was good 👍🏻value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v>
      </c>
      <c r="D810" s="29" t="str">
        <f>IFERROR(__xludf.DUMMYFUNCTION("GOOGLETRANSLATE(B810, ""en"", ""pt-br"")"),"Bom, lidera, bom produto, cor de cor brilhante, bom produto 👍🏻, lindas cores escuras ..., papel preto e azul escuro não fornecido, pois também deveria estar lá, fazendo com que ele")</f>
        <v>Bom, lidera, bom produto, cor de cor brilhante, bom produto 👍🏻, lindas cores escuras ..., papel preto e azul escuro não fornecido, pois também deveria estar lá, fazendo com que ele</v>
      </c>
      <c r="E810" s="29" t="str">
        <f>IFERROR(__xludf.DUMMYFUNCTION("GOOGLETRANSLATE(C810, ""en"", ""pt-br"")"),"Bom valor ao dinheiro, se você tiver estudantes em casa, gostei, bom produto, produto foi bom 👍🏻 Valor for Moneysheets A espessura era boa de cor brilhante, valor de dinheiro ..., papel preto e azul escuro não fornecido como deveria ser Também, tornando"&amp;" -o 4x12, esses papéis são de excelente qualidade. Eu já usei muitas folhas de cores antes para projetos escolares e a cor usada para desaparecer enquanto aplicava cola. Mas essas folhas de cores não têm esse problema. Definitivamente deve comprar se você"&amp;" estiver procurando por um A4 Tamanho Color Papéis para projetos escolares, a qualidade é boa ... especialmente para o projeto Kids ... conseguiu")</f>
        <v>Bom valor ao dinheiro, se você tiver estudantes em casa, gostei, bom produto, produto foi bom 👍🏻 Valor for Moneysheets A espessura era boa de cor brilhante, valor de dinheiro ..., papel preto e azul escuro não fornecido como deveria ser Também, tornando -o 4x12, esses papéis são de excelente qualidade. Eu já usei muitas folhas de cores antes para projetos escolares e a cor usada para desaparecer enquanto aplicava cola. Mas essas folhas de cores não têm esse problema. Definitivamente deve comprar se você estiver procurando por um A4 Tamanho Color Papéis para projetos escolares, a qualidade é boa ... especialmente para o projeto Kids ... conseguiu</v>
      </c>
    </row>
    <row r="811">
      <c r="A811" s="9" t="s">
        <v>3224</v>
      </c>
      <c r="B811" s="29" t="str">
        <f>VLOOKUP(dados!A811, reviews!A:G, 5, FALSE)</f>
        <v>Cute one,Received today and installed.Observing performance.,Provides 1-30 to 2 hours backup,Perfect modem and router UPS,Nice product with some drawbacks,Shandaar Jabardast Zindaabad,As expected,Excellent product for apartments with DG backup.</v>
      </c>
      <c r="C811" s="29" t="str">
        <f>VLOOKUP(dados!A811, reviews!A:G, 6, FALSE)</f>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v>
      </c>
      <c r="D811" s="29" t="str">
        <f>IFERROR(__xludf.DUMMYFUNCTION("GOOGLETRANSLATE(B811, ""en"", ""pt-br"")"),"Bonito, recebido hoje e instalado.")</f>
        <v>Bonito, recebido hoje e instalado.</v>
      </c>
      <c r="E811" s="29" t="str">
        <f>IFERROR(__xludf.DUMMYFUNCTION("GOOGLETRANSLATE(C811, ""en"", ""pt-br"")"),"Trabalhando conforme descrito, mas muito cedo para comentar., Fácil de instalar e fazer desempenho sob observação. Comprei 4 desses altos para minha casa e funciona perfeitamente conforme explicado. Nenhuma gota na velocidade da Internet enquanto estiver "&amp;"no UPS. Moderno e roteador nunca se desconectam também. Eu testei isso sem eletricidade por 3 horas, a essa altura veio a eletricidade, então não conheça o backup completo. Ele reinicia o Wi -Fi toda vez que, quando há um produto soberbo de corte, quando "&amp;"parou de funcionar, o fabricante recebeu e me enviou de volta. Depois disso, o backup também é bom em torno de 2,5 horas, trabalhando como esperado até agora. No corte de energia, alterna automaticamente para o modo UPS. Isso me dá backup por cerca de 6 h"&amp;"oras para o meu roteador Huawei. Após alguns meses de uso, atualizará a revisão de acordo. 1 ano em casa A garantia é a USP para este dispositivo., Não temos um inversor instalado porque nosso prédio de apartamentos possui backup da DG. Mas demorou alguns"&amp;" segundos para o DG liga devido ao qual meu roteador desligou. Portanto, este dispositivo funciona perfeitamente bem para cobrir os poucos segundos sem eletricidade. Pode durar horas à medida que anunciam. Eu tive que comprar um cabo de divisor de energia"&amp;" porque corro a mídia e o roteador com este dispositivo de backup e ambos funcionam perfeitamente bem durante o Powercuts.")</f>
        <v>Trabalhando conforme descrito, mas muito cedo para comentar., Fácil de instalar e fazer desempenho sob observação. Comprei 4 desses altos para minha casa e funciona perfeitamente conforme explicado. Nenhuma gota na velocidade da Internet enquanto estiver no UPS. Moderno e roteador nunca se desconectam também. Eu testei isso sem eletricidade por 3 horas, a essa altura veio a eletricidade, então não conheça o backup completo. Ele reinicia o Wi -Fi toda vez que, quando há um produto soberbo de corte, quando parou de funcionar, o fabricante recebeu e me enviou de volta. Depois disso, o backup também é bom em torno de 2,5 horas, trabalhando como esperado até agora. No corte de energia, alterna automaticamente para o modo UPS. Isso me dá backup por cerca de 6 horas para o meu roteador Huawei. Após alguns meses de uso, atualizará a revisão de acordo. 1 ano em casa A garantia é a USP para este dispositivo., Não temos um inversor instalado porque nosso prédio de apartamentos possui backup da DG. Mas demorou alguns segundos para o DG liga devido ao qual meu roteador desligou. Portanto, este dispositivo funciona perfeitamente bem para cobrir os poucos segundos sem eletricidade. Pode durar horas à medida que anunciam. Eu tive que comprar um cabo de divisor de energia porque corro a mídia e o roteador com este dispositivo de backup e ambos funcionam perfeitamente bem durante o Powercuts.</v>
      </c>
    </row>
    <row r="812">
      <c r="A812" s="9" t="s">
        <v>3228</v>
      </c>
      <c r="B812" s="29" t="str">
        <f>VLOOKUP(dados!A812, reviews!A:G, 5, FALSE)</f>
        <v>Absolutely worth the price,Best product on low value, definitely gofor this,Works the way it says,Economical. Very light. Quite sleak. No good robust packing.,Good one!,The Best,As expected quality from a company like crucial. 4.5 Star Rating,Best in class ssd</v>
      </c>
      <c r="C812" s="29" t="str">
        <f>VLOOKUP(dados!A812, reviews!A:G, 6, FALSE)</f>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v>
      </c>
      <c r="D812" s="29" t="str">
        <f>IFERROR(__xludf.DUMMYFUNCTION("GOOGLETRANSLATE(B812, ""en"", ""pt-br"")"),"Absolutamente vale o preço, o melhor produto com baixo valor, definitivamente o GoFor, funciona da maneira que diz, econômico. Muita luz. Bastante tlea. Nenhuma boa embalagem robusta., Bom!, O melhor, como a qualidade esperada de uma empresa como crucial."&amp;" Classificação de 4,5 estrelas, melhor da classe SSD")</f>
        <v>Absolutamente vale o preço, o melhor produto com baixo valor, definitivamente o GoFor, funciona da maneira que diz, econômico. Muita luz. Bastante tlea. Nenhuma boa embalagem robusta., Bom!, O melhor, como a qualidade esperada de uma empresa como crucial. Classificação de 4,5 estrelas, melhor da classe SSD</v>
      </c>
      <c r="E812" s="29" t="str">
        <f>IFERROR(__xludf.DUMMYFUNCTION("GOOGLETRANSLATE(C812, ""en"", ""pt-br"")"),"Depois que mudei de lento 500 GB de HDD para este SSD, parece que eu estava morando em uma idade de pedra. Meu PC começou a correr tão bem quanto eu jamais poderia imaginar. Embora eu não seja um jogador, possa diferenciar o desempenho da minha experiênci"&amp;"a. Quem deseja experimentar o SSD deve ter esse como a escolha perfeita, confundindo qual compra, mas depois de comprar este melhor e acelerar meu PC. Embalagens como nenhum valor para a caixa de dinheiro é a banda do canto, achei a inicialização do SSD m"&amp;"ais lentamente, como se você ligar um PC a primeira coisa que chuta a placa-mãe, em seguida, GPU/ CUP e logo depois do SSD neste caso Eu descobri que o SSD levou cerca de 2 segundos e uma resposta atrasada à startup, mas sempre que não começou, foi rápido"&amp;", não sei provavelmente um problema com minha PSU ou algo assim, sem dúvida, vá em frente. Design elegante.Build Material é plástico. Mas uma coisa que eu achei estranha é que a tampa do disco rígido que, quando eu o coloque e quando aplicados parafusos, "&amp;"os parafusos eram muito difíceis de colocar. Os últimos buracos foram um pouco desalinhados. Mas depois de um pouco de força que ele se encaixa., Comprei este produto em novembro de 2022. Fácil de instalar e o desempenho é bom. Eu instalei na minha área d"&amp;"e trabalho de 12 anos, agora meu i3-540 está mostrando o melhor nível. Comparado ao meu antigo disco rígido, é excelente usar. unidade interna., Usada para atualizar a velocidade e o desempenho do meu laptop antigo. Funciona como esperado, a princípio, go"&amp;"staria de sugerir procurar a classificação do vendedor que vende produtos eletrônicos, antes de pedir isso, pedi um produto similar crucial SSD500GB, mas, em vez disso documento de um cara. Entrei em contato com a Amazon e eles me reembolsaram imediatamen"&amp;"te. Então eu fiz esse pedido depois de procurar a classificação deste vendedor, que achei legítimo. O SSD é bom, eu o instalei no meu laptop Asus, o laptop está funcionando com 10gigs de RAM, processador I3 Gen8 e este SSD, depois A instalação de iniciali"&amp;"zação em 20 a 30 segundos, enquanto meu HDD anterior leva quase 3-5 minutos.")</f>
        <v>Depois que mudei de lento 500 GB de HDD para este SSD, parece que eu estava morando em uma idade de pedra. Meu PC começou a correr tão bem quanto eu jamais poderia imaginar. Embora eu não seja um jogador, possa diferenciar o desempenho da minha experiência. Quem deseja experimentar o SSD deve ter esse como a escolha perfeita, confundindo qual compra, mas depois de comprar este melhor e acelerar meu PC. Embalagens como nenhum valor para a caixa de dinheiro é a banda do canto, achei a inicialização do SSD mais lentamente, como se você ligar um PC a primeira coisa que chuta a placa-mãe, em seguida, GPU/ CUP e logo depois do SSD neste caso Eu descobri que o SSD levou cerca de 2 segundos e uma resposta atrasada à startup, mas sempre que não começou, foi rápido, não sei provavelmente um problema com minha PSU ou algo assim, sem dúvida, vá em frente. Design elegante.Build Material é plástico. Mas uma coisa que eu achei estranha é que a tampa do disco rígido que, quando eu o coloque e quando aplicados parafusos, os parafusos eram muito difíceis de colocar. Os últimos buracos foram um pouco desalinhados. Mas depois de um pouco de força que ele se encaixa., Comprei este produto em novembro de 2022. Fácil de instalar e o desempenho é bom. Eu instalei na minha área de trabalho de 12 anos, agora meu i3-540 está mostrando o melhor nível. Comparado ao meu antigo disco rígido, é excelente usar. unidade interna., Usada para atualizar a velocidade e o desempenho do meu laptop antigo. Funciona como esperado, a princípio, gostaria de sugerir procurar a classificação do vendedor que vende produtos eletrônicos, antes de pedir isso, pedi um produto similar crucial SSD500GB, mas, em vez disso documento de um cara. Entrei em contato com a Amazon e eles me reembolsaram imediatamente. Então eu fiz esse pedido depois de procurar a classificação deste vendedor, que achei legítimo. O SSD é bom, eu o instalei no meu laptop Asus, o laptop está funcionando com 10gigs de RAM, processador I3 Gen8 e este SSD, depois A instalação de inicialização em 20 a 30 segundos, enquanto meu HDD anterior leva quase 3-5 minutos.</v>
      </c>
    </row>
    <row r="813">
      <c r="A813" s="9" t="s">
        <v>3234</v>
      </c>
      <c r="B813" s="29" t="str">
        <f>VLOOKUP(dados!A813, reviews!A:G, 5, FALSE)</f>
        <v>it's nice. simple and easy.,It's good but I ordered avengers printing I got other one,Not A4 size,Nice product but not value for money,Money not wasted.,Good For Day-To-Day use,medium size notebook,Good for note</v>
      </c>
      <c r="C813" s="29" t="str">
        <f>VLOOKUP(dados!A813, reviews!A:G, 6, FALSE)</f>
        <v>I liked because it was aesthetically pleasing.I thought it was thicker. But overall it ok. Go for it.,You can buy but don't go for printing,It is a short copyYou can use it as a diary😀,Like its sharpness and style,Liked it,Product is good ...but I thought it is a A4 pad. But o k..Small but Good.,,Notebook is good</v>
      </c>
      <c r="D813" s="29" t="str">
        <f>IFERROR(__xludf.DUMMYFUNCTION("GOOGLETRANSLATE(B813, ""en"", ""pt-br"")"),"é legal. Simples e fácil., É bom, mas eu pedi a impressão dos Vingadores, eu tenho outro, não tamanho A4, produto agradável, mas não valor para dinheiro, dinheiro não desperdiçado., bom para uso diário, notebook de tamanho médio, bom para nota")</f>
        <v>é legal. Simples e fácil., É bom, mas eu pedi a impressão dos Vingadores, eu tenho outro, não tamanho A4, produto agradável, mas não valor para dinheiro, dinheiro não desperdiçado., bom para uso diário, notebook de tamanho médio, bom para nota</v>
      </c>
      <c r="E813" s="29" t="str">
        <f>IFERROR(__xludf.DUMMYFUNCTION("GOOGLETRANSLATE(C813, ""en"", ""pt-br"")"),"Gostei porque era esteticamente agradável. Achei que era mais espesso. Mas no geral tudo bem. Vá em frente., Você pode comprar, mas não vá para a impressão, é uma copia curta, você pode usá -lo como um diário, como sua nitidez e estilo, gostei, o produto "&amp;"é bom ... mas eu pensei que é um A4 Pad. Mas o k..smon, mas bom. ,, Caderno é bom")</f>
        <v>Gostei porque era esteticamente agradável. Achei que era mais espesso. Mas no geral tudo bem. Vá em frente., Você pode comprar, mas não vá para a impressão, é uma copia curta, você pode usá -lo como um diário, como sua nitidez e estilo, gostei, o produto é bom ... mas eu pensei que é um A4 Pad. Mas o k..smon, mas bom. ,, Caderno é bom</v>
      </c>
    </row>
    <row r="814">
      <c r="A814" s="9" t="s">
        <v>3238</v>
      </c>
      <c r="B814" s="29" t="str">
        <f>VLOOKUP(dados!A814, reviews!A:G, 5, FALSE)</f>
        <v>Nice Product,Good one,Nice to have!,5 star (i gave 4 btw) just 1 con and its huge for me,Good table to work from bed,Laptop Table.,Best stand available,Like it</v>
      </c>
      <c r="C814" s="29" t="str">
        <f>VLOOKUP(dados!A814, reviews!A:G, 6, FALSE)</f>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it’s some what moved to the right side instead of mostly to the left side, then the laptop gets the air correctly so laptop don’t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v>
      </c>
      <c r="D814" s="29" t="str">
        <f>IFERROR(__xludf.DUMMYFUNCTION("GOOGLETRANSLATE(B814, ""en"", ""pt-br"")"),"Bom produto, bom, bom ter!, 5 estrelas (eu dei 4 btw) apenas 1 con e é enorme para mim, boa mesa para trabalhar na cama, mesa de laptop.")</f>
        <v>Bom produto, bom, bom ter!, 5 estrelas (eu dei 4 btw) apenas 1 con e é enorme para mim, boa mesa para trabalhar na cama, mesa de laptop.</v>
      </c>
      <c r="E814" s="29" t="str">
        <f>IFERROR(__xludf.DUMMYFUNCTION("GOOGLETRANSLATE(C814, ""en"", ""pt-br"")"),"Comprei cerca de 2000 Rs e uso há cerca de um mês. Eu sinto que isso é um bom produto e bom para o trabalho de escritório em casa. O espaço é bom para o laptop 13 Inc e o espaço restante pode ser usado para telefone e outros pequenos utilitários. Fan que "&amp;"não tentei porque tenho MacBook., Ótimo útil para pessoas WFM. Especialmente minha esposa como se fosse obrigado, ótimos produtos. Fácil de usar. Confortável., Você não pode usar o mouse nesta mesa se seu laptop tiver 15,6 ... inicialmente estava bem, mas"&amp;" após 15 dias de uso .. quando eu conecto meu mouse para jogos ou edição não é confortável ... como mouse na cama E laptop 1 pés acima, isso me ajudou muito nos meus 2 meses trabalhando na cama. Eles podem melhorar um pouco a robustez, mas o produto geral"&amp;" de boa qualidade e o melhor preço do que todos os outros produtos. Se encaixa bem para laptop de 15 polegadas sem mouse. Usei o mouse na cama, pois não cabia na mesma mesa depois de manter meu laptop de 15 polegadas. Ajuste do ângulo GR8. Eu recomendo pa"&amp;"ra amigos e familiares, eu gosto deste produto, mas se ele tiver 2 fãs, seria tão bom porque 1 fã não é suficiente para um trabalho pesado ou mais horas de trabalho. E também os fãs colocam se for um que se moveu para o lado direito, em vez de principalme"&amp;"nte para o lado esquerdo, então o laptop obtém o ar corretamente para que o laptop não tenha muito calor. Estou escrevendo esta resenha depois de usar esta tabela por 8 meses , é muito conveniente, a mesa não agita, mesmo se usá -la na cama, os cantos da "&amp;"mesa são suaves e o material é realmente de boa qualidade, e o ventilador é realmente útil, mesmo eu uso o uso desta tabela como Uma almofada de resfriamento dobrando e as pernas e apenas colocá -la na mesa, mas somente quando estamos assistindo vídeos e "&amp;"não digitando, caso contrário, será Shakey, sobre tudo o que estou feliz, que meu dinheiro não foi desperdiçado porque Eu procuro uma tabela, há outra marca por um preço ainda menos como 500/-, mas eu escolho esse pensamento que é um investimento de uma v"&amp;"ez no tempo e preciso comprar e item que é durável e comprei isso, e estou feliz com Minha decisão, eu gosto, a única coisa é um pouco menor que os outros e não encontro qualquer uso de fãs.")</f>
        <v>Comprei cerca de 2000 Rs e uso há cerca de um mês. Eu sinto que isso é um bom produto e bom para o trabalho de escritório em casa. O espaço é bom para o laptop 13 Inc e o espaço restante pode ser usado para telefone e outros pequenos utilitários. Fan que não tentei porque tenho MacBook., Ótimo útil para pessoas WFM. Especialmente minha esposa como se fosse obrigado, ótimos produtos. Fácil de usar. Confortável., Você não pode usar o mouse nesta mesa se seu laptop tiver 15,6 ... inicialmente estava bem, mas após 15 dias de uso .. quando eu conecto meu mouse para jogos ou edição não é confortável ... como mouse na cama E laptop 1 pés acima, isso me ajudou muito nos meus 2 meses trabalhando na cama. Eles podem melhorar um pouco a robustez, mas o produto geral de boa qualidade e o melhor preço do que todos os outros produtos. Se encaixa bem para laptop de 15 polegadas sem mouse. Usei o mouse na cama, pois não cabia na mesma mesa depois de manter meu laptop de 15 polegadas. Ajuste do ângulo GR8. Eu recomendo para amigos e familiares, eu gosto deste produto, mas se ele tiver 2 fãs, seria tão bom porque 1 fã não é suficiente para um trabalho pesado ou mais horas de trabalho. E também os fãs colocam se for um que se moveu para o lado direito, em vez de principalmente para o lado esquerdo, então o laptop obtém o ar corretamente para que o laptop não tenha muito calor. Estou escrevendo esta resenha depois de usar esta tabela por 8 meses , é muito conveniente, a mesa não agita, mesmo se usá -la na cama, os cantos da mesa são suaves e o material é realmente de boa qualidade, e o ventilador é realmente útil, mesmo eu uso o uso desta tabela como Uma almofada de resfriamento dobrando e as pernas e apenas colocá -la na mesa, mas somente quando estamos assistindo vídeos e não digitando, caso contrário, será Shakey, sobre tudo o que estou feliz, que meu dinheiro não foi desperdiçado porque Eu procuro uma tabela, há outra marca por um preço ainda menos como 500/-, mas eu escolho esse pensamento que é um investimento de uma vez no tempo e preciso comprar e item que é durável e comprei isso, e estou feliz com Minha decisão, eu gosto, a única coisa é um pouco menor que os outros e não encontro qualquer uso de fãs.</v>
      </c>
    </row>
    <row r="815">
      <c r="A815" s="9" t="s">
        <v>3242</v>
      </c>
      <c r="B815" s="29" t="str">
        <f>VLOOKUP(dados!A815, reviews!A:G, 5, FALSE)</f>
        <v>Best at this price range.,Value for money,Value for money,Little bit compromise with make &amp; connectivity, rest all perfect 👌,Nice,Nice,Good,Good product</v>
      </c>
      <c r="C815" s="29" t="str">
        <f>VLOOKUP(dados!A815, reviews!A:G, 6, FALSE)</f>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v>
      </c>
      <c r="D815" s="29" t="str">
        <f>IFERROR(__xludf.DUMMYFUNCTION("GOOGLETRANSLATE(B815, ""en"", ""pt-br"")"),"Melhor nesta faixa de preço., Valor ao dinheiro, valor ao dinheiro, um pouco de compromisso com make &amp; conectividade, descanse tudo perfeito 👌, bom, bom, bom, bom produto")</f>
        <v>Melhor nesta faixa de preço., Valor ao dinheiro, valor ao dinheiro, um pouco de compromisso com make &amp; conectividade, descanse tudo perfeito 👌, bom, bom, bom, bom produto</v>
      </c>
      <c r="E815" s="29" t="str">
        <f>IFERROR(__xludf.DUMMYFUNCTION("GOOGLETRANSLATE(C815, ""en"", ""pt-br"")"),"Este é um fone de ouvido Bluetooth incrível por seu preço 500 é um bom som, boa bateria, mas apenas um problema é que a banda é flexível que ele estivesse no local quando no pescoço eles passam por outro. Caso contrário, é um fone de ouvido incrível. Se o"&amp;" seu orçamento estiver baixo, compre isso, é bom. Comprei este produto há 2 meses e está funcionando perfeitamente bem. Somente às vezes se conecta a mais de um dispositivo. Caso contrário, todas as coisas são boas, comprassem este produto para ele estava"&amp;" disponível para entrega imediata. O produto parece barato, mas se mantém bem. A qualidade do som está bem para os requisitos básicos ,, Nice Bluetooth 👍👍, bom produto em 450 Rs, o backup da bateria é incrível ,, carregamento rápido ,,, som também é mui"&amp;"to bom ,, apenas baixo não disponível e a porta do tipo C não está disponível Neste pescoço, o Baloverall Good Product, som e conectividade são muito bons, mas depois de 5 meses não está cobrando. Sem uso por longa vida. Não é um bom produto, vale a pena")</f>
        <v>Este é um fone de ouvido Bluetooth incrível por seu preço 500 é um bom som, boa bateria, mas apenas um problema é que a banda é flexível que ele estivesse no local quando no pescoço eles passam por outro. Caso contrário, é um fone de ouvido incrível. Se o seu orçamento estiver baixo, compre isso, é bom. Comprei este produto há 2 meses e está funcionando perfeitamente bem. Somente às vezes se conecta a mais de um dispositivo. Caso contrário, todas as coisas são boas, comprassem este produto para ele estava disponível para entrega imediata. O produto parece barato, mas se mantém bem. A qualidade do som está bem para os requisitos básicos ,, Nice Bluetooth 👍👍, bom produto em 450 Rs, o backup da bateria é incrível ,, carregamento rápido ,,, som também é muito bom ,, apenas baixo não disponível e a porta do tipo C não está disponível Neste pescoço, o Baloverall Good Product, som e conectividade são muito bons, mas depois de 5 meses não está cobrando. Sem uso por longa vida. Não é um bom produto, vale a pena</v>
      </c>
    </row>
    <row r="816">
      <c r="A816" s="9" t="s">
        <v>3246</v>
      </c>
      <c r="B816" s="29" t="str">
        <f>VLOOKUP(dados!A816, reviews!A:G, 5, FALSE)</f>
        <v>nice design.,Worth the buy,Pretty good,Nice product.,Jordaar,The product is an averagely good product,Good enough,Awesome</v>
      </c>
      <c r="C816" s="29" t="str">
        <f>VLOOKUP(dados!A816, reviews!A:G, 6, FALSE)</f>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v>
      </c>
      <c r="D816" s="29" t="str">
        <f>IFERROR(__xludf.DUMMYFUNCTION("GOOGLETRANSLATE(B816, ""en"", ""pt-br"")"),"bom design., vale a pena comprar, muito bom, bom produto., Jordaar, o produto é um produto médio, bom o suficiente, incrível")</f>
        <v>bom design., vale a pena comprar, muito bom, bom produto., Jordaar, o produto é um produto médio, bom o suficiente, incrível</v>
      </c>
      <c r="E816" s="29" t="str">
        <f>IFERROR(__xludf.DUMMYFUNCTION("GOOGLETRANSLATE(C816, ""en"", ""pt-br"")"),"Bom design e impressão. Mas difícil de diferenciar entre as áreas oceânicas e não oceanas, o sombreamento de cores dos países poderia ter sido melhor, caso contrário, tudo é bom. , Um produto caro, mas bom, eu estava procurando um tapete de mesa que seja "&amp;"anti -derrapagem e este produto corresponda às expectativas. Eu tentei poucos outros tapetes que foram mencionados anti -derrapagem e também o preço foi quase o dobro desse preço do tapete, mas não era de todo antiderrapante. Isso é bom nesse preço., Em t"&amp;"ermos de aparência e uso, os arcos são úteis e os arcos são bonitos, o produto correspondeu às minhas expectativas em 7/10. O mesmo poderia ter sido melhorado em termos de acabamento e qualidade do produto, bom o suficiente nesse preço, tapete muito bonit"&amp;"o e de boa qualidade. Pode facilmente recomendar isso para todos.")</f>
        <v>Bom design e impressão. Mas difícil de diferenciar entre as áreas oceânicas e não oceanas, o sombreamento de cores dos países poderia ter sido melhor, caso contrário, tudo é bom. , Um produto caro, mas bom, eu estava procurando um tapete de mesa que seja anti -derrapagem e este produto corresponda às expectativas. Eu tentei poucos outros tapetes que foram mencionados anti -derrapagem e também o preço foi quase o dobro desse preço do tapete, mas não era de todo antiderrapante. Isso é bom nesse preço., Em termos de aparência e uso, os arcos são úteis e os arcos são bonitos, o produto correspondeu às minhas expectativas em 7/10. O mesmo poderia ter sido melhorado em termos de acabamento e qualidade do produto, bom o suficiente nesse preço, tapete muito bonito e de boa qualidade. Pode facilmente recomendar isso para todos.</v>
      </c>
    </row>
    <row r="817">
      <c r="A817" s="9" t="s">
        <v>3250</v>
      </c>
      <c r="B817" s="29" t="str">
        <f>VLOOKUP(dados!A817, reviews!A:G, 5, FALSE)</f>
        <v>sometimes writes are little slow, otherwise fine,great product,Worth 100%,The only thing I was being deprived of was it's color.Instead of blue,I got a grey one.,Good product,Good product,Not with password and mailio softwares  this product not work properly,In the what u expect go for it ....</v>
      </c>
      <c r="C817" s="29" t="str">
        <f>VLOOKUP(dados!A817, reviews!A:G, 6, FALSE)</f>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v>
      </c>
      <c r="D817" s="29" t="str">
        <f>IFERROR(__xludf.DUMMYFUNCTION("GOOGLETRANSLATE(B817, ""en"", ""pt-br"")"),"Às vezes, as gravações são um pouco lentas, caso contrário, um ótimo produto, no valor de 100%, a única coisa que eu estava sendo privada era a cor. Em vez de azul, eu peguei um cinza., bom produto, bom produto, não com senha e correio Softwares Este prod"&amp;"uto não funciona corretamente, no que você espera, vá em frente ....")</f>
        <v>Às vezes, as gravações são um pouco lentas, caso contrário, um ótimo produto, no valor de 100%, a única coisa que eu estava sendo privada era a cor. Em vez de azul, eu peguei um cinza., bom produto, bom produto, não com senha e correio Softwares Este produto não funciona corretamente, no que você espera, vá em frente ....</v>
      </c>
      <c r="E817" s="29" t="str">
        <f>IFERROR(__xludf.DUMMYFUNCTION("GOOGLETRANSLATE(C817, ""en"", ""pt-br"")"),"Às vezes, as gravações são um pouco lentas, caso contrário. Peso leve e muito fácil de transportar. Bom produto., Ótimo produto, um dos melhores discos rígidos externos a esse preço e recursos e protegidos ..., https: //m.media-amazon.com/images/i/71jy6bo"&amp;"7yql._sy88.jpg, produto, mas O preço deve ser um pouco menor, o peso leve, todas as condições estão bem, mas o Sofftware não está construído. Incompleto este produto, melhor eu recebo .. no segmento ... a seguir depende do desempenho")</f>
        <v>Às vezes, as gravações são um pouco lentas, caso contrário. Peso leve e muito fácil de transportar. Bom produto., Ótimo produto, um dos melhores discos rígidos externos a esse preço e recursos e protegidos ..., https: //m.media-amazon.com/images/i/71jy6bo7yql._sy88.jpg, produto, mas O preço deve ser um pouco menor, o peso leve, todas as condições estão bem, mas o Sofftware não está construído. Incompleto este produto, melhor eu recebo .. no segmento ... a seguir depende do desempenho</v>
      </c>
    </row>
    <row r="818">
      <c r="A818" s="9" t="s">
        <v>3254</v>
      </c>
      <c r="B818" s="29" t="str">
        <f>VLOOKUP(dados!A818, reviews!A:G, 5, FALSE)</f>
        <v>Thik thak he,wired,Sound boss,cheap and best temporary speakers,So loud,Bass,BEST QUALITY SPEAKER,Very nice</v>
      </c>
      <c r="C818" s="29" t="str">
        <f>VLOOKUP(dados!A818, reviews!A:G, 6, FALSE)</f>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v>
      </c>
      <c r="D818" s="29" t="str">
        <f>IFERROR(__xludf.DUMMYFUNCTION("GOOGLETRANSLATE(B818, ""en"", ""pt-br"")"),"Thik thak ele, com fio, chefe de som, barato e melhor alto -falantes temporários, tão alto, baixo, alto -falante de melhor qualidade, muito bom")</f>
        <v>Thik thak ele, com fio, chefe de som, barato e melhor alto -falantes temporários, tão alto, baixo, alto -falante de melhor qualidade, muito bom</v>
      </c>
      <c r="E818" s="29" t="str">
        <f>IFERROR(__xludf.DUMMYFUNCTION("GOOGLETRANSLATE(C818, ""en"", ""pt-br"")"),"Bom produto, pelo menos com fio curto, o fio de 2 metros, a qualidade do som é boa, estava procurando um alto -falante para um trabalho remoto por alguns meses, algo parece mais alto que meu laptop. Comprei isso com expectativas muito baixas. Mas !!, a qu"&amp;"alidade do som não é tão ruim assim. Ok, para música casual e podcasts. O som é bom e claro na faixa de volume de 60%. Os vocais são claros. O baixo não está presente ou ausente. O suficiente para ouvir a área de trabalho enquanto trabalha. O volume máxim"&amp;"o é inútil. Ainda é uma ótima compra pelo preço. Sem queixas., Bom produto, baixo não é alto, adoro,")</f>
        <v>Bom produto, pelo menos com fio curto, o fio de 2 metros, a qualidade do som é boa, estava procurando um alto -falante para um trabalho remoto por alguns meses, algo parece mais alto que meu laptop. Comprei isso com expectativas muito baixas. Mas !!, a qualidade do som não é tão ruim assim. Ok, para música casual e podcasts. O som é bom e claro na faixa de volume de 60%. Os vocais são claros. O baixo não está presente ou ausente. O suficiente para ouvir a área de trabalho enquanto trabalha. O volume máximo é inútil. Ainda é uma ótima compra pelo preço. Sem queixas., Bom produto, baixo não é alto, adoro,</v>
      </c>
    </row>
    <row r="819">
      <c r="A819" s="9" t="s">
        <v>3260</v>
      </c>
      <c r="B819" s="29" t="str">
        <f>VLOOKUP(dados!A819, reviews!A:G, 5, FALSE)</f>
        <v>Product is good,Lots of fun for the price,Good to use,Handy,Concept is good,Lightweight,Good for children,a best device for your child to make them intrested to study and practice.</v>
      </c>
      <c r="C819" s="29" t="str">
        <f>VLOOKUP(dados!A819, reviews!A:G, 6, FALSE)</f>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v>
      </c>
      <c r="D819" s="29" t="str">
        <f>IFERROR(__xludf.DUMMYFUNCTION("GOOGLETRANSLATE(B819, ""en"", ""pt-br"")"),"O produto é bom, muito divertido para o preço, bom de usar, prático, o conceito é bom, leve, bom para crianças, um melhor dispositivo para seu filho torná -los interessados ​​em estudar e praticar.")</f>
        <v>O produto é bom, muito divertido para o preço, bom de usar, prático, o conceito é bom, leve, bom para crianças, um melhor dispositivo para seu filho torná -los interessados ​​em estudar e praticar.</v>
      </c>
      <c r="E819" s="29" t="str">
        <f>IFERROR(__xludf.DUMMYFUNCTION("GOOGLETRANSLATE(C819, ""en"", ""pt-br"")"),"O produto é bom. Mas o brilho não é suficiente., Com um tablet muito bom e envolvente para crianças pequenas. Vale a pena o dinheiro, a leveza, o ND muito brilhante, muito econômico para as crianças, o conceito é bom, mas a qualidade do produto não é a me"&amp;"lhor, boa para presentear. Valor do dinheiro., Bom produto, isso é tão acessível ou eu diria que é tão barato. Com este dispositivo com preços baratos, seu filho ficará mais interessado no estudo.Pros &amp; Conspros1:- Best e exclusivo2:- Ótimo dispositivo pa"&amp;"ra presentear seus filhos3:- Apreensível para qualquer tipo de pessoa 4:-Long Battery Lifend e fácil de alterar o Battery5: -Ches with a Lock6: -Nice RECEBENÇÃO EXPERIMENTO: -1:-Não Bright2: -Se você deseja apagar a coisa minúscula ou uma palavra que você"&amp;" apaga all3: -Gee scratch ou linhas na tela depois de escrever. é um produto Valie for Money. você pode presentear.")</f>
        <v>O produto é bom. Mas o brilho não é suficiente., Com um tablet muito bom e envolvente para crianças pequenas. Vale a pena o dinheiro, a leveza, o ND muito brilhante, muito econômico para as crianças, o conceito é bom, mas a qualidade do produto não é a melhor, boa para presentear. Valor do dinheiro., Bom produto, isso é tão acessível ou eu diria que é tão barato. Com este dispositivo com preços baratos, seu filho ficará mais interessado no estudo.Pros &amp; Conspros1:- Best e exclusivo2:- Ótimo dispositivo para presentear seus filhos3:- Apreensível para qualquer tipo de pessoa 4:-Long Battery Lifend e fácil de alterar o Battery5: -Ches with a Lock6: -Nice RECEBENÇÃO EXPERIMENTO: -1:-Não Bright2: -Se você deseja apagar a coisa minúscula ou uma palavra que você apaga all3: -Gee scratch ou linhas na tela depois de escrever. é um produto Valie for Money. você pode presentear.</v>
      </c>
    </row>
    <row r="820">
      <c r="A820" s="9" t="s">
        <v>157</v>
      </c>
      <c r="B820" s="29" t="str">
        <f>VLOOKUP(dados!A820, reviews!A:G, 5, FALSE)</f>
        <v>Good product,Good for charging, bad for data transfer,Wait  to get mexmum discount.,The cable quality is best and charging pin is at right position to stand 👍🏻,So far super,Good,Good but issues with design,Maine ₹99 me liya hai offer me or ye worth hai.</v>
      </c>
      <c r="C820" s="29" t="str">
        <f>VLOOKUP(dados!A820, reviews!A:G, 6, FALSE)</f>
        <v>The cable build quality is good for normal charging its great cable but doesn’t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v>
      </c>
      <c r="D820" s="29" t="str">
        <f>IFERROR(__xludf.DUMMYFUNCTION("GOOGLETRANSLATE(B820, ""en"", ""pt-br"")"),"Bom produto, bom para carregar, ruim para transferência de dados, aguarde para obter desconto mexmum., A qualidade do cabo é a melhor e o pino de carregamento está na posição correta de ficar 👍🏻, até agora super, bom, bom, mas problemas com o design, Ma"&amp;"ine ₹ 99 Me liya hai me oferece ou você vale a pena.")</f>
        <v>Bom produto, bom para carregar, ruim para transferência de dados, aguarde para obter desconto mexmum., A qualidade do cabo é a melhor e o pino de carregamento está na posição correta de ficar 👍🏻, até agora super, bom, bom, mas problemas com o design, Maine ₹ 99 Me liya hai me oferece ou você vale a pena.</v>
      </c>
      <c r="E820" s="29" t="str">
        <f>IFERROR(__xludf.DUMMYFUNCTION("GOOGLETRANSLATE(C820, ""en"", ""pt-br"")"),"A qualidade da construção de cabos é boa para carregar normal seu ótimo cabo, mas não suporta carregamento rápido, funciona para carregar, mas outras aplicações são atingidas ou erradas. Exemplo meu teclado externo não funciona com ele!, A melhor qualidad"&amp;"e e o comprimento do fio foram Qute bom e durabilidade também bom., o cabo é incrível e não é um problema de carregamento até agora ... porque é um cabo trançado ... a chance de danos é muito menor ... no geral ... eu gosto do produto 🤞 🏻, usando este c"&amp;"abo dos últimos 40 dias para carregar LG G7THINQ e Samsung S21FE. Até agora, super, bom, parece durável, mas há um problema com o design de que o pino não é longo o suficiente / base do pino é muito grosso que eu não consegui inseri -lo na porta de carreg"&amp;"amento do meu telefone sem remover o estojo!, Sobre Toda a qualidade Bht Achhi Hai BS Jo Romada Material Use Hua Hai Wo Nylon nhi Hai algodão tipo ka hai lekin ₹ 99 Me 1,5m cabo k hisAab se bht achhi hai majboot hai ou cobrando bhi thik hai. Maine chapti "&amp;"wali comprar ki thi jo foto me dikh rhi hai lekin deLever ye gol wali hui jo ki jada melhor parecer deti hai. Agar ₹ 150 me milha para mt lena utne layak nhi hai.")</f>
        <v>A qualidade da construção de cabos é boa para carregar normal seu ótimo cabo, mas não suporta carregamento rápido, funciona para carregar, mas outras aplicações são atingidas ou erradas. Exemplo meu teclado externo não funciona com ele!, A melhor qualidade e o comprimento do fio foram Qute bom e durabilidade também bom., o cabo é incrível e não é um problema de carregamento até agora ... porque é um cabo trançado ... a chance de danos é muito menor ... no geral ... eu gosto do produto 🤞 🏻, usando este cabo dos últimos 40 dias para carregar LG G7THINQ e Samsung S21FE. Até agora, super, bom, parece durável, mas há um problema com o design de que o pino não é longo o suficiente / base do pino é muito grosso que eu não consegui inseri -lo na porta de carregamento do meu telefone sem remover o estojo!, Sobre Toda a qualidade Bht Achhi Hai BS Jo Romada Material Use Hua Hai Wo Nylon nhi Hai algodão tipo ka hai lekin ₹ 99 Me 1,5m cabo k hisAab se bht achhi hai majboot hai ou cobrando bhi thik hai. Maine chapti wali comprar ki thi jo foto me dikh rhi hai lekin deLever ye gol wali hui jo ki jada melhor parecer deti hai. Agar ₹ 150 me milha para mt lena utne layak nhi hai.</v>
      </c>
    </row>
    <row r="821">
      <c r="A821" s="9" t="s">
        <v>3265</v>
      </c>
      <c r="B821" s="29" t="str">
        <f>VLOOKUP(dados!A821, reviews!A:G, 5, FALSE)</f>
        <v>Good for my work,Worth it,Hard disc is not detecting,Good hdd with a 1.5 tb storage.....really cool and fast,Faster data transfer,Nice,Reasonable price,Sleek design</v>
      </c>
      <c r="C821" s="29" t="str">
        <f>VLOOKUP(dados!A821, reviews!A:G, 6, FALSE)</f>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v>
      </c>
      <c r="D821" s="29" t="str">
        <f>IFERROR(__xludf.DUMMYFUNCTION("GOOGLETRANSLATE(B821, ""en"", ""pt-br"")"),"Bom para o meu trabalho, vale a pena, disco duro não está detectando, bom disputa disputada com um armazenamento de 1,5 TB ..... muito legal e rápido, transferido de dados mais rápido, bom, preço razoável, design elegante")</f>
        <v>Bom para o meu trabalho, vale a pena, disco duro não está detectando, bom disputa disputada com um armazenamento de 1,5 TB ..... muito legal e rápido, transferido de dados mais rápido, bom, preço razoável, design elegante</v>
      </c>
      <c r="E821" s="29" t="str">
        <f>IFERROR(__xludf.DUMMYFUNCTION("GOOGLETRANSLATE(C821, ""en"", ""pt-br"")"),"Comprei para a minha câmera Asscerres, como lentes pequenas e cabos da bateria. Eu totalmente satisfeito com a compra, o WD Harddisk é mais rápido em comparação com os outros. É leve. O design é bom. O desempenho é muito bom, eu quero um novo disco rígido"&amp;", HDD portátil realmente bom com armazenamento de 1,5 TB e velocidade de 112 aproximadamente MB/s, a velocidade de transferência de dados é muito mais rápida do que o esperado. Ele funciona muito bem e o tamanho é muito pequeno. Portanto, é fácil de cary "&amp;"e comovente., Nice, recebeu um pouco de produto arranhado ( * não perceptível em vista normal e apenas 1 arranhão, então não reclamando. Peguei isso por 3100-3200 ₹. Capacidade de armazenamento mostrando 1,37 TB significa descanso Para o backup do sistema"&amp;". Leveu 47s para transferir dados de 4,16 GB do laptop para dirigir até 3,0 USB. Feliz com o produto à primeira vista. Vamos ver Kaise Chalta H .. Você pode ir para isso abaixo de 3600 ₹ BCZ Ninguém está lhe dando 1,5 TB Nesse intervalo e lembre -se de 1,"&amp;"5 TB significa que você receberá menos de 1,4 e 1 TB significa menos de 960 GB, é assim que é 🙂.")</f>
        <v>Comprei para a minha câmera Asscerres, como lentes pequenas e cabos da bateria. Eu totalmente satisfeito com a compra, o WD Harddisk é mais rápido em comparação com os outros. É leve. O design é bom. O desempenho é muito bom, eu quero um novo disco rígido, HDD portátil realmente bom com armazenamento de 1,5 TB e velocidade de 112 aproximadamente MB/s, a velocidade de transferência de dados é muito mais rápida do que o esperado. Ele funciona muito bem e o tamanho é muito pequeno. Portanto, é fácil de cary e comovente., Nice, recebeu um pouco de produto arranhado ( * não perceptível em vista normal e apenas 1 arranhão, então não reclamando. Peguei isso por 3100-3200 ₹. Capacidade de armazenamento mostrando 1,37 TB significa descanso Para o backup do sistema. Leveu 47s para transferir dados de 4,16 GB do laptop para dirigir até 3,0 USB. Feliz com o produto à primeira vista. Vamos ver Kaise Chalta H .. Você pode ir para isso abaixo de 3600 ₹ BCZ Ninguém está lhe dando 1,5 TB Nesse intervalo e lembre -se de 1,5 TB significa que você receberá menos de 1,4 e 1 TB significa menos de 960 GB, é assim que é 🙂.</v>
      </c>
    </row>
    <row r="822">
      <c r="A822" s="9" t="s">
        <v>3269</v>
      </c>
      <c r="B822" s="29" t="str">
        <f>VLOOKUP(dados!A822, reviews!A:G, 5, FALSE)</f>
        <v>Good product,Good quality,Good,Great mouse pad,Good worth the money.,Works flawlessly for many years,Nice mouse pad,Quality</v>
      </c>
      <c r="C822" s="29" t="str">
        <f>VLOOKUP(dados!A822, reviews!A:G, 6, FALSE)</f>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👍🏻,Best quality... And size is also according to my need.. best product at this price</v>
      </c>
      <c r="D822" s="29" t="str">
        <f>IFERROR(__xludf.DUMMYFUNCTION("GOOGLETRANSLATE(B822, ""en"", ""pt-br"")"),"Bom produto, boa qualidade, bom, excelente mouse pad, bom vale o dinheiro., Funciona perfeitamente por muitos anos, bom mouse pad, qualidade")</f>
        <v>Bom produto, boa qualidade, bom, excelente mouse pad, bom vale o dinheiro., Funciona perfeitamente por muitos anos, bom mouse pad, qualidade</v>
      </c>
      <c r="E822" s="29" t="str">
        <f>IFERROR(__xludf.DUMMYFUNCTION("GOOGLETRANSLATE(C822, ""en"", ""pt-br"")"),"A qualidade do produto está acima da média., Produto de boa qualidade, um pouco maior do que o esperado, verifique o tamanho antes de comprar., Valor do dinheiro, mas precisa ver sua durabilidade, acabei de receber o item, https: //m.media-amazon. com/ima"&amp;"gens/w/webp_402378-t1/imagens/i/71ynj3dabel._sy88.jpg, é enorme na lista que eu não achei que fosse esse grande valor, é durável e parece ótimo. Escrevendo esta resenha após 3 Anos usando quase todos os dias, sem lágrimas ou desfazendo a costura. Funciona"&amp;" como pretendido., Comprei este mouse pad 2 ou 3 anos antes e é muito bom. Não teve nenhum problema ao jogar. Você pode considerar este bloco de filmes se quiser 👍🏻, a melhor qualidade ... e o tamanho também está de acordo com a minha necessidade. Melho"&amp;"r produto a esse preço")</f>
        <v>A qualidade do produto está acima da média., Produto de boa qualidade, um pouco maior do que o esperado, verifique o tamanho antes de comprar., Valor do dinheiro, mas precisa ver sua durabilidade, acabei de receber o item, https: //m.media-amazon. com/imagens/w/webp_402378-t1/imagens/i/71ynj3dabel._sy88.jpg, é enorme na lista que eu não achei que fosse esse grande valor, é durável e parece ótimo. Escrevendo esta resenha após 3 Anos usando quase todos os dias, sem lágrimas ou desfazendo a costura. Funciona como pretendido., Comprei este mouse pad 2 ou 3 anos antes e é muito bom. Não teve nenhum problema ao jogar. Você pode considerar este bloco de filmes se quiser 👍🏻, a melhor qualidade ... e o tamanho também está de acordo com a minha necessidade. Melhor produto a esse preço</v>
      </c>
    </row>
    <row r="823">
      <c r="A823" s="9" t="s">
        <v>3273</v>
      </c>
      <c r="B823" s="29" t="str">
        <f>VLOOKUP(dados!A823, reviews!A:G, 5, FALSE)</f>
        <v>Not to the mark.,Ok.,Good Product,Good but lack some features,Best quility,Nice,Good for money,Just as expected.</v>
      </c>
      <c r="C823" s="29" t="str">
        <f>VLOOKUP(dados!A823, reviews!A:G, 6, FALSE)</f>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v>
      </c>
      <c r="D823" s="29" t="str">
        <f>IFERROR(__xludf.DUMMYFUNCTION("GOOGLETRANSLATE(B823, ""en"", ""pt-br"")"),"Não para o Mark., Ok., Bom produto, bom, mas não possui alguns recursos, melhor quilidade, bom, bom para dinheiro, exatamente como o esperado.")</f>
        <v>Não para o Mark., Ok., Bom produto, bom, mas não possui alguns recursos, melhor quilidade, bom, bom para dinheiro, exatamente como o esperado.</v>
      </c>
      <c r="E823" s="29" t="str">
        <f>IFERROR(__xludf.DUMMYFUNCTION("GOOGLETRANSLATE(C823, ""en"", ""pt-br"")"),"Não tinha expectativas quando o comprou. Nem decepcionado nem estou feliz. A falha mais importante que há momentos em que esqueço de desligá -la. Ele permanece ligado o tempo todo. Se você tem uma palma grande, isso dará dores depois de algumas horas de u"&amp;"so. O restante é bom. como a edição de vídeo. Não possui o LED de recursos do sono brilha o tempo todo. Não tenha pouca luz indicadora de bateria., Melhor mouse, bom, bom, funcionando como deveria ser. Não há problemas com recepção e latência.")</f>
        <v>Não tinha expectativas quando o comprou. Nem decepcionado nem estou feliz. A falha mais importante que há momentos em que esqueço de desligá -la. Ele permanece ligado o tempo todo. Se você tem uma palma grande, isso dará dores depois de algumas horas de uso. O restante é bom. como a edição de vídeo. Não possui o LED de recursos do sono brilha o tempo todo. Não tenha pouca luz indicadora de bateria., Melhor mouse, bom, bom, funcionando como deveria ser. Não há problemas com recepção e latência.</v>
      </c>
    </row>
    <row r="824">
      <c r="A824" s="9" t="s">
        <v>3277</v>
      </c>
      <c r="B824" s="29" t="str">
        <f>VLOOKUP(dados!A824, reviews!A:G, 5, FALSE)</f>
        <v>Very very very good in terms of ergonomic,Good keyboard but have some cons,Good For Daily Use,Easy to use, hard to carry,nice,Excellent, Durable and connects to any gadgets including IPhone,Not suitable for all,Absolute Rubbish -&gt; Moderately Good Product</v>
      </c>
      <c r="C824" s="29" t="str">
        <f>VLOOKUP(dados!A824, reviews!A:G, 6, FALSE)</f>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v>
      </c>
      <c r="D824" s="29" t="str">
        <f>IFERROR(__xludf.DUMMYFUNCTION("GOOGLETRANSLATE(B824, ""en"", ""pt-br"")"),"Muito, muito, muito bom em termos de teclado ergonômico e bom, mas tem alguns contras, bom para uso diário, fácil de usar, difícil de transportar, agradável, excelente, durável e se conecta a qualquer dispositivo, incluindo iPhone, não adequado para todos"&amp;", lixo absoluto - &gt; Produto moderadamente bom")</f>
        <v>Muito, muito, muito bom em termos de teclado ergonômico e bom, mas tem alguns contras, bom para uso diário, fácil de usar, difícil de transportar, agradável, excelente, durável e se conecta a qualquer dispositivo, incluindo iPhone, não adequado para todos, lixo absoluto - &gt; Produto moderadamente bom</v>
      </c>
      <c r="E824" s="29" t="str">
        <f>IFERROR(__xludf.DUMMYFUNCTION("GOOGLETRANSLATE(C824, ""en"", ""pt-br"")"),"Comprei quando assisti a um influenciador do Instagram mostrou este produto e queria experimentar as mãos nisso. Em termos de qualidade, é muito bom e, como é feito pela Logitech, que está no mercado de muitos anos em acessórios para PC - tão menos duvido"&amp;"sos sobre isso durabilidade. Os melhores recursos depois de emparelhar seus 3 dispositivos diferentes a este teclado usando o Bluetooth, a conectividade de comutação é super rápida - como se você não sentir nenhum atraso na conectividade. A correia de ins"&amp;"truções ajuda a entender bem este produto. Comprei a 2,6k, mas sei que o preço caiu para 1,7k durante a venda de diwali. sensação mecânica do teclado que é ótima)- Para os jogos, os botões estão muito próximos um do outro, para que suas mãos levem algum t"&amp;"empo para se ajustar e também as teclas de seta são pequenas, o que não importa, porque, como jogador, você raramente usa teclas de seta (sempre é wasdd ), mas sim será problemático se você jogar a FIFA, onde houver uso extremo das teclas de seta. Eu poss"&amp;"o listar os prós e contras.Pros -1. Boa conectividade com o MacBook Pro mais recente OS2. As chaves do MacBook são mapeadas corretamente conforme o esperado. Portable4. Conectividade simultânea com 3 dispositivosCons-1. Não é um teclado ergonômico. É plan"&amp;"o e não tem nenhuma opção para inclinar. Não tem teclas de luz de fundo. Você não pode ver as chaves no quarto escuro. As chaves são um pouco difíceis de pressionar, acho que devido à cúpula de borracha. Digite a chave, eu sinto, é menor que não pode ser "&amp;"detectada sem ver o teclado. No geral, meu objetivo foi cumprido, pois sou capaz de usá -lo com meu MacBook Pro depois de lutar com a combinação Logitech R270., O teclado é muito bom e tem Uma boa qualidade construída e o único golpe é que não há indicaçã"&amp;"o de que o bloqueio do CAPS esteja ligado ou desativado., Prós: Fácil de usar, as teclas parecem teclado mecânico. Pode conectar 3 dispositivos. Suporta Mac e Windows. Coloque o suporte para dispositivos móveis (no entanto, eu o uso para colocar uma canet"&amp;"a) contras: caras. Muito pesado (parece o MacBook Air). Há um atraso em conexão sempre que você liga o laptop., O preço é alto, que excelente produto eu tenho minhas mãos. Trabalho suave e conecte -se a três gadgets diferentes ao mesmo tempo e você pode t"&amp;"rabalhar em qualquer um deles. Os botões são de bom tamanho, portanto a digitação é fácil e rápida. O titular embutido para gadgets é realmente sólido e ajuda. E também está conectado ao iPhone., Utiliza apenas para digitar se a visualização horizontal fo"&amp;"r adequada para ver o que digitamos duas vezes antes de comprar, não funcionando corretamente no MacBook Pro! Mudança para personagens de lixo frequentemente, o que é realmente frustrante! Como eu corrigi? O teclado muda para caracteres de símbolo/lixo qu"&amp;"ando a tecla de opção é pressionada. Então, eu tive que desativar a tecla de opção no teclado e viver com ela! Além desse problema acima, é um teclado de boa aparência. As chaves são lisas de manusear. Devido ao seu contêiner para tablet/telefones, o prod"&amp;"uto não é tão compacto quanto você espera.")</f>
        <v>Comprei quando assisti a um influenciador do Instagram mostrou este produto e queria experimentar as mãos nisso. Em termos de qualidade, é muito bom e, como é feito pela Logitech, que está no mercado de muitos anos em acessórios para PC - tão menos duvidosos sobre isso durabilidade. Os melhores recursos depois de emparelhar seus 3 dispositivos diferentes a este teclado usando o Bluetooth, a conectividade de comutação é super rápida - como se você não sentir nenhum atraso na conectividade. A correia de instruções ajuda a entender bem este produto. Comprei a 2,6k, mas sei que o preço caiu para 1,7k durante a venda de diwali. sensação mecânica do teclado que é ótima)- Para os jogos, os botões estão muito próximos um do outro, para que suas mãos levem algum tempo para se ajustar e também as teclas de seta são pequenas, o que não importa, porque, como jogador, você raramente usa teclas de seta (sempre é wasdd ), mas sim será problemático se você jogar a FIFA, onde houver uso extremo das teclas de seta. Eu posso listar os prós e contras.Pros -1. Boa conectividade com o MacBook Pro mais recente OS2. As chaves do MacBook são mapeadas corretamente conforme o esperado. Portable4. Conectividade simultânea com 3 dispositivosCons-1. Não é um teclado ergonômico. É plano e não tem nenhuma opção para inclinar. Não tem teclas de luz de fundo. Você não pode ver as chaves no quarto escuro. As chaves são um pouco difíceis de pressionar, acho que devido à cúpula de borracha. Digite a chave, eu sinto, é menor que não pode ser detectada sem ver o teclado. No geral, meu objetivo foi cumprido, pois sou capaz de usá -lo com meu MacBook Pro depois de lutar com a combinação Logitech R270., O teclado é muito bom e tem Uma boa qualidade construída e o único golpe é que não há indicação de que o bloqueio do CAPS esteja ligado ou desativado., Prós: Fácil de usar, as teclas parecem teclado mecânico. Pode conectar 3 dispositivos. Suporta Mac e Windows. Coloque o suporte para dispositivos móveis (no entanto, eu o uso para colocar uma caneta) contras: caras. Muito pesado (parece o MacBook Air). Há um atraso em conexão sempre que você liga o laptop., O preço é alto, que excelente produto eu tenho minhas mãos. Trabalho suave e conecte -se a três gadgets diferentes ao mesmo tempo e você pode trabalhar em qualquer um deles. Os botões são de bom tamanho, portanto a digitação é fácil e rápida. O titular embutido para gadgets é realmente sólido e ajuda. E também está conectado ao iPhone., Utiliza apenas para digitar se a visualização horizontal for adequada para ver o que digitamos duas vezes antes de comprar, não funcionando corretamente no MacBook Pro! Mudança para personagens de lixo frequentemente, o que é realmente frustrante! Como eu corrigi? O teclado muda para caracteres de símbolo/lixo quando a tecla de opção é pressionada. Então, eu tive que desativar a tecla de opção no teclado e viver com ela! Além desse problema acima, é um teclado de boa aparência. As chaves são lisas de manusear. Devido ao seu contêiner para tablet/telefones, o produto não é tão compacto quanto você espera.</v>
      </c>
    </row>
    <row r="825">
      <c r="A825" s="9" t="s">
        <v>161</v>
      </c>
      <c r="B825" s="29" t="str">
        <f>VLOOKUP(dados!A825, reviews!A:G, 5, FALSE)</f>
        <v>Great Cable, Charging Speeds Could Be Better,Good,A good cable.,One of the best type c cable,Works as intended.,A good buy. The extra length helps a lot.,Good,Ok</v>
      </c>
      <c r="C825" s="29" t="str">
        <f>VLOOKUP(dados!A825, reviews!A:G, 6, FALSE)</f>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v>
      </c>
      <c r="D825" s="29" t="str">
        <f>IFERROR(__xludf.DUMMYFUNCTION("GOOGLETRANSLATE(B825, ""en"", ""pt-br"")"),"Ótimo cabo, as velocidades de carregamento podem ser melhores, boas, um bom cabo., Um dos melhores cabos do tipo C, funciona como pretendido., Uma boa compra. O comprimento extra ajuda muito., Bom, ok")</f>
        <v>Ótimo cabo, as velocidades de carregamento podem ser melhores, boas, um bom cabo., Um dos melhores cabos do tipo C, funciona como pretendido., Uma boa compra. O comprimento extra ajuda muito., Bom, ok</v>
      </c>
      <c r="E825" s="29" t="str">
        <f>IFERROR(__xludf.DUMMYFUNCTION("GOOGLETRANSLATE(C825, ""en"", ""pt-br"")"),"Não carregando tão rápido quanto eu esperava. Talvez algo errado com minha unidade. No entanto, o cabo em geral é realmente bastante decente. O material é ótimo, não se dobra de forma com muita facilidade e parece (e parece) o prêmio. O comprimento é defi"&amp;"nitivamente uma vantagem!, Bom, um cabo resistente para carregamento móvel., Faz 1 mês que estou usando este cabo de carregamento, funciona muito bem com o S20 FE 5G. Polegar para cima., O cabo trançado é resistente e bem construído. O cabo longo adiciona"&amp;" alcance extra e está livre de emaranhado., Uma boa compra. O comprimento extra ajuda muito., Bom produto, ok")</f>
        <v>Não carregando tão rápido quanto eu esperava. Talvez algo errado com minha unidade. No entanto, o cabo em geral é realmente bastante decente. O material é ótimo, não se dobra de forma com muita facilidade e parece (e parece) o prêmio. O comprimento é definitivamente uma vantagem!, Bom, um cabo resistente para carregamento móvel., Faz 1 mês que estou usando este cabo de carregamento, funciona muito bem com o S20 FE 5G. Polegar para cima., O cabo trançado é resistente e bem construído. O cabo longo adiciona alcance extra e está livre de emaranhado., Uma boa compra. O comprimento extra ajuda muito., Bom produto, ok</v>
      </c>
    </row>
    <row r="826">
      <c r="A826" s="9" t="s">
        <v>3282</v>
      </c>
      <c r="B826" s="29" t="str">
        <f>VLOOKUP(dados!A826, reviews!A:G, 5, FALSE)</f>
        <v>12V2A RouterUPS,Decent Product,Product quality,Effective and functional,Works with jio 12v 2.5A,Good product but not supported for my Wifi,Amazing product very helpful at times off power cut.,Good one to buy</v>
      </c>
      <c r="C826" s="29" t="str">
        <f>VLOOKUP(dados!A826, reviews!A:G, 6, FALSE)</f>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v>
      </c>
      <c r="D826" s="29" t="str">
        <f>IFERROR(__xludf.DUMMYFUNCTION("GOOGLETRANSLATE(B826, ""en"", ""pt-br"")"),"Routerups 12V2A, produto decente, qualidade do produto, eficaz e funcional, trabalha com Jio 12V 2.5A, bom produto, mas não suportado para o meu wifi, produto incrível muito útil às vezes de fora do poder., Bom para comprar")</f>
        <v>Routerups 12V2A, produto decente, qualidade do produto, eficaz e funcional, trabalha com Jio 12V 2.5A, bom produto, mas não suportado para o meu wifi, produto incrível muito útil às vezes de fora do poder., Bom para comprar</v>
      </c>
      <c r="E826" s="29" t="str">
        <f>IFERROR(__xludf.DUMMYFUNCTION("GOOGLETRANSLATE(C826, ""en"", ""pt-br"")"),"O produto 12V não funcionará com a maioria dos tipos de modems. É sempre melhor comprar seu produto 12V3A. Eu usei o produto 12V2A há 9 meses e ele parou de funcionar depois disso. Quando entrei em contato com o atendimento ao cliente, eles me disseram qu"&amp;"e eu deveria ter comprado o produto 3A. De qualquer forma, eles forneceram a garantia. Também forneceu uma opção para atualizar o produto para 3A a uma taxa com desconto em vez de substituir a atual., O produto é bom. Exigirá um cabo adicional de divisor "&amp;"Y., O produto é muito bom, usando desde 2 de dezembro de 2022, sem problemas., Valor para o dinheiro. Eficaz para cortar e cortar, durante uma interrupção. O roteador normal pode ser suportado em até 2-3 horas sobre isso, mesmo após 2 anos de uso. Se não "&amp;"houver muita queda de energia, recomendo pelo menos desligar a fonte de alimentação algumas vezes por mês e ter o suporte à bateria por algumas horas, comprado UPS 12v3a, funcione bem com o Jio Fiber (12v2.5a) e forneça Bom backup, mas pouco caro, em comp"&amp;"aração com o UPS 12V2a (que não é compatível com minha fibra Jio., Encomendei 12V, 2A modelo para o meu wifi digisol. Cuidado e disseram que seu Wi -Fi Digisol não é suportado 12V 2A e sugeriram comprar um 12V 3A UPs. Antes da compra, ligue para ressoar a"&amp;"tendimento ao cliente, produto incrível muito útil às vezes de fora do corte de energia., É melhor evitar problemas de corte de energia , backup de energia bastante decente para wifi em casa")</f>
        <v>O produto 12V não funcionará com a maioria dos tipos de modems. É sempre melhor comprar seu produto 12V3A. Eu usei o produto 12V2A há 9 meses e ele parou de funcionar depois disso. Quando entrei em contato com o atendimento ao cliente, eles me disseram que eu deveria ter comprado o produto 3A. De qualquer forma, eles forneceram a garantia. Também forneceu uma opção para atualizar o produto para 3A a uma taxa com desconto em vez de substituir a atual., O produto é bom. Exigirá um cabo adicional de divisor Y., O produto é muito bom, usando desde 2 de dezembro de 2022, sem problemas., Valor para o dinheiro. Eficaz para cortar e cortar, durante uma interrupção. O roteador normal pode ser suportado em até 2-3 horas sobre isso, mesmo após 2 anos de uso. Se não houver muita queda de energia, recomendo pelo menos desligar a fonte de alimentação algumas vezes por mês e ter o suporte à bateria por algumas horas, comprado UPS 12v3a, funcione bem com o Jio Fiber (12v2.5a) e forneça Bom backup, mas pouco caro, em comparação com o UPS 12V2a (que não é compatível com minha fibra Jio., Encomendei 12V, 2A modelo para o meu wifi digisol. Cuidado e disseram que seu Wi -Fi Digisol não é suportado 12V 2A e sugeriram comprar um 12V 3A UPs. Antes da compra, ligue para ressoar atendimento ao cliente, produto incrível muito útil às vezes de fora do corte de energia., É melhor evitar problemas de corte de energia , backup de energia bastante decente para wifi em casa</v>
      </c>
    </row>
    <row r="827">
      <c r="A827" s="9" t="s">
        <v>3286</v>
      </c>
      <c r="B827" s="29" t="str">
        <f>VLOOKUP(dados!A827, reviews!A:G, 5, FALSE)</f>
        <v>Adhesion,Good product,Does not stick,Nice sticky note,good,Not up to the mark,Worth to sticky,GREAT....</v>
      </c>
      <c r="C827" s="29" t="str">
        <f>VLOOKUP(dados!A827, reviews!A:G, 6, FALSE)</f>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v>
      </c>
      <c r="D827" s="29" t="str">
        <f>IFERROR(__xludf.DUMMYFUNCTION("GOOGLETRANSLATE(B827, ""en"", ""pt-br"")"),"A adesão, bom produto, não fica, bela nota pegajosa, boa, não à altura, vale a pena pegajosa, ótima ....")</f>
        <v>A adesão, bom produto, não fica, bela nota pegajosa, boa, não à altura, vale a pena pegajosa, ótima ....</v>
      </c>
      <c r="E827" s="29" t="str">
        <f>IFERROR(__xludf.DUMMYFUNCTION("GOOGLETRANSLATE(C827, ""en"", ""pt-br"")"),"É um bom produto, mas o papel às vezes bastão em superfícies por mais de 2 vezes., Notas pegajosas, Prós: Quantidade e Cores: A força adesiva é quase não existente. Apenas cortes de papel, possui 3M adesivo, bom, não até Mark, vale a pena ficar pegajoso ."&amp;". me ajudou muito a lembrar mapas mentais,")</f>
        <v>É um bom produto, mas o papel às vezes bastão em superfícies por mais de 2 vezes., Notas pegajosas, Prós: Quantidade e Cores: A força adesiva é quase não existente. Apenas cortes de papel, possui 3M adesivo, bom, não até Mark, vale a pena ficar pegajoso .. me ajudou muito a lembrar mapas mentais,</v>
      </c>
    </row>
    <row r="828">
      <c r="A828" s="9" t="s">
        <v>3290</v>
      </c>
      <c r="B828" s="29" t="str">
        <f>VLOOKUP(dados!A828, reviews!A:G, 5, FALSE)</f>
        <v>Value for money,Good,Everything is good but prize is higher side,It's good product, easy to use, but not for kids,Very good,Good product at this price,Very good product in very cheap price,good product,  i am satisfied</v>
      </c>
      <c r="C828" s="29" t="str">
        <f>VLOOKUP(dados!A828, reviews!A:G, 6, FALSE)</f>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v>
      </c>
      <c r="D828" s="29" t="str">
        <f>IFERROR(__xludf.DUMMYFUNCTION("GOOGLETRANSLATE(B828, ""en"", ""pt-br"")"),"Valor pelo dinheiro, bom, tudo é bom, mas o prêmio é mais alto, é um bom produto, fácil de usar, mas não para crianças, muito bom, bom produto a esse preço, produto muito bom em preço muito barato, bom produto, estou satisfeito")</f>
        <v>Valor pelo dinheiro, bom, tudo é bom, mas o prêmio é mais alto, é um bom produto, fácil de usar, mas não para crianças, muito bom, bom produto a esse preço, produto muito bom em preço muito barato, bom produto, estou satisfeito</v>
      </c>
      <c r="E828" s="29" t="str">
        <f>IFERROR(__xludf.DUMMYFUNCTION("GOOGLETRANSLATE(C828, ""en"", ""pt-br"")"),"Seu valor pelo dinheiro, é bom para os estudantes e para escritores causais, melhor qualidade de construção, estável e resistente., Bom, o prêmio é mais alto!, É um produto muito bom para WFH e estudo, mas as bordas são muito nítidas . Não foi possível le"&amp;"r por um longo tempo. As mãos são arranhadas. Portanto, não é um bom produto para crianças., Muito bom, a estabilidade da estabilidade é bastante impressionante., Fácil de lidar, bom produto, estou satisfeito")</f>
        <v>Seu valor pelo dinheiro, é bom para os estudantes e para escritores causais, melhor qualidade de construção, estável e resistente., Bom, o prêmio é mais alto!, É um produto muito bom para WFH e estudo, mas as bordas são muito nítidas . Não foi possível ler por um longo tempo. As mãos são arranhadas. Portanto, não é um bom produto para crianças., Muito bom, a estabilidade da estabilidade é bastante impressionante., Fácil de lidar, bom produto, estou satisfeito</v>
      </c>
    </row>
    <row r="829">
      <c r="A829" s="9" t="s">
        <v>3294</v>
      </c>
      <c r="B829" s="29" t="str">
        <f>VLOOKUP(dados!A829, reviews!A:G, 5, FALSE)</f>
        <v>Value for money Product,Watch start button,VALUE FOR MONEY,Budget smartwatch,Watch is good,Good watch.Lekin jab recive Kia,watch on tha.Alarm pm me set nhi hota hai,Only am me hota he,Good watch,Amazing watch amazing colour! Just bought yesterday, will share feedback again after the usage.</v>
      </c>
      <c r="C829" s="29" t="str">
        <f>VLOOKUP(dados!A829, reviews!A:G, 6, FALSE)</f>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 pm me Alarm lagana bohut zaroori hota he. But nhi lagte he. Sirf am me lga skte hai. very disappointed😖 baki battery backup is good 👍 looks achcha hai👌comfortable hai,It’s a good watch but not switching on right now due to some issue,Amazing watch amazing colour! Just bought yesterday, will share feedback again after the usage.</v>
      </c>
      <c r="D829" s="29" t="str">
        <f>IFERROR(__xludf.DUMMYFUNCTION("GOOGLETRANSLATE(B829, ""en"", ""pt-br"")"),"Produto de valor para dinheiro, assista botão Iniciar, valor para dinheiro, smartwatch orçamentário, relógio é bom, bom relógio.lekin jab Receber kia, assista no tha.ararm pm me definido nhi hota hai, só sou eu hota ele, bom relógio, incrível Assista a co"&amp;"res incríveis! Acabei de comprar ontem, compartilharei feedback novamente após o uso.")</f>
        <v>Produto de valor para dinheiro, assista botão Iniciar, valor para dinheiro, smartwatch orçamentário, relógio é bom, bom relógio.lekin jab Receber kia, assista no tha.ararm pm me definido nhi hota hai, só sou eu hota ele, bom relógio, incrível Assista a cores incríveis! Acabei de comprar ontem, compartilharei feedback novamente após o uso.</v>
      </c>
      <c r="E829" s="29" t="str">
        <f>IFERROR(__xludf.DUMMYFUNCTION("GOOGLETRANSLATE(C829, ""en"", ""pt-br"")"),"Estou usando o relógio há um tempo e tenho que dizer que amo isso. A bateria dura cerca de 4-5 dias e não 10 dias, você obtém uma duração de bateria de 10 dias se desativar todos os recursos do relógio. No geral, eu gosto da qualidade da chamada e do Touc"&amp;"h Display., Recebi este produto hoje e o relógio é ótimo em orçamento e desempenho, há apenas um grande problema de que o botão não é bom, mas as outras coisas são como a exibição do microfone de alto -falante etc. são boas., O relógio é bom, mas o produt"&amp;"o que eu recebi estava com defeito depois de conversar com a empresa de fogueiras que eles me dão novo relógio de relógio é valor para o dinheiro. Uma captura, em todo o bom, mas o volume aumenta e diminui que não funciona enquanto toca a música., Gos ess"&amp;"e feedback depois de usar 3 meses. Bom relógio. Lekin Jab Receber Kia, assista aos tha☹️ PM me alarme Lagana bohut zaroori hota ele. Mas NHI Lagte ele. Sirf sou eu lga skte hai. Muito decepcionado 😖 O backup da bateria Baki é bom 👍 Parece achcha hai👌 c"&amp;"onfortável Hai, é um bom relógio, mas não está ligando agora devido a algum problema, o relógio incrível, assista a uma cor incrível! Acabei de comprar ontem, compartilharei feedback novamente após o uso.")</f>
        <v>Estou usando o relógio há um tempo e tenho que dizer que amo isso. A bateria dura cerca de 4-5 dias e não 10 dias, você obtém uma duração de bateria de 10 dias se desativar todos os recursos do relógio. No geral, eu gosto da qualidade da chamada e do Touch Display., Recebi este produto hoje e o relógio é ótimo em orçamento e desempenho, há apenas um grande problema de que o botão não é bom, mas as outras coisas são como a exibição do microfone de alto -falante etc. são boas., O relógio é bom, mas o produto que eu recebi estava com defeito depois de conversar com a empresa de fogueiras que eles me dão novo relógio de relógio é valor para o dinheiro. Uma captura, em todo o bom, mas o volume aumenta e diminui que não funciona enquanto toca a música., Gos esse feedback depois de usar 3 meses. Bom relógio. Lekin Jab Receber Kia, assista aos tha☹️ PM me alarme Lagana bohut zaroori hota ele. Mas NHI Lagte ele. Sirf sou eu lga skte hai. Muito decepcionado 😖 O backup da bateria Baki é bom 👍 Parece achcha hai👌 confortável Hai, é um bom relógio, mas não está ligando agora devido a algum problema, o relógio incrível, assista a uma cor incrível! Acabei de comprar ontem, compartilharei feedback novamente após o uso.</v>
      </c>
    </row>
    <row r="830">
      <c r="A830" s="9" t="s">
        <v>3298</v>
      </c>
      <c r="B830" s="29" t="str">
        <f>VLOOKUP(dados!A830, reviews!A:G, 5, FALSE)</f>
        <v>Missing Cable, User Manual and Weak Network,Good,Nice,Home use product only,Good,Not usable for office work,Easy to use.,Bad experience</v>
      </c>
      <c r="C830" s="29" t="str">
        <f>VLOOKUP(dados!A830, reviews!A:G, 6, FALSE)</f>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v>
      </c>
      <c r="D830" s="29" t="str">
        <f>IFERROR(__xludf.DUMMYFUNCTION("GOOGLETRANSLATE(B830, ""en"", ""pt-br"")"),"Falta a cabo, manual do usuário e rede fraca, boa, agradável, apenas para uso doméstico, bom, não utilizável para trabalho de escritório, fácil de usar., Más experiências")</f>
        <v>Falta a cabo, manual do usuário e rede fraca, boa, agradável, apenas para uso doméstico, bom, não utilizável para trabalho de escritório, fácil de usar., Más experiências</v>
      </c>
      <c r="E830" s="29" t="str">
        <f>IFERROR(__xludf.DUMMYFUNCTION("GOOGLETRANSLATE(C830, ""en"", ""pt-br"")"),"Recebi este produto com um pacote rasgado, falta de cabo e manual do usuário. Parece um produto incompleto. E o mesmo Airtel Sim me dá uma rede forte, mas aqui eu sou mais lentamente que minha rede móvel. Tudo bem, pode ser o problema da rede, mas o cabo "&amp;"não deve estar faltando. Parece que alguém foi levado ao enviar porque eu quebrei o pacote quebrado. No entanto, recebi o wifi com bateria. E eu uso meu próprio cabo para carregá -lo., Em geral, satisfeito, bom trabalho, enfrentei muito problema de torre,"&amp;" é melhor que o ponto de acesso móvel, mas o backup de bateria não é bom., Mesmo com um 4G SIM, a velocidade da rede é realmente baixa e a conexão é irregular. Tudo bem se você o estiver usando para surf pessoal, mas não é um bom ajuste para o trabalho de"&amp;" escritório., Satisfeito com o produto., Quando eu conecto apenas 1 dispositivo, então OK. Mas quando vários dispositivos se conectam, ele está atingindo anormalmente em 1 minuto. Em seguida, o backup reduz o máximo de 3-4 horas.")</f>
        <v>Recebi este produto com um pacote rasgado, falta de cabo e manual do usuário. Parece um produto incompleto. E o mesmo Airtel Sim me dá uma rede forte, mas aqui eu sou mais lentamente que minha rede móvel. Tudo bem, pode ser o problema da rede, mas o cabo não deve estar faltando. Parece que alguém foi levado ao enviar porque eu quebrei o pacote quebrado. No entanto, recebi o wifi com bateria. E eu uso meu próprio cabo para carregá -lo., Em geral, satisfeito, bom trabalho, enfrentei muito problema de torre, é melhor que o ponto de acesso móvel, mas o backup de bateria não é bom., Mesmo com um 4G SIM, a velocidade da rede é realmente baixa e a conexão é irregular. Tudo bem se você o estiver usando para surf pessoal, mas não é um bom ajuste para o trabalho de escritório., Satisfeito com o produto., Quando eu conecto apenas 1 dispositivo, então OK. Mas quando vários dispositivos se conectam, ele está atingindo anormalmente em 1 minuto. Em seguida, o backup reduz o máximo de 3-4 horas.</v>
      </c>
    </row>
    <row r="831">
      <c r="A831" s="9" t="s">
        <v>3304</v>
      </c>
      <c r="B831" s="29" t="str">
        <f>VLOOKUP(dados!A831, reviews!A:G, 5, FALSE)</f>
        <v>Good product, Cheap and works well,good one,Nice charging power.,Nice,Good,It's a cable,Durable,Laptop cord</v>
      </c>
      <c r="C831" s="29" t="str">
        <f>VLOOKUP(dados!A831, reviews!A:G, 6, FALSE)</f>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v>
      </c>
      <c r="D831" s="29" t="str">
        <f>IFERROR(__xludf.DUMMYFUNCTION("GOOGLETRANSLATE(B831, ""en"", ""pt-br"")"),"Bom produto, barato e funciona bem, bom, bom poder de carregamento., Bom, bom, é um cabo, o cabo de laptop durável, durável")</f>
        <v>Bom produto, barato e funciona bem, bom, bom poder de carregamento., Bom, bom, é um cabo, o cabo de laptop durável, durável</v>
      </c>
      <c r="E831" s="29" t="str">
        <f>IFERROR(__xludf.DUMMYFUNCTION("GOOGLETRANSLATE(C831, ""en"", ""pt-br"")"),"O cabo parece exatamente como é mostrado na imagem. Não posso dizer sobre a durabilidade deste produto porque comprei isso em 15 de dezembro de 2022 após 3 a 4 meses, atualizarei minha resenha sobre a durabilidade e o cabo funciona bem, bom, usado por mui"&amp;"to tempo não teve queixas.,, Bom, obrigado, funciona bem, perfeito para a cobrança de laptop, é bom tê -lo por 200 Rs. Entregue em 3 dias")</f>
        <v>O cabo parece exatamente como é mostrado na imagem. Não posso dizer sobre a durabilidade deste produto porque comprei isso em 15 de dezembro de 2022 após 3 a 4 meses, atualizarei minha resenha sobre a durabilidade e o cabo funciona bem, bom, usado por muito tempo não teve queixas.,, Bom, obrigado, funciona bem, perfeito para a cobrança de laptop, é bom tê -lo por 200 Rs. Entregue em 3 dias</v>
      </c>
    </row>
    <row r="832">
      <c r="A832" s="9" t="s">
        <v>3310</v>
      </c>
      <c r="B832" s="29" t="str">
        <f>VLOOKUP(dados!A832, reviews!A:G, 5, FALSE)</f>
        <v>Great keyboard, average mouse.,Good for daily use,Mouse is too small in size to use and getting pain,Must buy this for normal use,Noisy and not Ergonomic,Great Product,Well suited for ordinary and official usage.,Nice Product</v>
      </c>
      <c r="C832" s="29" t="str">
        <f>VLOOKUP(dados!A832, reviews!A:G, 6, FALSE)</f>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v>
      </c>
      <c r="D832" s="29" t="str">
        <f>IFERROR(__xludf.DUMMYFUNCTION("GOOGLETRANSLATE(B832, ""en"", ""pt-br"")"),"Ótimo teclado, rato médio., Bom para uso diário, o mouse é muito pequeno em tamanho para usar e obter dor, deve comprar isso para uso normal, barulhento e não ergonômico, ótimo produto, bem adequado para uso comum e oficial., Produto agradável")</f>
        <v>Ótimo teclado, rato médio., Bom para uso diário, o mouse é muito pequeno em tamanho para usar e obter dor, deve comprar isso para uso normal, barulhento e não ergonômico, ótimo produto, bem adequado para uso comum e oficial., Produto agradável</v>
      </c>
      <c r="E832" s="29" t="str">
        <f>IFERROR(__xludf.DUMMYFUNCTION("GOOGLETRANSLATE(C832, ""en"", ""pt-br"")"),"EDIT: Isso não muda minha revisão (na verdade, provavelmente o torna mais pesado para a classificação de 4 estrelas do que 3 estrelas), mas eu realmente me sentei no teclado enquanto estava na minha cadeira (sou uma unidade absoluta de um Cara pesando 120"&amp;" kg) e o teclado não foi afetado. Estou genuinamente surpreso. Primeiro de tudo, eu daria a isso um 3,5/5 em vez do 4, mas eu o reuni em vez de baixo porque há mais do que não gostar. O produto foi entregue imediatamente, mas a embalagem estava em forma á"&amp;"spera . Quando eu o desempacotei, o teclado tinha três teclas ausentes (o IIRC foi deixado alt, z e as teclas do Windows). Virei a caixa e larguei tudo e pronto! As chaves que faltavam caíram. Não comecem com um ótimo começo, mas eu bati nessas chaves (o "&amp;"que foi muito direto, o significado de que a substituição de capacas de chave no futuro será relativamente fácil) e conectado ao receptor ao meu laptop. Não é necessária uma configuração ou software de terceiros, ele começou a funcionar instantaneamente. "&amp;"Bastante costura. Eu só uso o teclado quando conecto meu laptop à minha TV e estou sentado à distância, uso o teclado do meu laptop de outra forma. Eu absolutamente amo o teclado. Eu esperava que se sentisse instável e barato, mas na verdade parece decent"&amp;"e. Não é super premium, mas é muito melhor do que eu esperava o preço. Possui chinelos na parte traseira para aumentá -lo e um interruptor liga/desliga, se você deseja economizar bateria. As chaves em si são de tamanho completo e, como alguém com mãos mai"&amp;"ores, eu realmente aprecio isso. A curva ao redor da barra de espaço parece legal, mas acho que não acrescenta nada ergonomicamente. A experiência de digitação é boa, as chaves têm feedback suficiente para elas (não os níveis mecânicos obviamente, mas ain"&amp;"da são satisfatórios o suficiente). A tecla Caps Lock tem um pouco de um pouco elevada para que você possa senti -la sem olhar para ela e não acidentalmente acertá -la durante a digitação, uma pequena adição. As teclas de atalho/mídia no topo funcionam be"&amp;"m com o Windows 11. Não há muito mais a dizer sobre o teclado. Deve ser mais do que suficiente para tarefas diárias de escritório/navegação/escola e será bom e confortável para pessoas que digitam muito. Não compre isso esperando um teclado em nível de jo"&amp;"go com antighosting, etc. ou compre ele esperando ter a durabilidade de um verdadeiro teclado mecânico. Inicialmente, eu iria marcar isso por não ter nenhuma luz de fundo, exceto o orçamento, isso é compreensível e aceitável. No geral, eu gosto muito do t"&amp;"eclado e acho que está acima do que você paga. O mouse, por outro lado (sem trocadilhos), é medíocre na melhor das hipóteses. A qualidade da construção não é boa; Não é bom quando você usa nenhum dos botões de clique, pode sentir os mecanismos internos ge"&amp;"mendo, como se fosse desmoronar a qualquer momento. O mouse também começa a ficar atrasado aleatoriamente. O atraso dura apenas alguns segundos, mas ocorre o suficiente para ser um aborrecimento. Além disso, simplesmente não parece bem na sua palma. Eu te"&amp;"nho um mouse básico do Amazon que comprei enquanto estava nos EUA por US $ 7 (~ 520rs) e essa coisa parece muito mais robusta e melhor construída do que isso. Ele também não tem problemas de atraso e os cliques parecem suaves, mesmo após alguns anos de us"&amp;"o. Como um pacote geral, eu diria que é decente para o preço. Existem muitos outros conjuntos nessa faixa de preço e eu escolhi isso literalmente por causa da marca Logitech, pois possuo alguns outros produtos da Logitech e os aprecio muito. O teclado est"&amp;"á fazendo todo o trabalho pesado aqui e carregando seu amigo do rato. Espero que eles melhorem o mouse daqui para frente, porque essa seria a melhor combinação desse intervalo. Como está agora, é bastante indistinguível de seus concorrentes. Recompensado "&amp;"para - pessoas que procuram um conjunto sem fio acessível para o trabalho diário de computadores e pessoas que digitam muito. Não recomendado para o jogo ou qualquer forma de usuários de energia. Pode funcionar para jogos de um jogador, como construtores "&amp;"de cidades, grande estratégia, RTSses, etc., mas eu não o recomendaria para qualquer forma de atiradores, especialmente online. O mouse simplesmente não está pronto para a tarefa., O teclado é bom e funcionando bem. Para mim, o mouse é muito pequeno e não"&amp;" é capaz de usar corretamente e sentir dor depois de usar por muito menos tempo. Será bom se o mouse estiver em tamanho normal. Além disso, o mouse está atrasado um pouco, mesmo depois de alterar as configurações., Uso este produto, pois um ano não é enco"&amp;"ntrado nenhum problema. Mesmo que a célula da bateria não mude, não sei realmente se vale o custo ou não. Mas, eu prefiro principalmente a digitação silenciosa e os cliques do mouse. Ergonomic também é obrigatório, pois eu os uso por longas horas. Atualme"&amp;"nte, uso o mouse Logitech M590, o que é realmente incrível e quase não faz barulho., Ótimo produto, uso este produto há 2 anos. Sua bateria é ótima, ainda em execução. As chaves podem ficar difíceis com o tempo, portanto, eu tive que usar o WD-40 para lub"&amp;"rificá-las. Após 2 anos, algumas chaves aleatórias pararam de funcionar, como Del, Semicolon, Numpad-3. O clique direito do mouse não está mais funcionando. O clique esquerdo tem um problema de clique duplo irritante. Portanto, não é adequado para jogos d"&amp;"e FPS. A velocidade e a conexão são adequadas, nenhum atraso notar. O teclado coleta muito poeira tão melhor para cobri -lo. A ergonomia não tem problema com isso. Se você está procurando um teclado de tamanho mais longo por aprox. 2 anos de funcionamento"&amp;" adequado para uso diário ou oficial, então é uma boa compra. O mouse é pequeno e confortável, mesmo para as pessoas canhotas. Lembre -se de que as chaves ficarão rígidas com o tempo., Comprei para meu uso pessoal, que inclui principalmente o trabalho, po"&amp;"ssui uma boa conectividade para teclado e mouse. Não enfrentei nenhum problema com isso. Eu não testei seu desempenho.")</f>
        <v>EDIT: Isso não muda minha revisão (na verdade, provavelmente o torna mais pesado para a classificação de 4 estrelas do que 3 estrelas), mas eu realmente me sentei no teclado enquanto estava na minha cadeira (sou uma unidade absoluta de um Cara pesando 120 kg) e o teclado não foi afetado. Estou genuinamente surpreso. Primeiro de tudo, eu daria a isso um 3,5/5 em vez do 4, mas eu o reuni em vez de baixo porque há mais do que não gostar. O produto foi entregue imediatamente, mas a embalagem estava em forma áspera . Quando eu o desempacotei, o teclado tinha três teclas ausentes (o IIRC foi deixado alt, z e as teclas do Windows). Virei a caixa e larguei tudo e pronto! As chaves que faltavam caíram. Não comecem com um ótimo começo, mas eu bati nessas chaves (o que foi muito direto, o significado de que a substituição de capacas de chave no futuro será relativamente fácil) e conectado ao receptor ao meu laptop. Não é necessária uma configuração ou software de terceiros, ele começou a funcionar instantaneamente. Bastante costura. Eu só uso o teclado quando conecto meu laptop à minha TV e estou sentado à distância, uso o teclado do meu laptop de outra forma. Eu absolutamente amo o teclado. Eu esperava que se sentisse instável e barato, mas na verdade parece decente. Não é super premium, mas é muito melhor do que eu esperava o preço. Possui chinelos na parte traseira para aumentá -lo e um interruptor liga/desliga, se você deseja economizar bateria. As chaves em si são de tamanho completo e, como alguém com mãos maiores, eu realmente aprecio isso. A curva ao redor da barra de espaço parece legal, mas acho que não acrescenta nada ergonomicamente. A experiência de digitação é boa, as chaves têm feedback suficiente para elas (não os níveis mecânicos obviamente, mas ainda são satisfatórios o suficiente). A tecla Caps Lock tem um pouco de um pouco elevada para que você possa senti -la sem olhar para ela e não acidentalmente acertá -la durante a digitação, uma pequena adição. As teclas de atalho/mídia no topo funcionam bem com o Windows 11. Não há muito mais a dizer sobre o teclado. Deve ser mais do que suficiente para tarefas diárias de escritório/navegação/escola e será bom e confortável para pessoas que digitam muito. Não compre isso esperando um teclado em nível de jogo com antighosting, etc. ou compre ele esperando ter a durabilidade de um verdadeiro teclado mecânico. Inicialmente, eu iria marcar isso por não ter nenhuma luz de fundo, exceto o orçamento, isso é compreensível e aceitável. No geral, eu gosto muito do teclado e acho que está acima do que você paga. O mouse, por outro lado (sem trocadilhos), é medíocre na melhor das hipóteses. A qualidade da construção não é boa; Não é bom quando você usa nenhum dos botões de clique, pode sentir os mecanismos internos gemendo, como se fosse desmoronar a qualquer momento. O mouse também começa a ficar atrasado aleatoriamente. O atraso dura apenas alguns segundos, mas ocorre o suficiente para ser um aborrecimento. Além disso, simplesmente não parece bem na sua palma. Eu tenho um mouse básico do Amazon que comprei enquanto estava nos EUA por US $ 7 (~ 520rs) e essa coisa parece muito mais robusta e melhor construída do que isso. Ele também não tem problemas de atraso e os cliques parecem suaves, mesmo após alguns anos de uso. Como um pacote geral, eu diria que é decente para o preço. Existem muitos outros conjuntos nessa faixa de preço e eu escolhi isso literalmente por causa da marca Logitech, pois possuo alguns outros produtos da Logitech e os aprecio muito. O teclado está fazendo todo o trabalho pesado aqui e carregando seu amigo do rato. Espero que eles melhorem o mouse daqui para frente, porque essa seria a melhor combinação desse intervalo. Como está agora, é bastante indistinguível de seus concorrentes. Recompensado para - pessoas que procuram um conjunto sem fio acessível para o trabalho diário de computadores e pessoas que digitam muito. Não recomendado para o jogo ou qualquer forma de usuários de energia. Pode funcionar para jogos de um jogador, como construtores de cidades, grande estratégia, RTSses, etc., mas eu não o recomendaria para qualquer forma de atiradores, especialmente online. O mouse simplesmente não está pronto para a tarefa., O teclado é bom e funcionando bem. Para mim, o mouse é muito pequeno e não é capaz de usar corretamente e sentir dor depois de usar por muito menos tempo. Será bom se o mouse estiver em tamanho normal. Além disso, o mouse está atrasado um pouco, mesmo depois de alterar as configurações., Uso este produto, pois um ano não é encontrado nenhum problema. Mesmo que a célula da bateria não mude, não sei realmente se vale o custo ou não. Mas, eu prefiro principalmente a digitação silenciosa e os cliques do mouse. Ergonomic também é obrigatório, pois eu os uso por longas horas. Atualmente, uso o mouse Logitech M590, o que é realmente incrível e quase não faz barulho., Ótimo produto, uso este produto há 2 anos. Sua bateria é ótima, ainda em execução. As chaves podem ficar difíceis com o tempo, portanto, eu tive que usar o WD-40 para lubrificá-las. Após 2 anos, algumas chaves aleatórias pararam de funcionar, como Del, Semicolon, Numpad-3. O clique direito do mouse não está mais funcionando. O clique esquerdo tem um problema de clique duplo irritante. Portanto, não é adequado para jogos de FPS. A velocidade e a conexão são adequadas, nenhum atraso notar. O teclado coleta muito poeira tão melhor para cobri -lo. A ergonomia não tem problema com isso. Se você está procurando um teclado de tamanho mais longo por aprox. 2 anos de funcionamento adequado para uso diário ou oficial, então é uma boa compra. O mouse é pequeno e confortável, mesmo para as pessoas canhotas. Lembre -se de que as chaves ficarão rígidas com o tempo., Comprei para meu uso pessoal, que inclui principalmente o trabalho, possui uma boa conectividade para teclado e mouse. Não enfrentei nenhum problema com isso. Eu não testei seu desempenho.</v>
      </c>
    </row>
    <row r="833">
      <c r="A833" s="9" t="s">
        <v>3314</v>
      </c>
      <c r="B833" s="29" t="str">
        <f>VLOOKUP(dados!A833, reviews!A:G, 5, FALSE)</f>
        <v>Good for office and watching movie,Product review,It's worthy to buy,It's fine,nice item,Overall Good,Best for Beginners,Small size but still sturdy strong . Useful for bigeners.</v>
      </c>
      <c r="C833" s="29" t="str">
        <f>VLOOKUP(dados!A833, reviews!A:G, 6, FALSE)</f>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v>
      </c>
      <c r="D833" s="29" t="str">
        <f>IFERROR(__xludf.DUMMYFUNCTION("GOOGLETRANSLATE(B833, ""en"", ""pt-br"")"),"Bom para o escritório e assistir a filmes, revisão de produtos, é digno de comprar, é bom, bom item, geral, melhor para iniciantes, tamanho pequeno, mas ainda forte forte. Útil para bigeners.")</f>
        <v>Bom para o escritório e assistir a filmes, revisão de produtos, é digno de comprar, é bom, bom item, geral, melhor para iniciantes, tamanho pequeno, mas ainda forte forte. Útil para bigeners.</v>
      </c>
      <c r="E833" s="29" t="str">
        <f>IFERROR(__xludf.DUMMYFUNCTION("GOOGLETRANSLATE(C833, ""en"", ""pt-br"")"),"Uso de material muito premium e bom, é bom, mas uma coisa que eu não gosto que a montagem do telefone não é boa, ela quebrou quando eu apertei a montagem para tripé e quando você remover o telefone, verá parte do arranhão ou Algo assim na contracapa., bom"&amp;" produto, especialmente para as pessoas de uso pela primeira vez, e é digno do preço, é bom, mas depois de algumas vezes o uso, não pode ter o peso ... mas, no geral, é bom. Gostei., Boa posição. Boa qualidade e acabamento também vale o preço., No geral, "&amp;"mas pouco preço alto, esse produto é melhor para iniciantes. Tenha alguns problemas de estabilidade que você não poderia esperar nessa faixa de preço. Definitivamente você pode ir em frente ..,")</f>
        <v>Uso de material muito premium e bom, é bom, mas uma coisa que eu não gosto que a montagem do telefone não é boa, ela quebrou quando eu apertei a montagem para tripé e quando você remover o telefone, verá parte do arranhão ou Algo assim na contracapa., bom produto, especialmente para as pessoas de uso pela primeira vez, e é digno do preço, é bom, mas depois de algumas vezes o uso, não pode ter o peso ... mas, no geral, é bom. Gostei., Boa posição. Boa qualidade e acabamento também vale o preço., No geral, mas pouco preço alto, esse produto é melhor para iniciantes. Tenha alguns problemas de estabilidade que você não poderia esperar nessa faixa de preço. Definitivamente você pode ir em frente ..,</v>
      </c>
    </row>
    <row r="834">
      <c r="A834" s="9" t="s">
        <v>3318</v>
      </c>
      <c r="B834" s="29" t="str">
        <f>VLOOKUP(dados!A834, reviews!A:G, 5, FALSE)</f>
        <v>Very good performance,It's been more than a month and it's been working good till now,good quality,Good,Nice one,Excellent,Cable outer surface is oily based,Genuine and good cable👍</v>
      </c>
      <c r="C834" s="29" t="str">
        <f>VLOOKUP(dados!A834, reviews!A:G, 6, FALSE)</f>
        <v>Really it is solid and effeciant. Net signal is very fast,It's working fine,value for money,Nice product 👍,Idk but my WiFi signal from the router is unstable. I called and got it check from service providers also. But as of now product Seems to be good,Very good quality with good speed,Not good,Everything great from packaging to cable quality</v>
      </c>
      <c r="D834" s="29" t="str">
        <f>IFERROR(__xludf.DUMMYFUNCTION("GOOGLETRANSLATE(B834, ""en"", ""pt-br"")"),"Muito bom desempenho, já faz mais de um mês e está funcionando bem até agora, boa qualidade, boa, agradável, excelente, a superfície externa de cabo é baseada em oleosamente, genuíno e bom cabo👍")</f>
        <v>Muito bom desempenho, já faz mais de um mês e está funcionando bem até agora, boa qualidade, boa, agradável, excelente, a superfície externa de cabo é baseada em oleosamente, genuíno e bom cabo👍</v>
      </c>
      <c r="E834" s="29" t="str">
        <f>IFERROR(__xludf.DUMMYFUNCTION("GOOGLETRANSLATE(C834, ""en"", ""pt-br"")"),"Realmente é sólido e eficaz. O sinal líquido é muito rápido, está funcionando bem, valor para dinheiro, bom produto 👍, IDK, mas meu sinal wifi do roteador é instável. Liguei e peguei a verificação dos provedores de serviços também. Mas a partir de agora "&amp;"o produto parece ser bom, muito boa qualidade com boa velocidade, não é bom, tudo ótimo, da embalagem à qualidade do cabo")</f>
        <v>Realmente é sólido e eficaz. O sinal líquido é muito rápido, está funcionando bem, valor para dinheiro, bom produto 👍, IDK, mas meu sinal wifi do roteador é instável. Liguei e peguei a verificação dos provedores de serviços também. Mas a partir de agora o produto parece ser bom, muito boa qualidade com boa velocidade, não é bom, tudo ótimo, da embalagem à qualidade do cabo</v>
      </c>
    </row>
    <row r="835">
      <c r="A835" s="9" t="s">
        <v>165</v>
      </c>
      <c r="B835" s="29" t="str">
        <f>VLOOKUP(dados!A835, reviews!A:G, 5, FALSE)</f>
        <v>Good,Genuine product,Not first charge this cabil,,Nice cable but known durability,Got a used type c to c cable and the xable was damaged,The product is Genuine and Good,Abdul kadir,Good</v>
      </c>
      <c r="C835" s="29" t="str">
        <f>VLOOKUP(dados!A835, reviews!A:G, 6, FALSE)</f>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v>
      </c>
      <c r="D835" s="29" t="str">
        <f>IFERROR(__xludf.DUMMYFUNCTION("GOOGLETRANSLATE(B835, ""en"", ""pt-br"")"),"Produto bom e genuíno, não carrega primeiro este cabil, um cabo agradável, mas conhecido durante a durabilidade, obteve um cabo usado do tipo C e o Xable foi danificado, o produto é genuíno e bom, Abdul Kadir, bom")</f>
        <v>Produto bom e genuíno, não carrega primeiro este cabil, um cabo agradável, mas conhecido durante a durabilidade, obteve um cabo usado do tipo C e o Xable foi danificado, o produto é genuíno e bom, Abdul Kadir, bom</v>
      </c>
      <c r="E835" s="29" t="str">
        <f>IFERROR(__xludf.DUMMYFUNCTION("GOOGLETRANSLATE(C835, ""en"", ""pt-br"")"),"Compre, recebido em boas condições e está funcionando corretamente, este preço não é bom e também curto, estou usando de 2 meses e carregando o telefone de bom sentido e é realmente uma relação custo / benefício. Eu recomendo este cabo. : //m.media-amazon"&amp;".com/images/w/webp_402378-t1/images/i/71cei3g+bll._sy88.jpg, o cabo é perfeito para dispositivos de carregamento 3A. Apoie o carregamento super rápido e pode ser usado em carregadores e adaptadores de veículos. Resistente e durável para uso diário, melhor"&amp;" cabo que já usei pela Amazon. Worth It. Caras apenas aceitam, boa qualidade. Mas o mais custa")</f>
        <v>Compre, recebido em boas condições e está funcionando corretamente, este preço não é bom e também curto, estou usando de 2 meses e carregando o telefone de bom sentido e é realmente uma relação custo / benefício. Eu recomendo este cabo. : //m.media-amazon.com/images/w/webp_402378-t1/images/i/71cei3g+bll._sy88.jpg, o cabo é perfeito para dispositivos de carregamento 3A. Apoie o carregamento super rápido e pode ser usado em carregadores e adaptadores de veículos. Resistente e durável para uso diário, melhor cabo que já usei pela Amazon. Worth It. Caras apenas aceitam, boa qualidade. Mas o mais custa</v>
      </c>
    </row>
    <row r="836">
      <c r="A836" s="9" t="s">
        <v>3323</v>
      </c>
      <c r="B836" s="29" t="str">
        <f>VLOOKUP(dados!A836, reviews!A:G, 5, FALSE)</f>
        <v>BEST VALUE,Good product,Good,Good,Very good product by Kingston. But size of pen drive may reduce.,Nice product with 5 years warranty in 250 rupees,Good product,Not up to the it's Specs</v>
      </c>
      <c r="C836" s="29" t="str">
        <f>VLOOKUP(dados!A836, reviews!A:G, 6, FALSE)</f>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v>
      </c>
      <c r="D836" s="29" t="str">
        <f>IFERROR(__xludf.DUMMYFUNCTION("GOOGLETRANSLATE(B836, ""en"", ""pt-br"")"),"Melhor valor, bom produto, bom, bom, muito bom produto de Kingston. Mas o tamanho da unidade de caneta pode reduzir., Produto agradável com 5 anos de garantia em 250 rúpias, bom produto, não de acordo com as especificações dela")</f>
        <v>Melhor valor, bom produto, bom, bom, muito bom produto de Kingston. Mas o tamanho da unidade de caneta pode reduzir., Produto agradável com 5 anos de garantia em 250 rúpias, bom produto, não de acordo com as especificações dela</v>
      </c>
      <c r="E836" s="29" t="str">
        <f>IFERROR(__xludf.DUMMYFUNCTION("GOOGLETRANSLATE(C836, ""en"", ""pt-br"")"),"USB 3.0 Pendrive no USB 2.0 Price. No entanto, ao conectar-se ao USB 3 em alguns dispositivos, principalmente os desktops e os all-in-ones estão sendo desconectados devido à proteção de sobrecorrente. As velocidades de leitura são ótimas. As velocidades d"&amp;"e gravação são médias de 10 a 12 MBPs. .com/imagens/w/webp_402378-t1/imagens/i/51ip02tmcwl._sy88.jpg, valor do dinheiro. Produto de marca agradável, valor ao dinheiro (a velocidade é de aproximadamente 13 MB/s), era uma compra de valor para dinheiro, mas "&amp;"não estava à altura da marca. A velocidade de transferência não está até suas especificações 3.2GEN 1 1 diria ok. Eu consegui por 249rs. Com imposto GST adicional etc. etc., seu preço total foi de 289rs. Eu o comprei da Appario Pvt Ltd.")</f>
        <v>USB 3.0 Pendrive no USB 2.0 Price. No entanto, ao conectar-se ao USB 3 em alguns dispositivos, principalmente os desktops e os all-in-ones estão sendo desconectados devido à proteção de sobrecorrente. As velocidades de leitura são ótimas. As velocidades de gravação são médias de 10 a 12 MBPs. .com/imagens/w/webp_402378-t1/imagens/i/51ip02tmcwl._sy88.jpg, valor do dinheiro. Produto de marca agradável, valor ao dinheiro (a velocidade é de aproximadamente 13 MB/s), era uma compra de valor para dinheiro, mas não estava à altura da marca. A velocidade de transferência não está até suas especificações 3.2GEN 1 1 diria ok. Eu consegui por 249rs. Com imposto GST adicional etc. etc., seu preço total foi de 289rs. Eu o comprei da Appario Pvt Ltd.</v>
      </c>
    </row>
    <row r="837">
      <c r="A837" s="9" t="s">
        <v>3327</v>
      </c>
      <c r="B837" s="29" t="str">
        <f>VLOOKUP(dados!A837, reviews!A:G, 5, FALSE)</f>
        <v>Good performance,Good backup,Good,Slightly larger than ordinary AA,Good product,Good product,Less durable,2 Year Old Product Delivered..</v>
      </c>
      <c r="C837" s="29" t="str">
        <f>VLOOKUP(dados!A837, reviews!A:G, 6, FALSE)</f>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v>
      </c>
      <c r="D837" s="29" t="str">
        <f>IFERROR(__xludf.DUMMYFUNCTION("GOOGLETRANSLATE(B837, ""en"", ""pt-br"")"),"Bom desempenho, bom backup, bom, um pouco maior que o AA comum, bom produto, bom produto, menos durável e de 2 anos de idade entregue.")</f>
        <v>Bom desempenho, bom backup, bom, um pouco maior que o AA comum, bom produto, bom produto, menos durável e de 2 anos de idade entregue.</v>
      </c>
      <c r="E837" s="29" t="str">
        <f>IFERROR(__xludf.DUMMYFUNCTION("GOOGLETRANSLATE(C837, ""en"", ""pt-br"")"),"Usando -o dos últimos 4 ou 5 meses. Cada célula executando um carregamento longo e rápido., Recém -comprado, dando um bom backup, obrigado., Comprei isso para a minha câmera de ponto e disparo, tenho usado o uso e lança a bateria Duracell, que funciona pe"&amp;"rfeitamente. Mas quando chegaram, eles não se encaixam na minha câmera. Peço a Amazon um substituto pensando que eles poderiam estar com defeito, quando a substituição chegou, a mesma coisa aconteceu. As baterias não cabem na minha câmera. Pensando que mi"&amp;"nha câmera deve ter algum problema que comprei AA comum (não recarregável) da loja próxima e eles se encaixam muito bem. Adicionei uma foto para comparar a pequena diferença de tamanho também. Portanto, lembre -se disso se você planeja comprar., Bom produ"&amp;"to, muito bom produto, mas o vendedor não me envia uma conta de produto, como reivindicar minha garantia este produto ... em todo o bom produto., Companhia afirma mais do que Sua durabilidade real, bateria Duracell de 2 anos entregue. Um novo deslizamento"&amp;" de nível é injeto com deslizamento de nível antigo.")</f>
        <v>Usando -o dos últimos 4 ou 5 meses. Cada célula executando um carregamento longo e rápido., Recém -comprado, dando um bom backup, obrigado., Comprei isso para a minha câmera de ponto e disparo, tenho usado o uso e lança a bateria Duracell, que funciona perfeitamente. Mas quando chegaram, eles não se encaixam na minha câmera. Peço a Amazon um substituto pensando que eles poderiam estar com defeito, quando a substituição chegou, a mesma coisa aconteceu. As baterias não cabem na minha câmera. Pensando que minha câmera deve ter algum problema que comprei AA comum (não recarregável) da loja próxima e eles se encaixam muito bem. Adicionei uma foto para comparar a pequena diferença de tamanho também. Portanto, lembre -se disso se você planeja comprar., Bom produto, muito bom produto, mas o vendedor não me envia uma conta de produto, como reivindicar minha garantia este produto ... em todo o bom produto., Companhia afirma mais do que Sua durabilidade real, bateria Duracell de 2 anos entregue. Um novo deslizamento de nível é injeto com deslizamento de nível antigo.</v>
      </c>
    </row>
    <row r="838">
      <c r="A838" s="9" t="s">
        <v>169</v>
      </c>
      <c r="B838" s="29" t="str">
        <f>VLOOKUP(dados!A838, reviews!A:G, 5, FALSE)</f>
        <v>The metal pin is losing it's strength,Sahi h bs 44 rupe ki and dilivery charge 40,Good Charging cable,Good sturdy micro usb cable with good charging speeds,Cheapest micro USB cable in the market,boat is better than this,I bought this for 199rs best charging cable for all mobiles,Good</v>
      </c>
      <c r="C838" s="29" t="str">
        <f>VLOOKUP(dados!A838, reviews!A:G, 6, FALSE)</f>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v>
      </c>
      <c r="D838" s="29" t="str">
        <f>IFERROR(__xludf.DUMMYFUNCTION("GOOGLETRANSLATE(B838, ""en"", ""pt-br"")"),"O pino de metal está perdendo a força, Sahi H BS 44 Rupe Ki e Dilivery Charge 40, bom cabo de carregamento, bom cabo robusto micro USB com boas velocidades de carregamento, cabo micro USB mais barato do mercado, o barco é melhor do que isso, comprei isso "&amp;"Para o melhor cabo de carregamento de 199Rs para todos os celulares, bom")</f>
        <v>O pino de metal está perdendo a força, Sahi H BS 44 Rupe Ki e Dilivery Charge 40, bom cabo de carregamento, bom cabo robusto micro USB com boas velocidades de carregamento, cabo micro USB mais barato do mercado, o barco é melhor do que isso, comprei isso Para o melhor cabo de carregamento de 199Rs para todos os celulares, bom</v>
      </c>
      <c r="E838" s="29" t="str">
        <f>IFERROR(__xludf.DUMMYFUNCTION("GOOGLETRANSLATE(C838, ""en"", ""pt-br"")"),"É um bom cabo de dados e eu recomendo a compra, o único problema foi que o pino de metal não é fixo firmemente, por isso ficou solto, caso contrário, nenhum problema deve comprar, https: //m.media-amazon.com/images/ I/615SGNWV1ML._SY88.JPG, Cabo de carreg"&amp;"amento, que é resistente, não é um cabo de carregamento rápido, mas os três pontos de venda fazem o trabalho., Bom cabo Micro USB com boas velocidades de carregamento. Por favor, não aumente os preços, bom produto, um cabo simplico microUSB, 😂, melhor pa"&amp;"ra este preço, bom")</f>
        <v>É um bom cabo de dados e eu recomendo a compra, o único problema foi que o pino de metal não é fixo firmemente, por isso ficou solto, caso contrário, nenhum problema deve comprar, https: //m.media-amazon.com/images/ I/615SGNWV1ML._SY88.JPG, Cabo de carregamento, que é resistente, não é um cabo de carregamento rápido, mas os três pontos de venda fazem o trabalho., Bom cabo Micro USB com boas velocidades de carregamento. Por favor, não aumente os preços, bom produto, um cabo simplico microUSB, 😂, melhor para este preço, bom</v>
      </c>
    </row>
    <row r="839">
      <c r="A839" s="9" t="s">
        <v>3332</v>
      </c>
      <c r="B839" s="29" t="str">
        <f>VLOOKUP(dados!A839, reviews!A:G, 5, FALSE)</f>
        <v>कुछ खास नहीं बस ठीक ठाक है,Not good for regular use,pathetic battery back up,good,Does as it should,Very pathetic battery - never buy,Worth buy,Good, but 1.2 v please check when buying</v>
      </c>
      <c r="C839" s="29" t="str">
        <f>VLOOKUP(dados!A839, reviews!A:G, 6, FALSE)</f>
        <v>बैटरी के रेट ठीक हैं डिलीवरी ज्यादा है 40 रुपएटोटल 290 ₹ देने पड़े,Charging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v>
      </c>
      <c r="D839" s="29" t="str">
        <f>IFERROR(__xludf.DUMMYFUNCTION("GOOGLETRANSLATE(B839, ""en"", ""pt-br"")"),"कुछ खास नहीं बस ठीक ठाक है, não é bom para uso regular, bateria patética de volta, bom, faz o que deveria, bateria muito patética - nunca compre, vale a pena comprar, bom, mas 1,2 V, por favor, verifique ao comprar")</f>
        <v>कुछ खास नहीं बस ठीक ठाक है, não é bom para uso regular, bateria patética de volta, bom, faz o que deveria, bateria muito patética - nunca compre, vale a pena comprar, bom, mas 1,2 V, por favor, verifique ao comprar</v>
      </c>
      <c r="E839" s="29" t="str">
        <f>IFERROR(__xludf.DUMMYFUNCTION("GOOGLETRANSLATE(C839, ""en"", ""pt-br"")"),"बैटरी के ेट ठीक हैं डिलीव डिलीवntas Luz após a bateria totalmente carrega, obtenha uma potência mais alta ..... 1000 muito menos e exigiu carregamento constante., Nem mesmo durar 1-2 meses no relógio de parede. O vazamento de bateria é outro problema não "&amp;"compra e desperdice dinheiro, em vez de Good MAH e boas marcas, tentei mudar uma vez que só tudo bem, 1,2 V, verifique ao comprar")</f>
        <v>बैटरी के ेट ठीक हैं डिलीव डिलीवntas Luz após a bateria totalmente carrega, obtenha uma potência mais alta ..... 1000 muito menos e exigiu carregamento constante., Nem mesmo durar 1-2 meses no relógio de parede. O vazamento de bateria é outro problema não compra e desperdice dinheiro, em vez de Good MAH e boas marcas, tentei mudar uma vez que só tudo bem, 1,2 V, verifique ao comprar</v>
      </c>
    </row>
    <row r="840">
      <c r="A840" s="9" t="s">
        <v>3336</v>
      </c>
      <c r="B840" s="29" t="str">
        <f>VLOOKUP(dados!A840, reviews!A:G, 5, FALSE)</f>
        <v>You want to buy an apple-like earpods w/o having to pay the apple price.,Fragile!,Nice auido quality but poor build quality,LOW BUDGET PERFECT CHOICE,It's good,decent purchase,Worth it,Good for the price.</v>
      </c>
      <c r="C840" s="29" t="str">
        <f>VLOOKUP(dados!A840, reviews!A:G, 6, FALSE)</f>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☺️,a Bit loud and the cables are very thin. But for 199 it's good .</v>
      </c>
      <c r="D840" s="29" t="str">
        <f>IFERROR(__xludf.DUMMYFUNCTION("GOOGLETRANSLATE(B840, ""en"", ""pt-br"")"),"Você deseja comprar um Earpods do tipo Apple sem ter que pagar o preço da Apple., Fragil!, Auido qualidade Auido, mas baixa qualidade de construção, escolha perfeita de baixo orçamento, é boa, compra decente, vale a pena, bom para o preço.")</f>
        <v>Você deseja comprar um Earpods do tipo Apple sem ter que pagar o preço da Apple., Fragil!, Auido qualidade Auido, mas baixa qualidade de construção, escolha perfeita de baixo orçamento, é boa, compra decente, vale a pena, bom para o preço.</v>
      </c>
      <c r="E840" s="29" t="str">
        <f>IFERROR(__xludf.DUMMYFUNCTION("GOOGLETRANSLATE(C840, ""en"", ""pt-br"")"),"Então este é para você. Na verdade, é bem feito e as opções de cores são bastante cativantes. Eu basicamente queria algumas pontas de silício e fones de ouvido com laptop e telefones celulares. Não queria pagar mais do que o necessário quando os vi por 20"&amp;"0/- os peguei porque vi algumas boas críticas e, honestamente, elas são boas pelo dinheiro. Amo o design. Os botões de volume funcionam. Bom para sessões de música casual. O microfone também é bom. Eles são muito bons para o preço. Mas a qualidade da cons"&amp;"trução é ruim. Eu o comprei porque tinha controle de volume, até os fones de ouvido de ponta não têm esses dias hoje em dia. Mas o gabinete do botão parece plástico barato e quebra facilmente. Tem motoristas enormes não me interpretam mal 14 mm para os fo"&amp;"nes de ouvido, esse preço não é brincadeira. O baixo também é muito bom. Vá em frente apenas se você tiver restrições orçamentárias., A qualidade do som é boa, mas é uma qualidade de construção. Os fios são muito delicados e propensos a se dobrar e quebra"&amp;"r, o som de qualidade de qualidade de qualidade-de-bompiografia e bem-estar e utensílios longos. confiança., melhor produto neste preço., decente pelo preço. Até agora, não há problemas, vale totalmente a pena, um pouco alto e os cabos são muito finos. Ma"&amp;"s para 199 é bom.")</f>
        <v>Então este é para você. Na verdade, é bem feito e as opções de cores são bastante cativantes. Eu basicamente queria algumas pontas de silício e fones de ouvido com laptop e telefones celulares. Não queria pagar mais do que o necessário quando os vi por 200/- os peguei porque vi algumas boas críticas e, honestamente, elas são boas pelo dinheiro. Amo o design. Os botões de volume funcionam. Bom para sessões de música casual. O microfone também é bom. Eles são muito bons para o preço. Mas a qualidade da construção é ruim. Eu o comprei porque tinha controle de volume, até os fones de ouvido de ponta não têm esses dias hoje em dia. Mas o gabinete do botão parece plástico barato e quebra facilmente. Tem motoristas enormes não me interpretam mal 14 mm para os fones de ouvido, esse preço não é brincadeira. O baixo também é muito bom. Vá em frente apenas se você tiver restrições orçamentárias., A qualidade do som é boa, mas é uma qualidade de construção. Os fios são muito delicados e propensos a se dobrar e quebrar, o som de qualidade de qualidade de qualidade-de-bompiografia e bem-estar e utensílios longos. confiança., melhor produto neste preço., decente pelo preço. Até agora, não há problemas, vale totalmente a pena, um pouco alto e os cabos são muito finos. Mas para 199 é bom.</v>
      </c>
    </row>
    <row r="841">
      <c r="A841" s="9" t="s">
        <v>177</v>
      </c>
      <c r="B841" s="29" t="str">
        <f>VLOOKUP(dados!A841, reviews!A:G, 5, FALSE)</f>
        <v>Good,Worth to buy,Great value for price,Good product,Nice product.,Reliable and worth it!,Much more sturdy and durable than Apple cable,Good</v>
      </c>
      <c r="C841" s="29" t="str">
        <f>VLOOKUP(dados!A841, reviews!A:G, 6, FALSE)</f>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v>
      </c>
      <c r="D841" s="29" t="str">
        <f>IFERROR(__xludf.DUMMYFUNCTION("GOOGLETRANSLATE(B841, ""en"", ""pt-br"")"),"Bom, vale a pena comprar, ótimo valor pelo preço, bom produto, bom produto., Confiável e vale a pena!, Muito mais resistente e durável que o cabo de maçã, bom")</f>
        <v>Bom, vale a pena comprar, ótimo valor pelo preço, bom produto, bom produto., Confiável e vale a pena!, Muito mais resistente e durável que o cabo de maçã, bom</v>
      </c>
      <c r="E841" s="29" t="str">
        <f>IFERROR(__xludf.DUMMYFUNCTION("GOOGLETRANSLATE(C841, ""en"", ""pt-br"")"),"Bom orçamento MFI certificado levemente cabo por esse preço. Atualize a revisão do uso após 3 a 5 meses., Melhor que o original em matéria de robustez e durabilidade. Melhor na perspectiva de cobrança. É muito melhor na durabilidade do fio da Apple origin"&amp;"al. Não pense mais que você pode comprar cegamente para comprar e é certificado MFI para que o dispositivo iOS não esteja danificado. Mas o pequeno ponto negativo é a qualidade da embalagem do produto., O carregador é um ótimo acessório de transporte enqu"&amp;"anto viaja sem arriscar o carregador original. O preço também é muito acessível e a velocidade de carregamento é muito boa com um bom adaptador ou banco de energia., Bom produto, um bom produto, Pode recomendar tudo, a única coisa que vejo como problema é"&amp;" o material, as roscas dos cabos retiram quando aderem a um materiais de velcro. Outro produto bom bom, carrega muito bem como original, agradável, confiável e vale a pena, o cabo enviado em caixa feita pela Apple parecia menos resistente e confiável depo"&amp;"is de usar uma ou duas vezes e sentiu que se quebraria mais rapidamente na porta de iluminação e teve Para encomendar o Amazon Basics Cable, que é melhor Miles e a Apple Mifi Certified,")</f>
        <v>Bom orçamento MFI certificado levemente cabo por esse preço. Atualize a revisão do uso após 3 a 5 meses., Melhor que o original em matéria de robustez e durabilidade. Melhor na perspectiva de cobrança. É muito melhor na durabilidade do fio da Apple original. Não pense mais que você pode comprar cegamente para comprar e é certificado MFI para que o dispositivo iOS não esteja danificado. Mas o pequeno ponto negativo é a qualidade da embalagem do produto., O carregador é um ótimo acessório de transporte enquanto viaja sem arriscar o carregador original. O preço também é muito acessível e a velocidade de carregamento é muito boa com um bom adaptador ou banco de energia., Bom produto, um bom produto, Pode recomendar tudo, a única coisa que vejo como problema é o material, as roscas dos cabos retiram quando aderem a um materiais de velcro. Outro produto bom bom, carrega muito bem como original, agradável, confiável e vale a pena, o cabo enviado em caixa feita pela Apple parecia menos resistente e confiável depois de usar uma ou duas vezes e sentiu que se quebraria mais rapidamente na porta de iluminação e teve Para encomendar o Amazon Basics Cable, que é melhor Miles e a Apple Mifi Certified,</v>
      </c>
    </row>
    <row r="842">
      <c r="A842" s="9" t="s">
        <v>181</v>
      </c>
      <c r="B842" s="29" t="str">
        <f>VLOOKUP(dados!A842, reviews!A:G, 5, FALSE)</f>
        <v>Worth it!,Good one,Robust and effective.,Good,Good,It's a good product under 199 rupees It's neatly packed and has good quality built,Nice product,Worth the price</v>
      </c>
      <c r="C842" s="29" t="str">
        <f>VLOOKUP(dados!A842, reviews!A:G, 6, FALSE)</f>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“c”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it’s is not 6 foot long so this the only point to think otherwise it is the best cable,Good,Everything is good including connectivity and stuff,Nice product..im using this for my car,This product is nice and worth the amount...I recommend it to anyone who are looking for this kind of cable</v>
      </c>
      <c r="D842" s="29" t="str">
        <f>IFERROR(__xludf.DUMMYFUNCTION("GOOGLETRANSLATE(B842, ""en"", ""pt-br"")"),"Vale a pena!, Bom, robusto e eficaz., Bom, bom, é um bom produto com menos de 199 rúpias, está bem embalado e possui boa qualidade construída, produto agradável, vale o preço")</f>
        <v>Vale a pena!, Bom, robusto e eficaz., Bom, bom, é um bom produto com menos de 199 rúpias, está bem embalado e possui boa qualidade construída, produto agradável, vale o preço</v>
      </c>
      <c r="E842" s="29" t="str">
        <f>IFERROR(__xludf.DUMMYFUNCTION("GOOGLETRANSLATE(C842, ""en"", ""pt-br"")"),"Faz o trabalho muito bem. Não há queixas sobre o poder de cobrança. A um preço de Rs. 199/-, vale cada dinheiro. Embora esse cabo seja um pouco mais curto que o original, mas o cabo OnePlus original está em torno de Rs.900/-. Portanto, há uma enorme difer"&amp;"ença de preço e faz o mesmo trabalho que o original., Útil para o carregamento do tipo ""C"". Mas não é adequado com todos os adaptadores ou pontos USB. Serve o propósito., Construído de forma resistente. Faz bem o seu trabalho. Carregou meu Samsung Galax"&amp;"y M51 mais rápido que o cabo original. Espero que permaneça o mesmo em avanço., Gostou da velocidade de carregamento não gostou do comprimento. Nos iPads, isso é incrível, mas não tem 1,80m de comprimento, então este é o único ponto a pensar que de outra "&amp;"forma é o melhor cabo, bom, tudo é bom, incluindo conectividade e outras coisas, bom produto ... no uso disso para o meu carro, este produto é bom e vale a pena ... eu recomendo para quem procura esse tipo de cabo")</f>
        <v>Faz o trabalho muito bem. Não há queixas sobre o poder de cobrança. A um preço de Rs. 199/-, vale cada dinheiro. Embora esse cabo seja um pouco mais curto que o original, mas o cabo OnePlus original está em torno de Rs.900/-. Portanto, há uma enorme diferença de preço e faz o mesmo trabalho que o original., Útil para o carregamento do tipo "C". Mas não é adequado com todos os adaptadores ou pontos USB. Serve o propósito., Construído de forma resistente. Faz bem o seu trabalho. Carregou meu Samsung Galaxy M51 mais rápido que o cabo original. Espero que permaneça o mesmo em avanço., Gostou da velocidade de carregamento não gostou do comprimento. Nos iPads, isso é incrível, mas não tem 1,80m de comprimento, então este é o único ponto a pensar que de outra forma é o melhor cabo, bom, tudo é bom, incluindo conectividade e outras coisas, bom produto ... no uso disso para o meu carro, este produto é bom e vale a pena ... eu recomendo para quem procura esse tipo de cabo</v>
      </c>
    </row>
    <row r="843">
      <c r="A843" s="9" t="s">
        <v>3342</v>
      </c>
      <c r="B843" s="29" t="str">
        <f>VLOOKUP(dados!A843, reviews!A:G, 5, FALSE)</f>
        <v>very good product,The replaced item is fine and working good,Nice experience,Good Product For PlayStation,Poor insulation,Nice,Serves the purpose,One of the pins were broken</v>
      </c>
      <c r="C843" s="29" t="str">
        <f>VLOOKUP(dados!A843, reviews!A:G, 6, FALSE)</f>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v>
      </c>
      <c r="D843" s="29" t="str">
        <f>IFERROR(__xludf.DUMMYFUNCTION("GOOGLETRANSLATE(B843, ""en"", ""pt-br"")"),"Produto muito bom, o item substituído é bom e funcionando bem, boa experiência, bom produto para PlayStation, Isolamento ruim, Nice, serve o propósito, um dos pinos foi quebrado")</f>
        <v>Produto muito bom, o item substituído é bom e funcionando bem, boa experiência, bom produto para PlayStation, Isolamento ruim, Nice, serve o propósito, um dos pinos foi quebrado</v>
      </c>
      <c r="E843" s="29" t="str">
        <f>IFERROR(__xludf.DUMMYFUNCTION("GOOGLETRANSLATE(C843, ""en"", ""pt-br"")"),"Um bom valor para o dinheiro do produto ,, bom produto, funciona bem com o PlayStation 3, deve tentar., Ele diminuiu o interior. Não houve danos visíveis do lado de fora, mas o cabo curto de dentro e as faíscas começaram a voar durante o uso comum, agradá"&amp;"vel, parecem resistentes e de melhor qualidade do que as de mercado, um dos pinos foi quebrado quando recebido e eu pude ver que dentro dos pinos seus Em vez disso, não se parece com porcelinas e por fora, uma cobertura fina de SS é dada. má qualidade")</f>
        <v>Um bom valor para o dinheiro do produto ,, bom produto, funciona bem com o PlayStation 3, deve tentar., Ele diminuiu o interior. Não houve danos visíveis do lado de fora, mas o cabo curto de dentro e as faíscas começaram a voar durante o uso comum, agradável, parecem resistentes e de melhor qualidade do que as de mercado, um dos pinos foi quebrado quando recebido e eu pude ver que dentro dos pinos seus Em vez disso, não se parece com porcelinas e por fora, uma cobertura fina de SS é dada. má qualidade</v>
      </c>
    </row>
    <row r="844">
      <c r="A844" s="9" t="s">
        <v>3346</v>
      </c>
      <c r="B844" s="29" t="str">
        <f>VLOOKUP(dados!A844, reviews!A:G, 5, FALSE)</f>
        <v>Fine for beginners but brightness is low ...increase brightness ..,Good,Size and brightness,It is good for rough work,Very nice &amp; satisfactory,Very low brightness,Na,Nice product for this price</v>
      </c>
      <c r="C844" s="29" t="str">
        <f>VLOOKUP(dados!A844, reviews!A:G, 6, FALSE)</f>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 I'm proud of my kid 😂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product.,Na,It’s a nice product to use and save paper and for this price range I guess it’s the good option.</v>
      </c>
      <c r="D844" s="29" t="str">
        <f>IFERROR(__xludf.DUMMYFUNCTION("GOOGLETRANSLATE(B844, ""en"", ""pt-br"")"),"Fina para iniciantes, mas o brilho é baixo ... Aumente o brilho .., bom, tamanho e brilho, é bom para um trabalho difícil, muito agradável e satisfatório, com muito baixo brilho, NA, bom produto para este preço")</f>
        <v>Fina para iniciantes, mas o brilho é baixo ... Aumente o brilho .., bom, tamanho e brilho, é bom para um trabalho difícil, muito agradável e satisfatório, com muito baixo brilho, NA, bom produto para este preço</v>
      </c>
      <c r="E844" s="29" t="str">
        <f>IFERROR(__xludf.DUMMYFUNCTION("GOOGLETRANSLATE(C844, ""en"", ""pt-br"")"),"Produto achha hai ... thoda brilho badhane ki jarurat hai ..., após uso pesado por 10 dias, profissionais: 1.battery last2. O brilho depende do brilho do local que estamos usando 3. Suave e viciante4. Atrai você para rabiscar algo no IT5. Melhor Time Pass"&amp;"my 3 anos O filho do velho adora rabiscar, então evitá -lo rabiscar tudo o que comprei para ele. Agora ele adora, para escrever sobre isso. Enquanto outras crianças viciadas em celular📱 tenho orgulho do meu filho 😂, mas o infortúnio é ... é viciado em t"&amp;"odos, então quando meu filho ocupou brincando com outros brinquedos, começamos a usá -lo.CONS: 1. A cor começou a desbafar, pude ver um pouco de azul escuro no fundo, pois é uma cor verde enquanto escrevia. Se escrevermos nossa palma, ficará visível nesta"&amp;" lista. É realmente uma desvantagem. Mesmo se nós cautelosos, estamos impotentes.3.Delete Button Impressão de botão desaparecido em um dia. é muito baixo e depende da luz ambiente na sala. Caso contrário, um ótimo produto., NA, é um bom produto para usar "&amp;"e salvar papel e, para essa faixa de preço, acho que é a boa opção.")</f>
        <v>Produto achha hai ... thoda brilho badhane ki jarurat hai ..., após uso pesado por 10 dias, profissionais: 1.battery last2. O brilho depende do brilho do local que estamos usando 3. Suave e viciante4. Atrai você para rabiscar algo no IT5. Melhor Time Passmy 3 anos O filho do velho adora rabiscar, então evitá -lo rabiscar tudo o que comprei para ele. Agora ele adora, para escrever sobre isso. Enquanto outras crianças viciadas em celular📱 tenho orgulho do meu filho 😂, mas o infortúnio é ... é viciado em todos, então quando meu filho ocupou brincando com outros brinquedos, começamos a usá -lo.CONS: 1. A cor começou a desbafar, pude ver um pouco de azul escuro no fundo, pois é uma cor verde enquanto escrevia. Se escrevermos nossa palma, ficará visível nesta lista. É realmente uma desvantagem. Mesmo se nós cautelosos, estamos impotentes.3.Delete Button Impressão de botão desaparecido em um dia. é muito baixo e depende da luz ambiente na sala. Caso contrário, um ótimo produto., NA, é um bom produto para usar e salvar papel e, para essa faixa de preço, acho que é a boa opção.</v>
      </c>
    </row>
    <row r="845">
      <c r="A845" s="9" t="s">
        <v>3350</v>
      </c>
      <c r="B845" s="29" t="str">
        <f>VLOOKUP(dados!A845, reviews!A:G, 5, FALSE)</f>
        <v>Value for money.,Value for money,Price could be lesser,Ideal for new MacBooks,Average and overpriced,Meet the expectations,So I got the product on 11th August 2022. This is the initial impression of the product.,Ok ok product</v>
      </c>
      <c r="C845" s="29" t="str">
        <f>VLOOKUP(dados!A845, reviews!A:G, 6, FALSE)</f>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v>
      </c>
      <c r="D845" s="29" t="str">
        <f>IFERROR(__xludf.DUMMYFUNCTION("GOOGLETRANSLATE(B845, ""en"", ""pt-br"")"),"Valor pelo dinheiro., Rechada pelo dinheiro, o preço pode ser menor, ideal para novos MacBooks, médio e caro, atende às expectativas, então recebi o produto em 11 de agosto de 2022. Esta é a impressão inicial do produto., OK OK Produto")</f>
        <v>Valor pelo dinheiro., Rechada pelo dinheiro, o preço pode ser menor, ideal para novos MacBooks, médio e caro, atende às expectativas, então recebi o produto em 11 de agosto de 2022. Esta é a impressão inicial do produto., OK OK Produto</v>
      </c>
      <c r="E845" s="29" t="str">
        <f>IFERROR(__xludf.DUMMYFUNCTION("GOOGLETRANSLATE(C845, ""en"", ""pt-br"")"),"Usado por mais de um mês. Trabalhos (HDMI, USB) bem até agora. Não testado os slots microSD., A qualidade de construção é ótima. Estou usando isso com o meu MacBook, funciona bem. Enquanto o uso deste adaptador Amazon Prime Videos não pode ser reproduzido"&amp;" na resolução de 1080p no Monitor, ele diz que os dispositivos não suportam HD. Outras portas estão funcionando bem, não um problema., Levei isso para a minha edição MacBook M2 Pro 2022 e está funcionando perfeitamente, todas as portas estão funcionando b"&amp;"em até agora, já faz dois meses que estou usando, duração do fio é pouco Pequeno, pode ser um pouco grande e o preço também é um pouco alto, pode ter menos de 900rs, então isso justificará., Se você comprou um MacBook Air ou Pro recentemente e se pergunta"&amp;"ndo o que fazer em todas as portas ausentes - USB, HDMI etc, Esta é a sua solução única. Eu tentei no meu MacBook Air M2 e funciona como um encanto. Eu conectei, várias unidades de caneta, unidades de disco e uma unidade de 128 Go Flash - tudo funcionou b"&amp;"em. Um preço muito razoável em comparação com outras opções, mas tem uma aparência bastante boa., Tudo funcionando bem, mas não funciona com o MacBook's HDMI Quando tente conectar uma TV mais mais como uma tela estendida (exibições diferentes em ambos), m"&amp;"as funciona bem se usado como segunda tela com exibição comum., Resolvei meu problema, recebi o produto em 11 de agosto de 2022. Esta é a impressão inicial.1 ) Embalagem - O pacote que recebi estava em boas condições. Tinha um plástico pré -embrulhado na "&amp;"caixa. Nenhuma reclamação sobre embalagem, mas uma coisa a observar é que 'nenhum nome de marca na embalagem'. Embora quando você abre o produto, o nome da marca está lá no produto.2) A compilação - o comprimento do fio é pequeno na minha opinião. Ele tem"&amp;" um acabamento de construção de metal e parece premium e resistente. A qualidade do fio também é boa, mas a esse preço deveria ter fornecido um cabo trançado.3) Testei este produto com 3 portas USB conectadas - a) mouse b) teclado c) SSD externo de 2 TB. "&amp;"O SSD não é desconectado quando todos os 3 USB estiverem conectados. Para confirmação, fiz uma transferência de arquivo de 2 GB e nenhuma desconexão foi notada. NOTA: A velocidade da transferência de dados é baixa. Fiz 2 GB de transferência de arquivos e "&amp;"estava recebendo a velocidade máxima de 39 MB/s com o SSD conectado através do hub USB. s. Portanto, se você quiser fazer muita transferência de arquivos, melhor conectá -la diretamente e não através do hub USB. Portanto, a impressão inicial é boa, ver qu"&amp;"anto tempo dura., Às vezes não é detectado por Mac e qualidade não é tão")</f>
        <v>Usado por mais de um mês. Trabalhos (HDMI, USB) bem até agora. Não testado os slots microSD., A qualidade de construção é ótima. Estou usando isso com o meu MacBook, funciona bem. Enquanto o uso deste adaptador Amazon Prime Videos não pode ser reproduzido na resolução de 1080p no Monitor, ele diz que os dispositivos não suportam HD. Outras portas estão funcionando bem, não um problema., Levei isso para a minha edição MacBook M2 Pro 2022 e está funcionando perfeitamente, todas as portas estão funcionando bem até agora, já faz dois meses que estou usando, duração do fio é pouco Pequeno, pode ser um pouco grande e o preço também é um pouco alto, pode ter menos de 900rs, então isso justificará., Se você comprou um MacBook Air ou Pro recentemente e se perguntando o que fazer em todas as portas ausentes - USB, HDMI etc, Esta é a sua solução única. Eu tentei no meu MacBook Air M2 e funciona como um encanto. Eu conectei, várias unidades de caneta, unidades de disco e uma unidade de 128 Go Flash - tudo funcionou bem. Um preço muito razoável em comparação com outras opções, mas tem uma aparência bastante boa., Tudo funcionando bem, mas não funciona com o MacBook's HDMI Quando tente conectar uma TV mais mais como uma tela estendida (exibições diferentes em ambos), mas funciona bem se usado como segunda tela com exibição comum., Resolvei meu problema, recebi o produto em 11 de agosto de 2022. Esta é a impressão inicial.1 ) Embalagem - O pacote que recebi estava em boas condições. Tinha um plástico pré -embrulhado na caixa. Nenhuma reclamação sobre embalagem, mas uma coisa a observar é que 'nenhum nome de marca na embalagem'. Embora quando você abre o produto, o nome da marca está lá no produto.2) A compilação - o comprimento do fio é pequeno na minha opinião. Ele tem um acabamento de construção de metal e parece premium e resistente. A qualidade do fio também é boa, mas a esse preço deveria ter fornecido um cabo trançado.3) Testei este produto com 3 portas USB conectadas - a) mouse b) teclado c) SSD externo de 2 TB. O SSD não é desconectado quando todos os 3 USB estiverem conectados. Para confirmação, fiz uma transferência de arquivo de 2 GB e nenhuma desconexão foi notada. NOTA: A velocidade da transferência de dados é baixa. Fiz 2 GB de transferência de arquivos e estava recebendo a velocidade máxima de 39 MB/s com o SSD conectado através do hub USB. s. Portanto, se você quiser fazer muita transferência de arquivos, melhor conectá -la diretamente e não através do hub USB. Portanto, a impressão inicial é boa, ver quanto tempo dura., Às vezes não é detectado por Mac e qualidade não é tão</v>
      </c>
    </row>
    <row r="846">
      <c r="A846" s="9" t="s">
        <v>3354</v>
      </c>
      <c r="B846" s="29" t="str">
        <f>VLOOKUP(dados!A846, reviews!A:G, 5, FALSE)</f>
        <v>Nice product from Zebronics... Using for laptop,Gr8 product need more sound quality,Sound,Best Product 👍,Sound bass,Value for money. Wired and aux quality is poor,Compact speakers for PC/Laptop,Worthy for our money</v>
      </c>
      <c r="C846" s="29" t="str">
        <f>VLOOKUP(dados!A846, reviews!A:G, 6, FALSE)</f>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v>
      </c>
      <c r="D846" s="29" t="str">
        <f>IFERROR(__xludf.DUMMYFUNCTION("GOOGLETRANSLATE(B846, ""en"", ""pt-br"")"),"Bom produto da Zebronics ... Usando para laptop, o produto Gr8 precisa de mais qualidade, som, melhor produto 👍, som de som, valor para dinheiro. A qualidade com fio e auxiliar é pobre e compacto alto -falantes para PC/laptop, digno do nosso dinheiro")</f>
        <v>Bom produto da Zebronics ... Usando para laptop, o produto Gr8 precisa de mais qualidade, som, melhor produto 👍, som de som, valor para dinheiro. A qualidade com fio e auxiliar é pobre e compacto alto -falantes para PC/laptop, digno do nosso dinheiro</v>
      </c>
      <c r="E846" s="29" t="str">
        <f>IFERROR(__xludf.DUMMYFUNCTION("GOOGLETRANSLATE(C846, ""en"", ""pt-br"")"),"O produto zebronics é sempre bom. Comprei este produto para o meu laptop e uso todos os dias para assistir filmes, ouvir músicas ..., o som é incrível, pois eu recomendo isso para fins musicais, pois possui base média, mas o resto de tudo é incrível, a qu"&amp;"alidade do som é boa. .... laptop mai aacha use hota h .... móvel se bhi connect ho jaata h ... pr bluetooth ni h isme .... carregando cabo bhi h isme .... ,, alto e compacto alto -falantes para configuração de desktop. Ele completou minha configuração de"&amp;" jogos, pois meu monitor não tem no alto -falante construído estava em busca de bons palestrantes. Estes são bons em termos de jogos, assistir compulsivamente ou qualquer propósito. Gostei do design, pois se divide em dois, o que dá um bom efeito sonoro. "&amp;"Vale a pena o preço., Bom produto e boa qualidade.")</f>
        <v>O produto zebronics é sempre bom. Comprei este produto para o meu laptop e uso todos os dias para assistir filmes, ouvir músicas ..., o som é incrível, pois eu recomendo isso para fins musicais, pois possui base média, mas o resto de tudo é incrível, a qualidade do som é boa. .... laptop mai aacha use hota h .... móvel se bhi connect ho jaata h ... pr bluetooth ni h isme .... carregando cabo bhi h isme .... ,, alto e compacto alto -falantes para configuração de desktop. Ele completou minha configuração de jogos, pois meu monitor não tem no alto -falante construído estava em busca de bons palestrantes. Estes são bons em termos de jogos, assistir compulsivamente ou qualquer propósito. Gostei do design, pois se divide em dois, o que dá um bom efeito sonoro. Vale a pena o preço., Bom produto e boa qualidade.</v>
      </c>
    </row>
    <row r="847">
      <c r="A847" s="9" t="s">
        <v>3360</v>
      </c>
      <c r="B847" s="29" t="str">
        <f>VLOOKUP(dados!A847, reviews!A:G, 5, FALSE)</f>
        <v>Good Quality Mouse,good,Good product for its price and warranty.,Not the best but does the job,Okayish,Go for it,really a good mouse in 250,not proper size ,it should be Littel big</v>
      </c>
      <c r="C847" s="29" t="str">
        <f>VLOOKUP(dados!A847, reviews!A:G, 6, FALSE)</f>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v>
      </c>
      <c r="D847" s="29" t="str">
        <f>IFERROR(__xludf.DUMMYFUNCTION("GOOGLETRANSLATE(B847, ""en"", ""pt-br"")"),"Mouse de boa qualidade, bom, bom produto por seu preço e garantia., Não é o melhor, mas o trabalho, ok, vá em frente, realmente um bom mouse em 250, não é o tamanho adequado, deve ser muito")</f>
        <v>Mouse de boa qualidade, bom, bom produto por seu preço e garantia., Não é o melhor, mas o trabalho, ok, vá em frente, realmente um bom mouse em 250, não é o tamanho adequado, deve ser muito</v>
      </c>
      <c r="E847" s="29" t="str">
        <f>IFERROR(__xludf.DUMMYFUNCTION("GOOGLETRANSLATE(C847, ""en"", ""pt-br"")"),"O produto está funcionando sem problemas com cliques leves suaves. O visual é elegante em certa medida. Prático em uso, produto portátil e flexível. Melhor produto nessa faixa de preço. Se você está procurando um produto semelhante neste orçamento, vá em "&amp;"frente. Esta é apenas a revisão inicial no momento. A revisão detalhada publicará em breve, dependendo do uso e do trabalho. Mas, neste momento, eu recomendo este produto., Bom justiff seu preço, comprou dois mouse, os dois foram entregues a tempo. Eu os "&amp;"uso há alguns meses e eles estão funcionando bem. Vem com as funções base, a qualidade construída é boa e você recebe a garantia de 3 anos, o que é ótimo para o preço., Ok, para uso normal do escritório., Não diria ótimo, mas bom para o preço. No geral, b"&amp;"om para fins de trabalho., É um mouse muito bom, me dando acima de 25 cps, e sim, se você está procurando um mouse de jogos baratos do que ir em frente. A qualidade da construção é muito boa e com um acabamento fosco., Eu consegui isso em 250 e definitiva"&amp;"mente em 250 funciona muito bem, o fio também é longo o suficiente e se você gosta de mouse com fio .... é bom em 250, não tamanho adequado, deve ser muito grande")</f>
        <v>O produto está funcionando sem problemas com cliques leves suaves. O visual é elegante em certa medida. Prático em uso, produto portátil e flexível. Melhor produto nessa faixa de preço. Se você está procurando um produto semelhante neste orçamento, vá em frente. Esta é apenas a revisão inicial no momento. A revisão detalhada publicará em breve, dependendo do uso e do trabalho. Mas, neste momento, eu recomendo este produto., Bom justiff seu preço, comprou dois mouse, os dois foram entregues a tempo. Eu os uso há alguns meses e eles estão funcionando bem. Vem com as funções base, a qualidade construída é boa e você recebe a garantia de 3 anos, o que é ótimo para o preço., Ok, para uso normal do escritório., Não diria ótimo, mas bom para o preço. No geral, bom para fins de trabalho., É um mouse muito bom, me dando acima de 25 cps, e sim, se você está procurando um mouse de jogos baratos do que ir em frente. A qualidade da construção é muito boa e com um acabamento fosco., Eu consegui isso em 250 e definitivamente em 250 funciona muito bem, o fio também é longo o suficiente e se você gosta de mouse com fio .... é bom em 250, não tamanho adequado, deve ser muito grande</v>
      </c>
    </row>
    <row r="848">
      <c r="A848" s="9" t="s">
        <v>3364</v>
      </c>
      <c r="B848" s="29" t="str">
        <f>VLOOKUP(dados!A848, reviews!A:G, 5, FALSE)</f>
        <v>Honest review,Cushion grip is coming out,Mast h ! Jaisi dikh rhi same ayi ,majboot bhi h,PHONE HOLDER IS USELESS,product quality is good as per price u can buy it,Go for it!!!,This bed table is very good. Go for it.,Not sturdy on the bed. Cheap material used</v>
      </c>
      <c r="C848" s="29" t="str">
        <f>VLOOKUP(dados!A848, reviews!A:G, 6, FALSE)</f>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v>
      </c>
      <c r="D848" s="29" t="str">
        <f>IFERROR(__xludf.DUMMYFUNCTION("GOOGLETRANSLATE(B848, ""en"", ""pt-br"")"),"Revisão honesta, a alcance da almofada está saindo, mastro H! Jaisi Dikh Rhi Mesmo ayi, Majboot Bhi H, o titular do telefone é inútil, a qualidade do produto é boa conforme o preço que você pode comprá -lo, vá em frente !!!, esta mesa de cama é muito boa."&amp;" Vá em frente., Não é resistente na cama. Material barato usado")</f>
        <v>Revisão honesta, a alcance da almofada está saindo, mastro H! Jaisi Dikh Rhi Mesmo ayi, Majboot Bhi H, o titular do telefone é inútil, a qualidade do produto é boa conforme o preço que você pode comprá -lo, vá em frente !!!, esta mesa de cama é muito boa. Vá em frente., Não é resistente na cama. Material barato usado</v>
      </c>
      <c r="E848" s="29" t="str">
        <f>IFERROR(__xludf.DUMMYFUNCTION("GOOGLETRANSLATE(C848, ""en"", ""pt-br"")"),"Sim, aqui está a revisão honesta .... parecendo boa ... a qualidade está bem ... não é um produto defeituoso ... mas não estou satisfeito com o titular do telefone ... é muito reto, porque entenda a realidade, Cada um vai gostar e se sentir confortável qu"&amp;"ando o titular do telefone é pouca ladeira ... esse conforto não está lá ... e eu adicionei a foto da minha visão do telefone no suporte ... muito reto ... é 😣 Difícil de ver e escrever ... O titular do telefone é o principal objetivo do que eu compro .."&amp;". mas isso não é adequado para mim ... mas a qualidade da mesa é boa ..., a garra de almofada está saindo . . Também possui um pequeno diâmetro que não conseguiu conter uma aba ou telefone amplo., Estabilidade de qualidade Fácil peso fácil de transportar "&amp;"alguns pontos positivos do produto, uma mesa tão agradável e de estudos. Isso é muito confortável. Você deve estar comprando., Não é robusto no material Bedmaterial é barato. Não como esperado")</f>
        <v>Sim, aqui está a revisão honesta .... parecendo boa ... a qualidade está bem ... não é um produto defeituoso ... mas não estou satisfeito com o titular do telefone ... é muito reto, porque entenda a realidade, Cada um vai gostar e se sentir confortável quando o titular do telefone é pouca ladeira ... esse conforto não está lá ... e eu adicionei a foto da minha visão do telefone no suporte ... muito reto ... é 😣 Difícil de ver e escrever ... O titular do telefone é o principal objetivo do que eu compro ... mas isso não é adequado para mim ... mas a qualidade da mesa é boa ..., a garra de almofada está saindo . . Também possui um pequeno diâmetro que não conseguiu conter uma aba ou telefone amplo., Estabilidade de qualidade Fácil peso fácil de transportar alguns pontos positivos do produto, uma mesa tão agradável e de estudos. Isso é muito confortável. Você deve estar comprando., Não é robusto no material Bedmaterial é barato. Não como esperado</v>
      </c>
    </row>
    <row r="849">
      <c r="A849" s="9" t="s">
        <v>3368</v>
      </c>
      <c r="B849" s="29" t="str">
        <f>VLOOKUP(dados!A849, reviews!A:G, 5, FALSE)</f>
        <v>Not as per Description,It's not a 2800mAh battery. It's 1800mAh. They are fooling you with the name,Design problem of getting overheated,It is good medium speed charger,Good,Ok Chinese?,Good,Fast Charging</v>
      </c>
      <c r="C849" s="29" t="str">
        <f>VLOOKUP(dados!A849, reviews!A:G, 6, FALSE)</f>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v>
      </c>
      <c r="D849" s="29" t="str">
        <f>IFERROR(__xludf.DUMMYFUNCTION("GOOGLETRANSLATE(B849, ""en"", ""pt-br"")"),"Não como descrição, não é uma bateria de 2800mAh. É 1800mAh. Eles estão enganando você com o nome, problema de design de ser superaquecido, é um bom carregador de velocidade média, bom, ok chinês?, Bom, carregamento rápido")</f>
        <v>Não como descrição, não é uma bateria de 2800mAh. É 1800mAh. Eles estão enganando você com o nome, problema de design de ser superaquecido, é um bom carregador de velocidade média, bom, ok chinês?, Bom, carregamento rápido</v>
      </c>
      <c r="E849" s="29" t="str">
        <f>IFERROR(__xludf.DUMMYFUNCTION("GOOGLETRANSLATE(C849, ""en"", ""pt-br"")"),"As baterias não cobram de acordo com a descrição, tenho cobrança por mais de 8 horas por recarga completa /a ser usada corretamente, depois que as 8 horas cobrarem que a cobrança não dura mais de 3 dias sem uso, notei que quando recebi As baterias que são"&amp;" muito mais leves que as baterias normais e suspeitassem. Mas depois de usá -lo, essa bateria acaba muito mais rápida que minha outra bateria de 2800mAh. Então eu vi a parte de trás do estojo e ele foi escrito lá, é a bateria de 1800mAh. Tudo funcionam be"&amp;"m como pretendido, mas não acho que eles devam enganar os clientes dando a outro produto e anunciando outra coisa. Isso é comportamento de fraude. Mas, pelo preço de 1.099, é justificado., Ficar superaquecido ao cobrar é um medo de 1 hora de derreter o co"&amp;"rpo, bom carregador de velocidade média, estou impressionado, nenhum bens chineses é o meu favorito., Gosto do produto, estou usando isso para o teclado., carregando a bateria em horas de 1,5 a 2 hrsgood para que umi use este carregador para carregar minh"&amp;"as baterias recarregáveis ​​existentes AA e AAA")</f>
        <v>As baterias não cobram de acordo com a descrição, tenho cobrança por mais de 8 horas por recarga completa /a ser usada corretamente, depois que as 8 horas cobrarem que a cobrança não dura mais de 3 dias sem uso, notei que quando recebi As baterias que são muito mais leves que as baterias normais e suspeitassem. Mas depois de usá -lo, essa bateria acaba muito mais rápida que minha outra bateria de 2800mAh. Então eu vi a parte de trás do estojo e ele foi escrito lá, é a bateria de 1800mAh. Tudo funcionam bem como pretendido, mas não acho que eles devam enganar os clientes dando a outro produto e anunciando outra coisa. Isso é comportamento de fraude. Mas, pelo preço de 1.099, é justificado., Ficar superaquecido ao cobrar é um medo de 1 hora de derreter o corpo, bom carregador de velocidade média, estou impressionado, nenhum bens chineses é o meu favorito., Gosto do produto, estou usando isso para o teclado., carregando a bateria em horas de 1,5 a 2 hrsgood para que umi use este carregador para carregar minhas baterias recarregáveis ​​existentes AA e AAA</v>
      </c>
    </row>
    <row r="850">
      <c r="A850" s="9" t="s">
        <v>3375</v>
      </c>
      <c r="B850" s="29" t="str">
        <f>VLOOKUP(dados!A850, reviews!A:G, 5, FALSE)</f>
        <v>Nice cover,Value for money product.,Good,Worthy,Snug fit 😃,Fits perfectly | Looks stylish | Lightweight,Nice flip case,Beautiful product received</v>
      </c>
      <c r="C850" s="29" t="str">
        <f>VLOOKUP(dados!A850, reviews!A:G, 6, FALSE)</f>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v>
      </c>
      <c r="D850" s="29" t="str">
        <f>IFERROR(__xludf.DUMMYFUNCTION("GOOGLETRANSLATE(B850, ""en"", ""pt-br"")"),"Bom capa, produto valor para dinheiro., Bom, digno, confortável, encaixa perfeitamente | Parece elegante | Caixa leve e agradável, belo produto recebido")</f>
        <v>Bom capa, produto valor para dinheiro., Bom, digno, confortável, encaixa perfeitamente | Parece elegante | Caixa leve e agradável, belo produto recebido</v>
      </c>
      <c r="E850" s="29" t="str">
        <f>IFERROR(__xludf.DUMMYFUNCTION("GOOGLETRANSLATE(C850, ""en"", ""pt-br"")"),"Bom capa, mas sem lugar para a caneta. Então, por que dar caneta na capa junto com a cobertura se não houver lugar para colocar a caneta?, Produto de valor para dinheiro. Você recebe caneta grátis, barato, mas funciona. Desejo que esta capa tenha a opção "&amp;"de armazenar a caneta. Okok, funciona bem com o iPad, mas a Apple Pencil é a melhor., https: //m.media-amazon.com/images/w/webp_402378-t1/images/i/61rdugqa0wl._sy88.jpg,Pros1. O caso é excelente, se encaixa bem. Parece bom também com traseiro transparente"&amp;"3. É muito LightCons1. Pode quebrar em um único outono2. Não funciona como iPad Stand3. Fica sujo rapidamente., O produto (cor preta) é bem combina com o meu iPad de cores cinza espacial que dá uma aparência rica. Ele se encaixa perfeitamente (botões de v"&amp;"olume de energia, portas de fone de ouvido de carregamento). É leve. A parte traseira é translúcida e forte o suficiente. O ímã é bom, mas menos eficaz se você fixou vidro temperado no seu iPad. A caneta da caneta é moderada. Vale a pena o dinheiro vá em "&amp;"frente. Parece durável será atualizado após alguns meses de uso.")</f>
        <v>Bom capa, mas sem lugar para a caneta. Então, por que dar caneta na capa junto com a cobertura se não houver lugar para colocar a caneta?, Produto de valor para dinheiro. Você recebe caneta grátis, barato, mas funciona. Desejo que esta capa tenha a opção de armazenar a caneta. Okok, funciona bem com o iPad, mas a Apple Pencil é a melhor., https: //m.media-amazon.com/images/w/webp_402378-t1/images/i/61rdugqa0wl._sy88.jpg,Pros1. O caso é excelente, se encaixa bem. Parece bom também com traseiro transparente3. É muito LightCons1. Pode quebrar em um único outono2. Não funciona como iPad Stand3. Fica sujo rapidamente., O produto (cor preta) é bem combina com o meu iPad de cores cinza espacial que dá uma aparência rica. Ele se encaixa perfeitamente (botões de volume de energia, portas de fone de ouvido de carregamento). É leve. A parte traseira é translúcida e forte o suficiente. O ímã é bom, mas menos eficaz se você fixou vidro temperado no seu iPad. A caneta da caneta é moderada. Vale a pena o dinheiro vá em frente. Parece durável será atualizado após alguns meses de uso.</v>
      </c>
    </row>
    <row r="851">
      <c r="A851" s="9" t="s">
        <v>3381</v>
      </c>
      <c r="B851" s="29" t="str">
        <f>VLOOKUP(dados!A851, reviews!A:G, 5, FALSE)</f>
        <v>Great Build Quality!,Great condition,Nice,Good experience,Good purchase,Just not A4.,GOOD ONE,It useful but buy it only when the price is under 100. Then u will get the profit.</v>
      </c>
      <c r="C851" s="29" t="str">
        <f>VLOOKUP(dados!A851, reviews!A:G, 6, FALSE)</f>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🙌🏻,Good notebook,Quality is good but its size is small compared to my normal notebooks  . Overall a decent product.,A very good quality book,,NOTEBOOK KI SIZE CHHOTI H , OR WITHOUT LINE KE PAGES H , MERE ACCORDING TO YE 8TH CLASS TK KE BACHCHO KE LIYE THIK HAI,</v>
      </c>
      <c r="D851" s="29" t="str">
        <f>IFERROR(__xludf.DUMMYFUNCTION("GOOGLETRANSLATE(B851, ""en"", ""pt-br"")"),"Ótima qualidade de construção!, Ótima condição, boa, boa experiência, boa compra, mas não a4., Boa, é útil, mas compre apenas quando o preço estiver abaixo de 100. Então você terá o lucro.")</f>
        <v>Ótima qualidade de construção!, Ótima condição, boa, boa experiência, boa compra, mas não a4., Boa, é útil, mas compre apenas quando o preço estiver abaixo de 100. Então você terá o lucro.</v>
      </c>
      <c r="E851" s="29" t="str">
        <f>IFERROR(__xludf.DUMMYFUNCTION("GOOGLETRANSLATE(C851, ""en"", ""pt-br"")"),"As capas são resistentes, flexíveis e atraentes. A parte de trás do caderno também tem uma boa textura. A mesma cópia e eles acabam sendo montados se não forem mantidos corretamente. Também é benéfico para os alunos que criam notas principalmente usando g"&amp;"ráficos, mesas, diagramas e similares, pois há divisão após 24 páginas e você não pode escrever tanto em profundidade. Definitivamente ainda é bom ainda!, Os livros estão em ótimas condições e valem o preço. A única coisa diferente é a capa, nada mais. Va"&amp;"le 114rs que paguei 🙌🏻, bom caderno, a qualidade é boa, mas seu tamanho é pequeno em comparação com meus cadernos normais. No geral, um produto decente., Um livro de muito boa qualidade ,, notebook ki size chhoti h, ou sem a linha ke páginas h, mera de "&amp;"acordo com a 8ª classe Tk Ke Bachcho ke liye thik hai,")</f>
        <v>As capas são resistentes, flexíveis e atraentes. A parte de trás do caderno também tem uma boa textura. A mesma cópia e eles acabam sendo montados se não forem mantidos corretamente. Também é benéfico para os alunos que criam notas principalmente usando gráficos, mesas, diagramas e similares, pois há divisão após 24 páginas e você não pode escrever tanto em profundidade. Definitivamente ainda é bom ainda!, Os livros estão em ótimas condições e valem o preço. A única coisa diferente é a capa, nada mais. Vale 114rs que paguei 🙌🏻, bom caderno, a qualidade é boa, mas seu tamanho é pequeno em comparação com meus cadernos normais. No geral, um produto decente., Um livro de muito boa qualidade ,, notebook ki size chhoti h, ou sem a linha ke páginas h, mera de acordo com a 8ª classe Tk Ke Bachcho ke liye thik hai,</v>
      </c>
    </row>
    <row r="852">
      <c r="A852" s="9" t="s">
        <v>3385</v>
      </c>
      <c r="B852" s="29" t="str">
        <f>VLOOKUP(dados!A852, reviews!A:G, 5, FALSE)</f>
        <v>Average,I like the 'Pentonic' pens,which is why I had made the purchase.,Useful,Liked it,Nice,Penatoni pen is good work,worth it,Useful</v>
      </c>
      <c r="C852" s="29" t="str">
        <f>VLOOKUP(dados!A852, reviews!A:G, 6, FALSE)</f>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v>
      </c>
      <c r="D852" s="29" t="str">
        <f>IFERROR(__xludf.DUMMYFUNCTION("GOOGLETRANSLATE(B852, ""en"", ""pt-br"")"),"Média, eu gosto das canetas 'pentonic', e é por isso que fiz a compra., Útil, gostei, legal, Penatoni Pen é um bom trabalho, vale a pena, útil")</f>
        <v>Média, eu gosto das canetas 'pentonic', e é por isso que fiz a compra., Útil, gostei, legal, Penatoni Pen é um bom trabalho, vale a pena, útil</v>
      </c>
      <c r="E852" s="29" t="str">
        <f>IFERROR(__xludf.DUMMYFUNCTION("GOOGLETRANSLATE(C852, ""en"", ""pt-br"")"),"É bom, mas eles dão 2 tons de verde diferentes e as duas cores são iguais, não há diferença na sombra dos verdes ,, bom para fazer anotações e escrever pontos -chave. Ajuda como marcador, mas eles não parecem iguais à imagem. Eles parecem prateados e não "&amp;"pretos, na verdade., Bom produto., Nice, bom Penthank Amazon, nada ruim, canetas úteis")</f>
        <v>É bom, mas eles dão 2 tons de verde diferentes e as duas cores são iguais, não há diferença na sombra dos verdes ,, bom para fazer anotações e escrever pontos -chave. Ajuda como marcador, mas eles não parecem iguais à imagem. Eles parecem prateados e não pretos, na verdade., Bom produto., Nice, bom Penthank Amazon, nada ruim, canetas úteis</v>
      </c>
    </row>
    <row r="853">
      <c r="A853" s="9" t="s">
        <v>189</v>
      </c>
      <c r="B853" s="29" t="str">
        <f>VLOOKUP(dados!A853, reviews!A:G, 5, FALSE)</f>
        <v>Product is as expected,Cable has problem with samsung galaxy s8 ultra tablet,Quality and service is good.,It's perfect, definitely what i needed,Worth buying this cable,Just awesome 👌,fast charge, sturdy build quality, absolute value for money product, 2yrs warranty, just go for it,Good</v>
      </c>
      <c r="C853" s="29" t="str">
        <f>VLOOKUP(dados!A853, reviews!A:G, 6, FALSE)</f>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v>
      </c>
      <c r="D853" s="29" t="str">
        <f>IFERROR(__xludf.DUMMYFUNCTION("GOOGLETRANSLATE(B853, ""en"", ""pt-br"")"),"O produto é o esperado, o Cable tem problemas com o Samsung Galaxy S8 Ultra Tablet, a qualidade e o serviço são bons., É perfeito, definitivamente o que eu precisava, que vale a pena comprar este cabo, apenas incrível 👌, carga rápida, qualidade de constr"&amp;"ução robusta, valor absoluto pelo dinheiro Produto, garantia de 2 anos, basta ir em frente, bom")</f>
        <v>O produto é o esperado, o Cable tem problemas com o Samsung Galaxy S8 Ultra Tablet, a qualidade e o serviço são bons., É perfeito, definitivamente o que eu precisava, que vale a pena comprar este cabo, apenas incrível 👌, carga rápida, qualidade de construção robusta, valor absoluto pelo dinheiro Produto, garantia de 2 anos, basta ir em frente, bom</v>
      </c>
      <c r="E853" s="29" t="str">
        <f>IFERROR(__xludf.DUMMYFUNCTION("GOOGLETRANSLATE(C853, ""en"", ""pt-br"")"),"O mesmo tipo está disponível em meio prêmio em outra marca na Amazon, o cabo é bom e bem construído. Ele suporta todo tipo de protocolos de carregamento. Mas o Samsung Galaxy S8 Ultra parece ter alguns problemas. Ele volta ao carregamento mais lento após "&amp;"um segundo ou dois de carregamento ultra rápido quando conectado. Funciona bem com outros dispositivos bem., A qualidade do cabo YHE é boa. Meu cabo não está funcionando após 8 meses. A equipe de Duracell é muito receptiva. Eles substituíram o item imedia"&amp;"tamente. O serviço é bom. Mas apenas um problema é a espessura do alfinete deve ser melhorada., O produto é de minhas expectativas, vale o preço, travar é realmente bom, talvez eu não tenha a necessidade de comprar outro cabo novamente, que vale a pena co"&amp;"mprar este cabo, muito durável, É material muito difícil e muito durável também., Carregamento super rápido ... duradouro devido à robustez e forte qualidade de construção ... valor absoluto para o produto ... mais garantia de 2 anos ... algum tempo um po"&amp;"uco difícil de dobrar o cabo Devido à sua construção robusta, mas está bem olhando para sua vantagem ... basta seguir em frente .... um valor real pelo dinheiro., muito robusto, mas com preços mais altos")</f>
        <v>O mesmo tipo está disponível em meio prêmio em outra marca na Amazon, o cabo é bom e bem construído. Ele suporta todo tipo de protocolos de carregamento. Mas o Samsung Galaxy S8 Ultra parece ter alguns problemas. Ele volta ao carregamento mais lento após um segundo ou dois de carregamento ultra rápido quando conectado. Funciona bem com outros dispositivos bem., A qualidade do cabo YHE é boa. Meu cabo não está funcionando após 8 meses. A equipe de Duracell é muito receptiva. Eles substituíram o item imediatamente. O serviço é bom. Mas apenas um problema é a espessura do alfinete deve ser melhorada., O produto é de minhas expectativas, vale o preço, travar é realmente bom, talvez eu não tenha a necessidade de comprar outro cabo novamente, que vale a pena comprar este cabo, muito durável, É material muito difícil e muito durável também., Carregamento super rápido ... duradouro devido à robustez e forte qualidade de construção ... valor absoluto para o produto ... mais garantia de 2 anos ... algum tempo um pouco difícil de dobrar o cabo Devido à sua construção robusta, mas está bem olhando para sua vantagem ... basta seguir em frente .... um valor real pelo dinheiro., muito robusto, mas com preços mais altos</v>
      </c>
    </row>
    <row r="854">
      <c r="A854" s="9" t="s">
        <v>193</v>
      </c>
      <c r="B854" s="29" t="str">
        <f>VLOOKUP(dados!A854, reviews!A:G, 5, FALSE)</f>
        <v>Functionality as described,Working,Great USB in budget,Good,Good,It just works,Works with my Casio ct-x700 well,Still working after 3 months</v>
      </c>
      <c r="C854" s="29" t="str">
        <f>VLOOKUP(dados!A854, reviews!A:G, 6, FALSE)</f>
        <v>Using it and satisfactory.,Working good also not so expensive,Using this for an audio transition from Yamaha mgxu20 sound mixer to the laptop for live purpose excellent quality.,Bought it before one and a half month.... Works well.. Satisfied...🙂,Good quality, and cheap price,Great for the price works with my usb mic fantastically well. Just I find the usb b side is a bit loose when compared to my original OEM cables.. I have ordered several pairs but all are same. At least for my mic. But it’s not too loose to be called unusable,Works with my Casio ct-x700 well,</v>
      </c>
      <c r="D854" s="29" t="str">
        <f>IFERROR(__xludf.DUMMYFUNCTION("GOOGLETRANSLATE(B854, ""en"", ""pt-br"")"),"Funcionalidade como descrito, funcionando, ótimo USB em orçamento, bom, bom, apenas funciona, funciona com o meu bem o Casio CT-X700, ainda trabalhando após 3 meses")</f>
        <v>Funcionalidade como descrito, funcionando, ótimo USB em orçamento, bom, bom, apenas funciona, funciona com o meu bem o Casio CT-X700, ainda trabalhando após 3 meses</v>
      </c>
      <c r="E854" s="29" t="str">
        <f>IFERROR(__xludf.DUMMYFUNCTION("GOOGLETRANSLATE(C854, ""en"", ""pt-br"")"),"Usando -o e satisfatório., Trabalhando bem também não é tão caro, usando isso para uma transição de áudio do mixer de som Yamaha Mgxu20 para o laptop para obter uma qualidade excelente para propósito ao vivo. Comprei antes de um mês e meio .... funciona b"&amp;"em .. Satisfeito ... 🙂, boa qualidade e preço barato, ótimo para o preço funciona com meu microfone USB de maneira fantástica. Só acho que o lado USB B está um pouco solto quando comparado aos meus cabos OEM originais. Eu pedi vários pares, mas todos são"&amp;" iguais. Pelo menos para o meu microfone. Mas não está muito solto para ser chamado de inutilização, funciona com meu bem Casio CT-X700,")</f>
        <v>Usando -o e satisfatório., Trabalhando bem também não é tão caro, usando isso para uma transição de áudio do mixer de som Yamaha Mgxu20 para o laptop para obter uma qualidade excelente para propósito ao vivo. Comprei antes de um mês e meio .... funciona bem .. Satisfeito ... 🙂, boa qualidade e preço barato, ótimo para o preço funciona com meu microfone USB de maneira fantástica. Só acho que o lado USB B está um pouco solto quando comparado aos meus cabos OEM originais. Eu pedi vários pares, mas todos são iguais. Pelo menos para o meu microfone. Mas não está muito solto para ser chamado de inutilização, funciona com meu bem Casio CT-X700,</v>
      </c>
    </row>
    <row r="855">
      <c r="A855" s="9" t="s">
        <v>3392</v>
      </c>
      <c r="B855" s="29" t="str">
        <f>VLOOKUP(dados!A855, reviews!A:G, 5, FALSE)</f>
        <v>Sleek and battery efficient!,It's made for ergonomic and lighter use and a silent one.,Good one.,Great product,Cute, but colour mismatcg,Best for Daily use,Good product,This Pebble mouse is just mesmerising to use</v>
      </c>
      <c r="C855" s="29" t="str">
        <f>VLOOKUP(dados!A855, reviews!A:G, 6, FALSE)</f>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one.,It’s a nice product for the price.It’s very small so it’s very easy to carry around .But than can also be slight problem if you have big hand , not a deal breaker though,My sister said it looks a little old, the colour looks a bit…oldBut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v>
      </c>
      <c r="D855" s="29" t="str">
        <f>IFERROR(__xludf.DUMMYFUNCTION("GOOGLETRANSLATE(B855, ""en"", ""pt-br"")"),"Elegante e com eficiência de bateria!, É feito para uso ergonômico e mais leve e um silencioso., Bom., Ótimo produto, fofo, mas mismatcg, melhor para uso diário, bom produto, este rato de seixos é apenas fascinante para usar")</f>
        <v>Elegante e com eficiência de bateria!, É feito para uso ergonômico e mais leve e um silencioso., Bom., Ótimo produto, fofo, mas mismatcg, melhor para uso diário, bom produto, este rato de seixos é apenas fascinante para usar</v>
      </c>
      <c r="E855" s="29" t="str">
        <f>IFERROR(__xludf.DUMMYFUNCTION("GOOGLETRANSLATE(C855, ""en"", ""pt-br"")"),"É um bom mouse Bluetooth. Conecta -se em 1 segundo. A bateria é excelente, depois de quase 2 meses de uso, ainda está em 100 %. Lil caro, mais elegante, se estiver no seu orçamento ou em torno dele, pegue -o. Não é para jogos!, São pequenos ratos ergonômi"&amp;"cos, eu apenas o usei para fins de trabalho leve. Mas a sensação silenciosa e fina enquanto clica., Se você deseja um mouse compacto, pequeno, eficiente e bonito, você pode comprar isso. Mas um pouco mais de preço., É um bom produto para o preço. Parece u"&amp;"m pouco velho, a cor parece um pouco ... Antigo, mas eu gosto, tipo: sem cliques, o som ergonômico é bom. , Fácil de usar, o Bluetooth funciona bem com o Mac e o Windows., Este mouse parece tão bom na mão, é o melhor que acompanha um ambiente Mac, me ajud"&amp;"a a me livrar da minha configuração com fio e conectar -se ao meu dispositivo Windows e Mac ao mesmo tempo em apenas um clique")</f>
        <v>É um bom mouse Bluetooth. Conecta -se em 1 segundo. A bateria é excelente, depois de quase 2 meses de uso, ainda está em 100 %. Lil caro, mais elegante, se estiver no seu orçamento ou em torno dele, pegue -o. Não é para jogos!, São pequenos ratos ergonômicos, eu apenas o usei para fins de trabalho leve. Mas a sensação silenciosa e fina enquanto clica., Se você deseja um mouse compacto, pequeno, eficiente e bonito, você pode comprar isso. Mas um pouco mais de preço., É um bom produto para o preço. Parece um pouco velho, a cor parece um pouco ... Antigo, mas eu gosto, tipo: sem cliques, o som ergonômico é bom. , Fácil de usar, o Bluetooth funciona bem com o Mac e o Windows., Este mouse parece tão bom na mão, é o melhor que acompanha um ambiente Mac, me ajuda a me livrar da minha configuração com fio e conectar -se ao meu dispositivo Windows e Mac ao mesmo tempo em apenas um clique</v>
      </c>
    </row>
    <row r="856">
      <c r="A856" s="9" t="s">
        <v>3396</v>
      </c>
      <c r="B856" s="29" t="str">
        <f>VLOOKUP(dados!A856, reviews!A:G, 5, FALSE)</f>
        <v>Great,Don't but space pencil,Ok,Best pencil,Nice pencil,It is ok,MRP on the box is 95,Best in its class!</v>
      </c>
      <c r="C856" s="29" t="str">
        <f>VLOOKUP(dados!A856, reviews!A:G, 6, FALSE)</f>
        <v>Value of Money ...,Amazing apsara changed my son is left handed it changed his handwriting good but space pencil is litte ok,Ok,Value for money.,Nice pencil,It is ok,https://m.media-amazon.com/images/I/71QfDO96QaL._SY88.jpg,One of the best option to save money.</v>
      </c>
      <c r="D856" s="29" t="str">
        <f>IFERROR(__xludf.DUMMYFUNCTION("GOOGLETRANSLATE(B856, ""en"", ""pt-br"")"),"Ótimo, não, mas lápis espacial, ok, melhor lápis, lápis agradável, tudo bem, o MRP na caixa é 95, melhor em sua classe!")</f>
        <v>Ótimo, não, mas lápis espacial, ok, melhor lápis, lápis agradável, tudo bem, o MRP na caixa é 95, melhor em sua classe!</v>
      </c>
      <c r="E856" s="29" t="str">
        <f>IFERROR(__xludf.DUMMYFUNCTION("GOOGLETRANSLATE(C856, ""en"", ""pt-br"")"),"Valor do dinheiro ..., Apsara incrível mudou meu filho é canhoto, mudou sua caligrafia boa, mas o lápis espacial é Litte OK, OK, valor ao dinheiro., Lápis bom, está ok, https: //m.media-amazon .com/imagens/i/71qfdo96qal._sy88.jpg, uma das melhores opções "&amp;"para economizar dinheiro.")</f>
        <v>Valor do dinheiro ..., Apsara incrível mudou meu filho é canhoto, mudou sua caligrafia boa, mas o lápis espacial é Litte OK, OK, valor ao dinheiro., Lápis bom, está ok, https: //m.media-amazon .com/imagens/i/71qfdo96qal._sy88.jpg, uma das melhores opções para economizar dinheiro.</v>
      </c>
    </row>
    <row r="857">
      <c r="A857" s="9" t="s">
        <v>3404</v>
      </c>
      <c r="B857" s="29" t="str">
        <f>VLOOKUP(dados!A857, reviews!A:G, 5, FALSE)</f>
        <v>Good product with less money,At this price ok ok.,Good product,Good mouse at this price range,Good,Good for daily use ke liye,Good,Good</v>
      </c>
      <c r="C857" s="29" t="str">
        <f>VLOOKUP(dados!A857, reviews!A:G, 6, FALSE)</f>
        <v>I love zebronics company the quality is really good,I almost use it for 1.5 year .Pros :)1) Light weight.2) long enough cable length.3) price justify quality.Cons :(1) middle button is not smooth.2) not heavy duty, I mean not for gaming.As I did, now looking for new mouse.😥Conclusion: =&gt; good for light use like web browsers,  coding,  etc.Warning ⚠️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v>
      </c>
      <c r="D857" s="29" t="str">
        <f>IFERROR(__xludf.DUMMYFUNCTION("GOOGLETRANSLATE(B857, ""en"", ""pt-br"")"),"Bom produto com menos dinheiro, a esse preço ok, ok., Bom produto, bom mouse a essa faixa de preço, bom, bom para uso diário ke liye, bom, bom")</f>
        <v>Bom produto com menos dinheiro, a esse preço ok, ok., Bom produto, bom mouse a essa faixa de preço, bom, bom para uso diário ke liye, bom, bom</v>
      </c>
      <c r="E857" s="29" t="str">
        <f>IFERROR(__xludf.DUMMYFUNCTION("GOOGLETRANSLATE(C857, ""en"", ""pt-br"")"),"Adoro a Zebronics Company A qualidade é realmente boa, quase a uso por 1,5 ano .Pros :) 1) Peso leve.2) comprimento suficiente do cabo.3) Preço justifique a qualidade.CONS: (1) O botão do meio não é suave. 2) Não é de serviço pesado, não é para jogos. Com"&amp;"o eu fiz, agora procurando um novo mouse.😥conclusão: =&gt; bom para uso leve, como navegadores da web, codificação, etc. Compre esta taxa de remessa de Rs 99 + da Flipkart, é um bom mouse leve, você pode carregar facilmente sacos por causa do design pequeno"&amp;" e parece bom. Você também pode fazer jogos decentes com este mouse.Great Mouse por esse preço, bom, este Preço este bom produto zebronics, que vale dinheiro, funciona bem")</f>
        <v>Adoro a Zebronics Company A qualidade é realmente boa, quase a uso por 1,5 ano .Pros :) 1) Peso leve.2) comprimento suficiente do cabo.3) Preço justifique a qualidade.CONS: (1) O botão do meio não é suave. 2) Não é de serviço pesado, não é para jogos. Como eu fiz, agora procurando um novo mouse.😥conclusão: =&gt; bom para uso leve, como navegadores da web, codificação, etc. Compre esta taxa de remessa de Rs 99 + da Flipkart, é um bom mouse leve, você pode carregar facilmente sacos por causa do design pequeno e parece bom. Você também pode fazer jogos decentes com este mouse.Great Mouse por esse preço, bom, este Preço este bom produto zebronics, que vale dinheiro, funciona bem</v>
      </c>
    </row>
    <row r="858">
      <c r="A858" s="9" t="s">
        <v>3408</v>
      </c>
      <c r="B858" s="29" t="str">
        <f>VLOOKUP(dados!A858, reviews!A:G, 5, FALSE)</f>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v>
      </c>
      <c r="C858" s="29" t="str">
        <f>VLOOKUP(dados!A858, reviews!A:G, 6, FALSE)</f>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v>
      </c>
      <c r="D858" s="29" t="str">
        <f>IFERROR(__xludf.DUMMYFUNCTION("GOOGLETRANSLATE(B858, ""en"", ""pt-br"")"),"É meio pesado e eu sugiro que você deve usar um mouse pad, eu não sou um jogador profissional, mas esse mouse faz o trabalho bem, mouse valioso, valor ao dinheiro, não compre se você planeja comprar isso para jogos fps , Bom de acordo com preços e especif"&amp;"icações, super aparência e mais mouse em destaque, produto perfeito")</f>
        <v>É meio pesado e eu sugiro que você deve usar um mouse pad, eu não sou um jogador profissional, mas esse mouse faz o trabalho bem, mouse valioso, valor ao dinheiro, não compre se você planeja comprar isso para jogos fps , Bom de acordo com preços e especificações, super aparência e mais mouse em destaque, produto perfeito</v>
      </c>
      <c r="E858" s="29" t="str">
        <f>IFERROR(__xludf.DUMMYFUNCTION("GOOGLETRANSLATE(C858, ""en"", ""pt-br"")"),"É muito bom, mas tem muito peso, mas depois de uma semana ou mais você se acostumará e o mouse exige uma almofada de mouse porque é pesada. Você pode encontrar uma boa almofada de mouse por 100rs na Amazon. É um mouse muito bom eu sugiro que você leve, ma"&amp;"s vai levar uma semana ou mais para se acostumar e eu realmente amo GM100, é fácil de segurar e é bom que a principal coisa que eu gosto é o clique que soa maravilhoso e funciona Bom o suficiente para jogos, quero dizer, cheguei a este mouse de um mouse d"&amp;"a Dell Office. Espero que esta revisão tenha ajudado você. Você pode comprar isso, mas mantenha isso é a mente de que tem muito peso, mas você se acostumará em uma semana ou mais, bom mouse, boa qualidade de cabo, cupom uau também presente. Que os botões "&amp;"principais, que têm um acabamento diferente, são ímãs de impressão digital e não parecem muito bons., O mouse é perfeito no preço do preço e a qualidade de construção também é boa, eu recomendaria comprá -lo .... mas eu Gostaria de classificar 3 estrelas "&amp;"para a embalagem porque não havia embalagem ... veio com uma caixa selada .., vale a pena comprar. Cliques suaves e sem barulho, não compre este mouse se estiver planejando jogar jogos FPS (valorante, csgo etc.), o que quero dizer é que se há um jogo que "&amp;"envolve uma jogabilidade precisa e precisa, não compre isso. Parece legal, mas tudo isso. ₹ 799 e as especificações são excelentes como mencionadas e uma boa sensação, apenas o problema está acima do peso, este mouse está perfeitamente indo bem. O cabo tr"&amp;"ançado, o interruptor DPI, os efeitos do LED, o controle sobre a mão é perfeitamente construído. E tudo isso em apenas Rs. 650. Eu pesquisei muito, mas nessa faixa de preço é o melhor.")</f>
        <v>É muito bom, mas tem muito peso, mas depois de uma semana ou mais você se acostumará e o mouse exige uma almofada de mouse porque é pesada. Você pode encontrar uma boa almofada de mouse por 100rs na Amazon. É um mouse muito bom eu sugiro que você leve, mas vai levar uma semana ou mais para se acostumar e eu realmente amo GM100, é fácil de segurar e é bom que a principal coisa que eu gosto é o clique que soa maravilhoso e funciona Bom o suficiente para jogos, quero dizer, cheguei a este mouse de um mouse da Dell Office. Espero que esta revisão tenha ajudado você. Você pode comprar isso, mas mantenha isso é a mente de que tem muito peso, mas você se acostumará em uma semana ou mais, bom mouse, boa qualidade de cabo, cupom uau também presente. Que os botões principais, que têm um acabamento diferente, são ímãs de impressão digital e não parecem muito bons., O mouse é perfeito no preço do preço e a qualidade de construção também é boa, eu recomendaria comprá -lo .... mas eu Gostaria de classificar 3 estrelas para a embalagem porque não havia embalagem ... veio com uma caixa selada .., vale a pena comprar. Cliques suaves e sem barulho, não compre este mouse se estiver planejando jogar jogos FPS (valorante, csgo etc.), o que quero dizer é que se há um jogo que envolve uma jogabilidade precisa e precisa, não compre isso. Parece legal, mas tudo isso. ₹ 799 e as especificações são excelentes como mencionadas e uma boa sensação, apenas o problema está acima do peso, este mouse está perfeitamente indo bem. O cabo trançado, o interruptor DPI, os efeitos do LED, o controle sobre a mão é perfeitamente construído. E tudo isso em apenas Rs. 650. Eu pesquisei muito, mas nessa faixa de preço é o melhor.</v>
      </c>
    </row>
    <row r="859">
      <c r="A859" s="9" t="s">
        <v>213</v>
      </c>
      <c r="B859" s="29" t="str">
        <f>VLOOKUP(dados!A859, reviews!A:G, 5, FALSE)</f>
        <v>Its slow in charging,Ok product,Looks good, but charges slow,very slow charing.,Poor quality, iPhone part will last for two months only, other two are ok,Charger,Product ok,Slow charging</v>
      </c>
      <c r="C859" s="29" t="str">
        <f>VLOOKUP(dados!A859, reviews!A:G, 6, FALSE)</f>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v>
      </c>
      <c r="D859" s="29" t="str">
        <f>IFERROR(__xludf.DUMMYFUNCTION("GOOGLETRANSLATE(B859, ""en"", ""pt-br"")"),"É lento no carregamento, o OK Product, parece bom, mas cargas lentas, muito lentas.")</f>
        <v>É lento no carregamento, o OK Product, parece bom, mas cargas lentas, muito lentas.</v>
      </c>
      <c r="E859" s="29" t="str">
        <f>IFERROR(__xludf.DUMMYFUNCTION("GOOGLETRANSLATE(C859, ""en"", ""pt-br"")"),"O poder de carregamento é muito menor. Leva horas para carregar até um único telefone., OK Tipo de produto. Não é muito resistente, embora esteja escrito de carregamento rápido. No entanto, ele cobra bastante lento em comparação com os carregadores origin"&amp;"ais, mesmo quando um celular é cobrado ao mesmo tempo. Ao usar este cabo para o mesmo soquete e carregador, mostrando 10 horas, carregador de iPhone duram apenas dois meses, carregando não rápido e lento carregamento4500amh bateria18 watt carregador 4 kha"&amp;"nt carga completa, velocidade de carregamento lento")</f>
        <v>O poder de carregamento é muito menor. Leva horas para carregar até um único telefone., OK Tipo de produto. Não é muito resistente, embora esteja escrito de carregamento rápido. No entanto, ele cobra bastante lento em comparação com os carregadores originais, mesmo quando um celular é cobrado ao mesmo tempo. Ao usar este cabo para o mesmo soquete e carregador, mostrando 10 horas, carregador de iPhone duram apenas dois meses, carregando não rápido e lento carregamento4500amh bateria18 watt carregador 4 khant carga completa, velocidade de carregamento lento</v>
      </c>
    </row>
    <row r="860">
      <c r="A860" s="9" t="s">
        <v>3413</v>
      </c>
      <c r="B860" s="29" t="str">
        <f>VLOOKUP(dados!A860, reviews!A:G, 5, FALSE)</f>
        <v>It's good,Good,One of the few items on amazon that are original,Awesome!,Nice quality products 👍,Best price,Nice pen,Good pen</v>
      </c>
      <c r="C860" s="29" t="str">
        <f>VLOOKUP(dados!A860, reviews!A:G, 6, FALSE)</f>
        <v>Everything is fine but it's bit dark and stickey.It's good.,Didn't verified for water resistant 😜. But product is good,just one issue of non- cartridge system 😂😅. For save tree campaign 😋,It's good to have original products,I really like these pens, they write pretty well, good looking and grip is pretty good.Not good for smooth papers, it will eventually smidge.,Good👍,Best price,Pen was not working on exam answer sheet but pen is working on copy and books. Pen is good,Good pen  but too pricy</v>
      </c>
      <c r="D860" s="29" t="str">
        <f>IFERROR(__xludf.DUMMYFUNCTION("GOOGLETRANSLATE(B860, ""en"", ""pt-br"")"),"É bom, bom, um dos poucos itens na Amazon que são originais, incríveis!, Produtos de boa qualidade 👍, melhor preço, caneta agradável, boa caneta")</f>
        <v>É bom, bom, um dos poucos itens na Amazon que são originais, incríveis!, Produtos de boa qualidade 👍, melhor preço, caneta agradável, boa caneta</v>
      </c>
      <c r="E860" s="29" t="str">
        <f>IFERROR(__xludf.DUMMYFUNCTION("GOOGLETRANSLATE(C860, ""en"", ""pt-br"")"),"Está tudo bem, mas é um pouco escuro e Stickey. É bom., Não verificado para resistente à água 😜. Mas o produto é bom, apenas uma edição do sistema não-cartucho 😂😅. Para salvar campanha de árvores 😋, é bom ter produtos originais, eu realmente gosto des"&amp;"sas canetas, elas escrevem muito bem, boa aparência e aderência são muito boas. Não é bom para papéis suaves, ele acabará por dar um bom preço. Pen não estava trabalhando na folha de respostas dos exames, mas a PEN está trabalhando em cópias e livros. Can"&amp;"eta é boa, boa caneta, mas muito caro")</f>
        <v>Está tudo bem, mas é um pouco escuro e Stickey. É bom., Não verificado para resistente à água 😜. Mas o produto é bom, apenas uma edição do sistema não-cartucho 😂😅. Para salvar campanha de árvores 😋, é bom ter produtos originais, eu realmente gosto dessas canetas, elas escrevem muito bem, boa aparência e aderência são muito boas. Não é bom para papéis suaves, ele acabará por dar um bom preço. Pen não estava trabalhando na folha de respostas dos exames, mas a PEN está trabalhando em cópias e livros. Caneta é boa, boa caneta, mas muito caro</v>
      </c>
    </row>
    <row r="861">
      <c r="A861" s="9" t="s">
        <v>3417</v>
      </c>
      <c r="B861" s="29" t="str">
        <f>VLOOKUP(dados!A861, reviews!A:G, 5, FALSE)</f>
        <v>Good for gaming.,Worst earbuds,Not upto Expectation mark,Good enough,Worth it,Not suitable for long use,Ear pain,Sound quality and build quality is good 2022 its a best choise</v>
      </c>
      <c r="C861" s="29" t="str">
        <f>VLOOKUP(dados!A861, reviews!A:G, 6, FALSE)</f>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v>
      </c>
      <c r="D861" s="29" t="str">
        <f>IFERROR(__xludf.DUMMYFUNCTION("GOOGLETRANSLATE(B861, ""en"", ""pt-br"")"),"Bom para jogos., Pior fones de ouvido, não até o ponto de expectativa, bom o suficiente, vale a pena, não é adequado para uso longo, dor de ouvido, qualidade de som e qualidade de construção é boa 2022 é uma melhor opção")</f>
        <v>Bom para jogos., Pior fones de ouvido, não até o ponto de expectativa, bom o suficiente, vale a pena, não é adequado para uso longo, dor de ouvido, qualidade de som e qualidade de construção é boa 2022 é uma melhor opção</v>
      </c>
      <c r="E861" s="29" t="str">
        <f>IFERROR(__xludf.DUMMYFUNCTION("GOOGLETRANSLATE(C861, ""en"", ""pt-br"")"),"Bom apenas para jogos. Fora isso, a qualidade do som não é tão boa quanto outros modelos. (Eu usei 181 e ainda prefiro que mais de 191). Backup é definitivamente melhor, mas o caso se esgota rapidamente devido ao fato de os LEDs serem iluminados toda vez "&amp;"que você colocou o As vagens de volta. A qualidade do som desses fones de ouvido faz meus ouvidos sangrarem. Dá um certo som estático quando está em silêncio. A única coisa chamativa é que ele foi liderado. Fora isso a esse preço, você pode conseguir outr"&amp;"as pessoas. Não vá em frente. Genuinamente., Depende de ouvidos depende; estava citando a dor a princípio, a qualidade do som bem, o cancelamento de noice precisa ser melhorado! ,, um lado não está funcionando, isso é bom para quem quer brotos maiores e o"&amp;" tamanho do .. é maior do que O normal, para que possa cair seus ouvidos e .. principalmente, ele foi automaticamente desligado ... Não sei por que, bom ... mas depois de alguns tempos de tempo começa a pegar .. muito, qualidade de som e qualidade de cons"&amp;"trução é boa 2022 é uma melhor escolha")</f>
        <v>Bom apenas para jogos. Fora isso, a qualidade do som não é tão boa quanto outros modelos. (Eu usei 181 e ainda prefiro que mais de 191). Backup é definitivamente melhor, mas o caso se esgota rapidamente devido ao fato de os LEDs serem iluminados toda vez que você colocou o As vagens de volta. A qualidade do som desses fones de ouvido faz meus ouvidos sangrarem. Dá um certo som estático quando está em silêncio. A única coisa chamativa é que ele foi liderado. Fora isso a esse preço, você pode conseguir outras pessoas. Não vá em frente. Genuinamente., Depende de ouvidos depende; estava citando a dor a princípio, a qualidade do som bem, o cancelamento de noice precisa ser melhorado! ,, um lado não está funcionando, isso é bom para quem quer brotos maiores e o tamanho do .. é maior do que O normal, para que possa cair seus ouvidos e .. principalmente, ele foi automaticamente desligado ... Não sei por que, bom ... mas depois de alguns tempos de tempo começa a pegar .. muito, qualidade de som e qualidade de construção é boa 2022 é uma melhor escolha</v>
      </c>
    </row>
    <row r="862">
      <c r="A862" s="9" t="s">
        <v>3421</v>
      </c>
      <c r="B862" s="29" t="str">
        <f>VLOOKUP(dados!A862, reviews!A:G, 5, FALSE)</f>
        <v>Does its job for the price,Not for music but calling,Good product - value for money,Not for Music Lovers, good otherwise,It not working now,Great look and light weight,Good earphones,Average performance</v>
      </c>
      <c r="C862" s="29" t="str">
        <f>VLOOKUP(dados!A862, reviews!A:G, 6, FALSE)</f>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v>
      </c>
      <c r="D862" s="29" t="str">
        <f>IFERROR(__xludf.DUMMYFUNCTION("GOOGLETRANSLATE(B862, ""en"", ""pt-br"")"),"Faz o seu trabalho pelo preço, não para música, mas chamando, bom produto - valor ao dinheiro, não para os amantes da música, caso contrário, não está funcionando agora, ótima aparência e peso leve, bons fones de ouvido, desempenho médio")</f>
        <v>Faz o seu trabalho pelo preço, não para música, mas chamando, bom produto - valor ao dinheiro, não para os amantes da música, caso contrário, não está funcionando agora, ótima aparência e peso leve, bons fones de ouvido, desempenho médio</v>
      </c>
      <c r="E862" s="29" t="str">
        <f>IFERROR(__xludf.DUMMYFUNCTION("GOOGLETRANSLATE(C862, ""en"", ""pt-br"")"),"Um produto peculiar no mercado. Boa qualidade de som e qualidade de construção para essa faixa de preço. A cor e a textura da madeira não serão as mesmas da imagem. Escrevendo esta resenha depois de usá -la por mais de um mês. Ainda não há problemas. Port"&amp;"anto, um bom orçamento de fone de ouvido com fio., Este produto é muito bom para chamar um propósito, sem dúvida. Feito de bosques definitivamente! Parece bonito, eu amo o design e o logotipo. Qualidade do som se você é um amante da música e gostaria de g"&amp;"astar um pouco mais do que eu recomendaria a Sony, Realme, barco. Mas não isso, isso soa como sapo! Estou muito decepcionado com a qualidade da música para isso., O produto é bom em termos de som, clareza de voz.mid baixo para música. Valor ao dinheiro. R"&amp;"ecompensado. .ta tentar postar uma revisão 6 meses após o uso., Não há baixo, mas um som plano enquanto ouve música. Também luto mantendo esses fones de ouvido fixados nos meus ouvidos, eles são enormes. Use -o apenas para fins de chamada., Antigo, ótima "&amp;"aparência e peso leve, qualidade e som são bons. Eu estava usando isso nos últimos quatro meses. Está funcionando bem. Se encaixa perfeitamente e leve.")</f>
        <v>Um produto peculiar no mercado. Boa qualidade de som e qualidade de construção para essa faixa de preço. A cor e a textura da madeira não serão as mesmas da imagem. Escrevendo esta resenha depois de usá -la por mais de um mês. Ainda não há problemas. Portanto, um bom orçamento de fone de ouvido com fio., Este produto é muito bom para chamar um propósito, sem dúvida. Feito de bosques definitivamente! Parece bonito, eu amo o design e o logotipo. Qualidade do som se você é um amante da música e gostaria de gastar um pouco mais do que eu recomendaria a Sony, Realme, barco. Mas não isso, isso soa como sapo! Estou muito decepcionado com a qualidade da música para isso., O produto é bom em termos de som, clareza de voz.mid baixo para música. Valor ao dinheiro. Recompensado. .ta tentar postar uma revisão 6 meses após o uso., Não há baixo, mas um som plano enquanto ouve música. Também luto mantendo esses fones de ouvido fixados nos meus ouvidos, eles são enormes. Use -o apenas para fins de chamada., Antigo, ótima aparência e peso leve, qualidade e som são bons. Eu estava usando isso nos últimos quatro meses. Está funcionando bem. Se encaixa perfeitamente e leve.</v>
      </c>
    </row>
    <row r="863">
      <c r="A863" s="9" t="s">
        <v>3425</v>
      </c>
      <c r="B863" s="29" t="str">
        <f>VLOOKUP(dados!A863, reviews!A:G, 5, FALSE)</f>
        <v>Very nice quality,Good one for office use,Good,Try na cool.,avearage,Nicee,अच्छा है,ABC</v>
      </c>
      <c r="C863" s="29" t="str">
        <f>VLOOKUP(dados!A863, reviews!A:G, 6, FALSE)</f>
        <v>I wanted it for my shop laptop , i am using it on a grass mat, quality is nice, working very nice.,Good 👍,, print colour also still there,Useful and easy to handle 😜,Happy ENDING.,it is ok,Very Good,अच्छा की,ABC</v>
      </c>
      <c r="D863" s="29" t="str">
        <f>IFERROR(__xludf.DUMMYFUNCTION("GOOGLETRANSLATE(B863, ""en"", ""pt-br"")"),"Muito boa qualidade, boa para uso no escritório, bom, tente na Cool., AvaeRage, nicee, अच्छा है, ABC")</f>
        <v>Muito boa qualidade, boa para uso no escritório, bom, tente na Cool., AvaeRage, nicee, अच्छा है, ABC</v>
      </c>
      <c r="E863" s="29" t="str">
        <f>IFERROR(__xludf.DUMMYFUNCTION("GOOGLETRANSLATE(C863, ""en"", ""pt-br"")"),"Eu queria isso para o meu laptop de lojas, estou usando -o em um tapete de grama, a qualidade é agradável, funcionando muito bem., Bom 👍 ,, cor de impressão também ainda lá, útil e fácil de lidar 😜, final feliz., Está tudo bem , Muito bom, अच्छा की, ABC")</f>
        <v>Eu queria isso para o meu laptop de lojas, estou usando -o em um tapete de grama, a qualidade é agradável, funcionando muito bem., Bom 👍 ,, cor de impressão também ainda lá, útil e fácil de lidar 😜, final feliz., Está tudo bem , Muito bom, अच्छा की, ABC</v>
      </c>
    </row>
    <row r="864">
      <c r="A864" s="9" t="s">
        <v>3429</v>
      </c>
      <c r="B864" s="29" t="str">
        <f>VLOOKUP(dados!A864, reviews!A:G, 5, FALSE)</f>
        <v>Good quality,Bindaas watch,Good,Must buy,The LCD display is much better than shown in images or videos,Love to Noise Brand,Good product battery backup good,Nice one</v>
      </c>
      <c r="C864" s="29" t="str">
        <f>VLOOKUP(dados!A864, reviews!A:G, 6, FALSE)</f>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v>
      </c>
      <c r="D864" s="29" t="str">
        <f>IFERROR(__xludf.DUMMYFUNCTION("GOOGLETRANSLATE(B864, ""en"", ""pt-br"")"),"Boa qualidade, relógio bindAas, bom, deve comprar, a tela LCD é muito melhor do que mostrada em imagens ou vídeos, amor para ruído, marca, bom backup de bateria de produto, bom, bom")</f>
        <v>Boa qualidade, relógio bindAas, bom, deve comprar, a tela LCD é muito melhor do que mostrada em imagens ou vídeos, amor para ruído, marca, bom backup de bateria de produto, bom, bom</v>
      </c>
      <c r="E864" s="29" t="str">
        <f>IFERROR(__xludf.DUMMYFUNCTION("GOOGLETRANSLATE(C864, ""en"", ""pt-br"")"),"Levando para a escola ou exercício, deve comprá -lo, se você estiver olhando para algo que o barulho dos melhores, eu gosto muito, bom a esse preço, este é um produto excepcional. Este é o melhor relógio com menos de 3000rs com os recursos máximos, eu ent"&amp;"reguei a alguém, quando lhe dei, ele é muito feliz e o recurso de produto é bom junto com o toque., Bom, mas não funcionando, controlador de música, bom")</f>
        <v>Levando para a escola ou exercício, deve comprá -lo, se você estiver olhando para algo que o barulho dos melhores, eu gosto muito, bom a esse preço, este é um produto excepcional. Este é o melhor relógio com menos de 3000rs com os recursos máximos, eu entreguei a alguém, quando lhe dei, ele é muito feliz e o recurso de produto é bom junto com o toque., Bom, mas não funcionando, controlador de música, bom</v>
      </c>
    </row>
    <row r="865">
      <c r="A865" s="9" t="s">
        <v>3433</v>
      </c>
      <c r="B865" s="29" t="str">
        <f>VLOOKUP(dados!A865, reviews!A:G, 5, FALSE)</f>
        <v>🌟🌟🌟🌟,Good product,Nice product,Product quality is good and price is also very good,Easy to install,Nice product at this rate,Not gona regret after buying it,Best caddy in the market</v>
      </c>
      <c r="C865" s="29" t="str">
        <f>VLOOKUP(dados!A865, reviews!A:G, 6, FALSE)</f>
        <v>GO FOR IT BUT I MADE SOME CHANGES TO FIX MY DVD DRIVE HINGE IN THIS CADDY.NEED TO PRECISION THIS PRODUCT FOR FIXING HINGE IN DELL 3542. 🌟🌟🌟🌟,Product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v>
      </c>
      <c r="D865" s="29" t="str">
        <f>IFERROR(__xludf.DUMMYFUNCTION("GOOGLETRANSLATE(B865, ""en"", ""pt-br"")"),"🌟🌟🌟🌟, bom produto, bom produto, qualidade do produto é bom e o preço também é muito bom, fácil de instalar, bom produto a esse ritmo, não se arrependo depois de comprá -lo, o melhor caddy do mercado")</f>
        <v>🌟🌟🌟🌟, bom produto, bom produto, qualidade do produto é bom e o preço também é muito bom, fácil de instalar, bom produto a esse ritmo, não se arrependo depois de comprá -lo, o melhor caddy do mercado</v>
      </c>
      <c r="E865" s="29" t="str">
        <f>IFERROR(__xludf.DUMMYFUNCTION("GOOGLETRANSLATE(C865, ""en"", ""pt-br"")"),"Vá em frente, mas fiz algumas alterações para corrigir minha dobradiça de acionamento de DVD neste caddy. Via substituindo o driver DVD. Vá em frente., É um bom produto geral com qualidade decente, atualize para o SSD, eu estou querendo atualizar para um "&amp;"SSD há muito tempo. Se eu tivesse ido a uma loja, suas acusações teriam sido muito altas, então pensei em instalar o SSD. Agora eu precisava de um caddy de disco rígido que cheguei aqui por um preço baixo. E a coisa boa sobre isso é que é muito fácil de i"&amp;"nstalar. Apenas uma coisa estava faltando, não havia lugar para colocar o parafuso. Isso não me incomodou. Talvez meu laptop seja muito velho, não seria necessário no novo. Veja a foto não. Em 4.Tuything, tudo é um ótimo preço baixo e super fácil de insta"&amp;"lar., Fácil de usar e funcionar muito bem ..., o pacote inclui caddy, parafusos e um pequeno motor de fenda para o qual eu estava realmente preocupado porque alguns deles não dão Dentro da qualidade da embalagem, vale a pena comprar, a qualidade da constr"&amp;"ução era boa, todos os acessórios foram fornecidos no próprio pacote.")</f>
        <v>Vá em frente, mas fiz algumas alterações para corrigir minha dobradiça de acionamento de DVD neste caddy. Via substituindo o driver DVD. Vá em frente., É um bom produto geral com qualidade decente, atualize para o SSD, eu estou querendo atualizar para um SSD há muito tempo. Se eu tivesse ido a uma loja, suas acusações teriam sido muito altas, então pensei em instalar o SSD. Agora eu precisava de um caddy de disco rígido que cheguei aqui por um preço baixo. E a coisa boa sobre isso é que é muito fácil de instalar. Apenas uma coisa estava faltando, não havia lugar para colocar o parafuso. Isso não me incomodou. Talvez meu laptop seja muito velho, não seria necessário no novo. Veja a foto não. Em 4.Tuything, tudo é um ótimo preço baixo e super fácil de instalar., Fácil de usar e funcionar muito bem ..., o pacote inclui caddy, parafusos e um pequeno motor de fenda para o qual eu estava realmente preocupado porque alguns deles não dão Dentro da qualidade da embalagem, vale a pena comprar, a qualidade da construção era boa, todos os acessórios foram fornecidos no próprio pacote.</v>
      </c>
    </row>
    <row r="866">
      <c r="A866" s="9" t="s">
        <v>3439</v>
      </c>
      <c r="B866" s="29" t="str">
        <f>VLOOKUP(dados!A866, reviews!A:G, 5, FALSE)</f>
        <v>Just gets the job done. Not so fast as it says,Ok ok for value for money,Good product,Good quality at this price range,Good product,Good value for money.,Good product,Similar performance to Ultra series card</v>
      </c>
      <c r="C866" s="29" t="str">
        <f>VLOOKUP(dados!A866, reviews!A:G, 6, FALSE)</f>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v>
      </c>
      <c r="D866" s="29" t="str">
        <f>IFERROR(__xludf.DUMMYFUNCTION("GOOGLETRANSLATE(B866, ""en"", ""pt-br"")"),"Apenas faz o trabalho. Não é tão rápido como diz, ok, ok, por relação ao dinheiro, bom produto, boa qualidade nessa faixa de preço, bom produto, boa relação custo")</f>
        <v>Apenas faz o trabalho. Não é tão rápido como diz, ok, ok, por relação ao dinheiro, bom produto, boa qualidade nessa faixa de preço, bom produto, boa relação custo</v>
      </c>
      <c r="E866" s="29" t="str">
        <f>IFERROR(__xludf.DUMMYFUNCTION("GOOGLETRANSLATE(C866, ""en"", ""pt-br"")"),"As velocidades de gravação são de platô em torno de 18 Mbps e não de 140 Mbps. Essa é uma lacuna muito grande. Em que universo eles o testaram. Está tudo bem; Estou decepcionado com sua performance., Este cartão oferece 200 Mbps, mas só pode ser alcançado"&amp;" com o Scandisk Card Reader outros com outro leitor de cartão, ele estará perto de 100-130 Mbps, velocidade de leitura .., produto geral bom, mas 1/4 "" O parafuso é apenas um., boa qualidade nessa faixa de preço, se encaixa exatamente para a Canon 600D, "&amp;"a capacidade de armazenamento é boa. A velocidade parece boa. Boa relação custo -benefício., o produto é bom e rápido o suficiente para a transferência de dados de imagens da câmera. No entanto, O preço não é amigável. Deve ser menor em comparação com o E"&amp;"xtreme Pro, eu estava usando o Sandisk Ultra 32 GB, bgt esta carta para velocidade, mas não vi nenhuma diferença nos dois cartões. Sem uso de cartão de atualização da placa Ultra Series. O cartão é bom e pode ser com o cartão Ultra Series DOR, desempenho "&amp;"semelhante a um custo menor.")</f>
        <v>As velocidades de gravação são de platô em torno de 18 Mbps e não de 140 Mbps. Essa é uma lacuna muito grande. Em que universo eles o testaram. Está tudo bem; Estou decepcionado com sua performance., Este cartão oferece 200 Mbps, mas só pode ser alcançado com o Scandisk Card Reader outros com outro leitor de cartão, ele estará perto de 100-130 Mbps, velocidade de leitura .., produto geral bom, mas 1/4 " O parafuso é apenas um., boa qualidade nessa faixa de preço, se encaixa exatamente para a Canon 600D, a capacidade de armazenamento é boa. A velocidade parece boa. Boa relação custo -benefício., o produto é bom e rápido o suficiente para a transferência de dados de imagens da câmera. No entanto, O preço não é amigável. Deve ser menor em comparação com o Extreme Pro, eu estava usando o Sandisk Ultra 32 GB, bgt esta carta para velocidade, mas não vi nenhuma diferença nos dois cartões. Sem uso de cartão de atualização da placa Ultra Series. O cartão é bom e pode ser com o cartão Ultra Series DOR, desempenho semelhante a um custo menor.</v>
      </c>
    </row>
    <row r="867">
      <c r="A867" s="9" t="s">
        <v>3443</v>
      </c>
      <c r="B867" s="29" t="str">
        <f>VLOOKUP(dados!A867, reviews!A:G, 5, FALSE)</f>
        <v>Its okay!,Good product,battery life is decent and call quality is impressive,battery is not good,Good product,Nice watch,Good,Not for accuracy,Good looking and beautiful display</v>
      </c>
      <c r="C867" s="29" t="str">
        <f>VLOOKUP(dados!A867, reviews!A:G, 6, FALSE)</f>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v>
      </c>
      <c r="D867" s="29" t="str">
        <f>IFERROR(__xludf.DUMMYFUNCTION("GOOGLETRANSLATE(B867, ""en"", ""pt-br"")"),"Tudo bem!, Bom produto, a duração da bateria é decente e a qualidade das chamadas é impressionante, a bateria não é boa, bom produto, bom relógio, bom, não para precisão, exibição bonita e bonita")</f>
        <v>Tudo bem!, Bom produto, a duração da bateria é decente e a qualidade das chamadas é impressionante, a bateria não é boa, bom produto, bom relógio, bom, não para precisão, exibição bonita e bonita</v>
      </c>
      <c r="E867" s="29" t="str">
        <f>IFERROR(__xludf.DUMMYFUNCTION("GOOGLETRANSLATE(C867, ""en"", ""pt-br"")"),"Comprei para 2299! Se você queria ter uma maçã, parece um relógio, aqui você tem um anel de fogo de fogo sem dúvida! Mas se você está procurando, na verdade, vale a pena assistir por recursos e precisão, então vá com outro! A bateria é de quase 4-5 dias s"&amp;"em ligar! Inshort vá com isso apenas se você quiser aparecer ou um relógio bonito, tudo, tudo bem!, A duração da bateria é decente, dura até 4 dias com uso normal, a bateria é um dreno muito rápido, mas outros recursos são bons, o desempenho geral é bom, "&amp;"bom relógio Produto útil, usando fins de chamada, bom para o orçamento, bom menos de 2500")</f>
        <v>Comprei para 2299! Se você queria ter uma maçã, parece um relógio, aqui você tem um anel de fogo de fogo sem dúvida! Mas se você está procurando, na verdade, vale a pena assistir por recursos e precisão, então vá com outro! A bateria é de quase 4-5 dias sem ligar! Inshort vá com isso apenas se você quiser aparecer ou um relógio bonito, tudo, tudo bem!, A duração da bateria é decente, dura até 4 dias com uso normal, a bateria é um dreno muito rápido, mas outros recursos são bons, o desempenho geral é bom, bom relógio Produto útil, usando fins de chamada, bom para o orçamento, bom menos de 2500</v>
      </c>
    </row>
    <row r="868">
      <c r="A868" s="9" t="s">
        <v>3447</v>
      </c>
      <c r="B868" s="29" t="str">
        <f>VLOOKUP(dados!A868, reviews!A:G, 5, FALSE)</f>
        <v>Must have product,silent but not fully.,Good product,great product,Best value for money,Sleek &amp; Smooth,Good buy,Just buy it !!!</v>
      </c>
      <c r="C868" s="29" t="str">
        <f>VLOOKUP(dados!A868, reviews!A:G, 6, FALSE)</f>
        <v>It’s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v>
      </c>
      <c r="D868" s="29" t="str">
        <f>IFERROR(__xludf.DUMMYFUNCTION("GOOGLETRANSLATE(B868, ""en"", ""pt-br"")"),"Deve ter produto, silencioso, mas não totalmente., Bom produto, ótimo produto, melhor valor para dinheiro, elegante e suave, boa compra, basta comprar !!!")</f>
        <v>Deve ter produto, silencioso, mas não totalmente., Bom produto, ótimo produto, melhor valor para dinheiro, elegante e suave, boa compra, basta comprar !!!</v>
      </c>
      <c r="E868" s="29" t="str">
        <f>IFERROR(__xludf.DUMMYFUNCTION("GOOGLETRANSLATE(C868, ""en"", ""pt-br"")"),"É uma aparência obrigatória, fácil de usar. Fácil de lidar. O Bluetooth apenas se conecta sem costura. Eu adorei, é silencioso do que o normal, mas não totalmente silencioso. No geral, bom produto, bom produto, para ser sincero, este é o mouse perfeito pa"&amp;"ra o escritório, é confortável quando você se acostuma. A conexão sem dongle é a melhor parte., Design muito elegante, trabalho suave, fácil de segurar, silencioso., Trabalha com 2 sistemas. Conectividade é boa. Controle o DPI com um clique, excelente pro"&amp;"duto, muito fácil de usar e transportar.")</f>
        <v>É uma aparência obrigatória, fácil de usar. Fácil de lidar. O Bluetooth apenas se conecta sem costura. Eu adorei, é silencioso do que o normal, mas não totalmente silencioso. No geral, bom produto, bom produto, para ser sincero, este é o mouse perfeito para o escritório, é confortável quando você se acostuma. A conexão sem dongle é a melhor parte., Design muito elegante, trabalho suave, fácil de segurar, silencioso., Trabalha com 2 sistemas. Conectividade é boa. Controle o DPI com um clique, excelente produto, muito fácil de usar e transportar.</v>
      </c>
    </row>
    <row r="869">
      <c r="A869" s="9" t="s">
        <v>3451</v>
      </c>
      <c r="B869" s="29" t="str">
        <f>VLOOKUP(dados!A869, reviews!A:G, 5, FALSE)</f>
        <v>Great at this price range,This propods are overall good .,Avarege but call facility bad,sometimes not working properly,Not worth it,Nice product,Good for music but not for calls,Awesome Quality TWS ✌️</v>
      </c>
      <c r="C869" s="29" t="str">
        <f>VLOOKUP(dados!A869, reviews!A:G, 6, FALSE)</f>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👍,I am not sure what to say! It's good for music but not useful for use for calls extremely non useful if you will speak anything the person other side  hear anything,</v>
      </c>
      <c r="D869" s="29" t="str">
        <f>IFERROR(__xludf.DUMMYFUNCTION("GOOGLETRANSLATE(B869, ""en"", ""pt-br"")"),"Ótimo nessa faixa de preço, esses propods são bons.")</f>
        <v>Ótimo nessa faixa de preço, esses propods são bons.</v>
      </c>
      <c r="E869" s="29" t="str">
        <f>IFERROR(__xludf.DUMMYFUNCTION("GOOGLETRANSLATE(C869, ""en"", ""pt-br"")"),"Ótima qualidade em geral nessa faixa de preço. O BASS é muito baixo, mas não tão baixo que parecerá ruim. Mais de um som equilibrado. Para observar: o microfone está disponível nos dois brotos, mas trabalhará em apenas 1 broto por vez. Qualquer botão que "&amp;"você puxará da caixa que só funcionará. Mas, se você usar apenas 1 botão, qualquer um deles funcionará porque qualquer um deles pode ser usado como mestre. Você pode usar apenas um (qualquer um deles) em Um horário e você pode usar o microfone para chamad"&amp;"as, controles de toque para receber ou cortar chamadas. Ou então toque/pause música. Mas esse uso dinâmico de microfone tem algum bug. Às vezes, essa mudança não acontece corretamente e o microfone não funciona ou o outro broto que está dentro da caixa po"&amp;"de ter o microfone ativo iniciado, para que a pessoa com quem você esteja falando se queixasse da voz não está chegando. Ou algum tempo pode ser abafado de áudio. Opere ambos os brotos dentro da caixa e depois retire novamente para redefini -la e funciona"&amp;"rá novamente corretamente.1 Tempo eu enfrentei o erro de que, mesmo depois de colocar os dois brotos dentro, não os fez e eles continuaram conectados para celular. Precisa falar em voz muito baixa. O backup de battery é quase o mesmo que reivindicado. Voc"&amp;"ê pode assistir filmes, ligar para o período de ling e ouvir o dia inteiro sem a necessidade de carregar a caixa. São bons. Não sei que esta peça está danificada ou meu sistema está atrasado, o atraso de som acontece em qualquer aleatório. Mas isso soa be"&amp;"m, bom produto. Como esperado, depois de alguns dias, o fone de ouvido esquerdo não está funcionando ..., parecendo bem, mas não funcionando bem ..., eu já tive os fones de ouvido com fio de Boult e os amei. Mas isso está muito longe da marca. O caso é fr"&amp;"ágil. Pode parecer resistente, mas é leve como uma pena. Os próprios fones de ouvido não se conectam, a menos que você os tire do caso. E mesmo quando o fazem, há uma voz muito alta anunciando -a. Para alguém como eu que não coloca o volume muito alto, es"&amp;"sa voz é realmente irritante. Também notei que o áudio corta às vezes. Não tenho idéia se isso é um problema de conectividade ou outra coisa. Em conclusão, basta optar por outra coisa. Este foi ruim por Boult., Bom produto 👍, não tenho certeza do que diz"&amp;"er! É bom para a música, mas não é útil para uso para chamadas extremamente úteis se você falar qualquer coisa que a pessoa de outro lado ouça qualquer coisa,")</f>
        <v>Ótima qualidade em geral nessa faixa de preço. O BASS é muito baixo, mas não tão baixo que parecerá ruim. Mais de um som equilibrado. Para observar: o microfone está disponível nos dois brotos, mas trabalhará em apenas 1 broto por vez. Qualquer botão que você puxará da caixa que só funcionará. Mas, se você usar apenas 1 botão, qualquer um deles funcionará porque qualquer um deles pode ser usado como mestre. Você pode usar apenas um (qualquer um deles) em Um horário e você pode usar o microfone para chamadas, controles de toque para receber ou cortar chamadas. Ou então toque/pause música. Mas esse uso dinâmico de microfone tem algum bug. Às vezes, essa mudança não acontece corretamente e o microfone não funciona ou o outro broto que está dentro da caixa pode ter o microfone ativo iniciado, para que a pessoa com quem você esteja falando se queixasse da voz não está chegando. Ou algum tempo pode ser abafado de áudio. Opere ambos os brotos dentro da caixa e depois retire novamente para redefini -la e funcionará novamente corretamente.1 Tempo eu enfrentei o erro de que, mesmo depois de colocar os dois brotos dentro, não os fez e eles continuaram conectados para celular. Precisa falar em voz muito baixa. O backup de battery é quase o mesmo que reivindicado. Você pode assistir filmes, ligar para o período de ling e ouvir o dia inteiro sem a necessidade de carregar a caixa. São bons. Não sei que esta peça está danificada ou meu sistema está atrasado, o atraso de som acontece em qualquer aleatório. Mas isso soa bem, bom produto. Como esperado, depois de alguns dias, o fone de ouvido esquerdo não está funcionando ..., parecendo bem, mas não funcionando bem ..., eu já tive os fones de ouvido com fio de Boult e os amei. Mas isso está muito longe da marca. O caso é frágil. Pode parecer resistente, mas é leve como uma pena. Os próprios fones de ouvido não se conectam, a menos que você os tire do caso. E mesmo quando o fazem, há uma voz muito alta anunciando -a. Para alguém como eu que não coloca o volume muito alto, essa voz é realmente irritante. Também notei que o áudio corta às vezes. Não tenho idéia se isso é um problema de conectividade ou outra coisa. Em conclusão, basta optar por outra coisa. Este foi ruim por Boult., Bom produto 👍, não tenho certeza do que dizer! É bom para a música, mas não é útil para uso para chamadas extremamente úteis se você falar qualquer coisa que a pessoa de outro lado ouça qualquer coisa,</v>
      </c>
    </row>
    <row r="870">
      <c r="A870" s="9" t="s">
        <v>3454</v>
      </c>
      <c r="B870" s="29" t="str">
        <f>VLOOKUP(dados!A870, reviews!A:G, 5, FALSE)</f>
        <v>minimum order quantity should be done away,Worthy,You can buy,300 pages = 150 sheets,Nothing,Awesome product,Nice product,It is a very nice notebook and worth buying and a very unique size(A5)</v>
      </c>
      <c r="C870" s="29" t="str">
        <f>VLOOKUP(dados!A870, reviews!A:G, 6, FALSE)</f>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v>
      </c>
      <c r="D870" s="29" t="str">
        <f>IFERROR(__xludf.DUMMYFUNCTION("GOOGLETRANSLATE(B870, ""en"", ""pt-br"")"),"A quantidade mínima de pedido deve ser eliminada, digna, você pode comprar, 300 páginas = 150 folhas, nada, produto incrível, bom produto, é um caderno muito bom e vale a pena comprar e um tamanho muito único (A5)")</f>
        <v>A quantidade mínima de pedido deve ser eliminada, digna, você pode comprar, 300 páginas = 150 folhas, nada, produto incrível, bom produto, é um caderno muito bom e vale a pena comprar e um tamanho muito único (A5)</v>
      </c>
      <c r="E870" s="29" t="str">
        <f>IFERROR(__xludf.DUMMYFUNCTION("GOOGLETRANSLATE(C870, ""en"", ""pt-br"")"),"Projetos de cópias de cópias seccionais- Páginas de cópias decentes- Páginas redondas- Páginas são um pouco finas, mas você as encontrará com qualidade decente. em cada seção .. ou seja, total de 290 páginas. Você não pode escolher o design, a qualidade f"&amp;"oi incrível, mas a aparência não é a mesma. O notebook é super, mas se você conseguir isso, poderá obter o mesmo que a imagem ou Diferentes. Seus dois tipos, você pode obter 1 opção de ligação metálica de ligação plástica de ligação plástica, é melhor e, "&amp;"se você obtiver a ligação de plástico, poderá substituí -lo., O papel é realmente suave. Comprei 26 delas a cada um de acordo com 100Great!, Tipo, https: //m.media-amazon.com/images/w/webp_402378-t2/images/i/71nmxjm0xxl._sy88.jpg,nice com páginas de quali"&amp;"dade premium, muito legal")</f>
        <v>Projetos de cópias de cópias seccionais- Páginas de cópias decentes- Páginas redondas- Páginas são um pouco finas, mas você as encontrará com qualidade decente. em cada seção .. ou seja, total de 290 páginas. Você não pode escolher o design, a qualidade foi incrível, mas a aparência não é a mesma. O notebook é super, mas se você conseguir isso, poderá obter o mesmo que a imagem ou Diferentes. Seus dois tipos, você pode obter 1 opção de ligação metálica de ligação plástica de ligação plástica, é melhor e, se você obtiver a ligação de plástico, poderá substituí -lo., O papel é realmente suave. Comprei 26 delas a cada um de acordo com 100Great!, Tipo, https: //m.media-amazon.com/images/w/webp_402378-t2/images/i/71nmxjm0xxl._sy88.jpg,nice com páginas de qualidade premium, muito legal</v>
      </c>
    </row>
    <row r="871">
      <c r="A871" s="9" t="s">
        <v>205</v>
      </c>
      <c r="B871" s="29" t="str">
        <f>VLOOKUP(dados!A871, reviews!A:G, 5, FALSE)</f>
        <v>Dual Bandwidth,It's good,Simple and effective,Easy plug and play,Only 200mbps support,Great Device for Old Laptops,Good device but be careful for a defective one.,Excellent Speeds and Coverage!</v>
      </c>
      <c r="C871" s="29" t="str">
        <f>VLOOKUP(dados!A871, reviews!A:G, 6, FALSE)</f>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v>
      </c>
      <c r="D871" s="29" t="str">
        <f>IFERROR(__xludf.DUMMYFUNCTION("GOOGLETRANSLATE(B871, ""en"", ""pt-br"")"),"Largura de banda dupla, é boa, simples e eficaz, plug and play, apenas suporte de 200 Mbps, ótimo dispositivo para laptops antigos, bom dispositivo, mas tenha cuidado com um defeituoso., Excelentes velocidades e cobertura!")</f>
        <v>Largura de banda dupla, é boa, simples e eficaz, plug and play, apenas suporte de 200 Mbps, ótimo dispositivo para laptops antigos, bom dispositivo, mas tenha cuidado com um defeituoso., Excelentes velocidades e cobertura!</v>
      </c>
      <c r="E871" s="29" t="str">
        <f>IFERROR(__xludf.DUMMYFUNCTION("GOOGLETRANSLATE(C871, ""en"", ""pt-br"")"),"Fácil de usar, é bom e útil, usava isso há algum tempo. Suporta bandas duplas. A cobertura do sinal ainda é como outros. Bom uso. Fácil de instalar e usar, excelente produto revivido pelo laptop antigo., Recebi este produto porque, por algum motivo, o Wi "&amp;"-Fi interno do meu laptop e o Bluetooth pararam de funcionar. Agora, existem opções para comprar dois dispositivos separados, mas isso resolve meu propósito e não se destaca. 2,4 GHz., É um bom dispositivo, boa força, plugue e reprodução, para que não sej"&amp;"a necessária instalação, mas conseguiu um dispositivo defeituoso primeiro, o mau funcionamento imediatamente ao conectar, substituí -lo por um novo e está funcionando bem., Usando -o para um casal de meses agora. Este provou ser o adaptador muito útil que"&amp;" eu precisava quando movi meu PC de Wired para Wireless em uma sala diferente. Obtendo velocidades de 148-149mbps nas minhas velocidades de assinatura de 150 Mbps.")</f>
        <v>Fácil de usar, é bom e útil, usava isso há algum tempo. Suporta bandas duplas. A cobertura do sinal ainda é como outros. Bom uso. Fácil de instalar e usar, excelente produto revivido pelo laptop antigo., Recebi este produto porque, por algum motivo, o Wi -Fi interno do meu laptop e o Bluetooth pararam de funcionar. Agora, existem opções para comprar dois dispositivos separados, mas isso resolve meu propósito e não se destaca. 2,4 GHz., É um bom dispositivo, boa força, plugue e reprodução, para que não seja necessária instalação, mas conseguiu um dispositivo defeituoso primeiro, o mau funcionamento imediatamente ao conectar, substituí -lo por um novo e está funcionando bem., Usando -o para um casal de meses agora. Este provou ser o adaptador muito útil que eu precisava quando movi meu PC de Wired para Wireless em uma sala diferente. Obtendo velocidades de 148-149mbps nas minhas velocidades de assinatura de 150 Mbps.</v>
      </c>
    </row>
    <row r="872">
      <c r="A872" s="9" t="s">
        <v>3459</v>
      </c>
      <c r="B872" s="29" t="str">
        <f>VLOOKUP(dados!A872, reviews!A:G, 5, FALSE)</f>
        <v>Quality,It's not fitting on keyboard,Transparency is not too good,Cost worthy,Just okay,Good quality,Workable,Durability and Quality</v>
      </c>
      <c r="C872" s="29" t="str">
        <f>VLOOKUP(dados!A872, reviews!A:G, 6, FALSE)</f>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v>
      </c>
      <c r="D872" s="29" t="str">
        <f>IFERROR(__xludf.DUMMYFUNCTION("GOOGLETRANSLATE(B872, ""en"", ""pt-br"")"),"Qualidade, não é adequado no teclado, a transparência não é muito boa, digna de custo, apenas boa, boa qualidade, viável, durabilidade e qualidade")</f>
        <v>Qualidade, não é adequado no teclado, a transparência não é muito boa, digna de custo, apenas boa, boa qualidade, viável, durabilidade e qualidade</v>
      </c>
      <c r="E872" s="29" t="str">
        <f>IFERROR(__xludf.DUMMYFUNCTION("GOOGLETRANSLATE(C872, ""en"", ""pt-br"")"),"Produto fino não muito feliz, mas ... melhor do que nada, é pequeno em tamanho, a transparência não é muito boa, uma relação custo / benefício de acordo com o custo., O comprimento é um pouco mais longo. Mas o produto vale o custo. Sua qualidade também é "&amp;"boa., Ok, a qualidade é boa, pouco grande para 15. 6 laptops, mas no geral, ok, a durabilidade do produto é melhor e a qualidade também. Você pode comprá -lo livremente com a intenção de proteger seu laptop do pó da poeira .")</f>
        <v>Produto fino não muito feliz, mas ... melhor do que nada, é pequeno em tamanho, a transparência não é muito boa, uma relação custo / benefício de acordo com o custo., O comprimento é um pouco mais longo. Mas o produto vale o custo. Sua qualidade também é boa., Ok, a qualidade é boa, pouco grande para 15. 6 laptops, mas no geral, ok, a durabilidade do produto é melhor e a qualidade também. Você pode comprá -lo livremente com a intenção de proteger seu laptop do pó da poeira .</v>
      </c>
    </row>
    <row r="873">
      <c r="A873" s="9" t="s">
        <v>3463</v>
      </c>
      <c r="B873" s="29" t="str">
        <f>VLOOKUP(dados!A873, reviews!A:G, 5, FALSE)</f>
        <v>Fine🤘🏻🙏🏻,Good,Best for kids,Easy clean and use,Nice product,bahut accha,Really liked this product,Erase button not working 🤬</v>
      </c>
      <c r="C873" s="29" t="str">
        <f>VLOOKUP(dados!A873, reviews!A:G, 6, FALSE)</f>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v>
      </c>
      <c r="D873" s="29" t="str">
        <f>IFERROR(__xludf.DUMMYFUNCTION("GOOGLETRANSLATE(B873, ""en"", ""pt-br"")"),"Fine🤘🏻🙏🏻, bom, melhor para crianças, fácil limpo e uso, bom produto, bahut accha, realmente gostei deste produto, apagar o botão que não está funcionando 🤬")</f>
        <v>Fine🤘🏻🙏🏻, bom, melhor para crianças, fácil limpo e uso, bom produto, bahut accha, realmente gostei deste produto, apagar o botão que não está funcionando 🤬</v>
      </c>
      <c r="E873" s="29" t="str">
        <f>IFERROR(__xludf.DUMMYFUNCTION("GOOGLETRANSLATE(C873, ""en"", ""pt-br"")"),"Um pouco escorregadio para escrever, mas ok e depois de escrever nos arranhões de guias, é bom, melhor para escrever para crianças, é facilmente apagável e meu filho gostou depois de recebê -lo, de qualidade, parece bem, eu pedi um bloco de cor preta, mas"&amp;" recebi o verde. E também há uma alteração no soquete da bateria. Eles fornecem uma bandeja na qual podemos colocar bateria. Quando recebi, foi confuso que vou trocar a bateria. No final, gostei muito deste produto., Super, https: //m.media-amazon.com/ima"&amp;"ges/w/webp_402378-t2/images/i/61egclpoe0l._sy88.jpg,")</f>
        <v>Um pouco escorregadio para escrever, mas ok e depois de escrever nos arranhões de guias, é bom, melhor para escrever para crianças, é facilmente apagável e meu filho gostou depois de recebê -lo, de qualidade, parece bem, eu pedi um bloco de cor preta, mas recebi o verde. E também há uma alteração no soquete da bateria. Eles fornecem uma bandeja na qual podemos colocar bateria. Quando recebi, foi confuso que vou trocar a bateria. No final, gostei muito deste produto., Super, https: //m.media-amazon.com/images/w/webp_402378-t2/images/i/61egclpoe0l._sy88.jpg,</v>
      </c>
    </row>
    <row r="874">
      <c r="A874" s="9" t="s">
        <v>3467</v>
      </c>
      <c r="B874" s="29" t="str">
        <f>VLOOKUP(dados!A874, reviews!A:G, 5, FALSE)</f>
        <v>Great product,Excellent,Good one,Nice product,Its worth money,2 month,Good produot,Awesome</v>
      </c>
      <c r="C874" s="29" t="str">
        <f>VLOOKUP(dados!A874, reviews!A:G, 6, FALSE)</f>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v>
      </c>
      <c r="D874" s="29" t="str">
        <f>IFERROR(__xludf.DUMMYFUNCTION("GOOGLETRANSLATE(B874, ""en"", ""pt-br"")"),"Ótimo produto, excelente, bom, bom produto, seu dinheiro, 2 meses, bom produot, incrível")</f>
        <v>Ótimo produto, excelente, bom, bom produto, seu dinheiro, 2 meses, bom produot, incrível</v>
      </c>
      <c r="E874" s="29" t="str">
        <f>IFERROR(__xludf.DUMMYFUNCTION("GOOGLETRANSLATE(C874, ""en"", ""pt-br"")"),"Ótimo produto. Vá em frente, muito agradável, a qualidade da imagem é boa, boa qualidade do produto, esta câmera é uma opção muito boa se você tiver conexão Wi -Fi com boa velocidade. Vale a pena.")</f>
        <v>Ótimo produto. Vá em frente, muito agradável, a qualidade da imagem é boa, boa qualidade do produto, esta câmera é uma opção muito boa se você tiver conexão Wi -Fi com boa velocidade. Vale a pena.</v>
      </c>
    </row>
    <row r="875">
      <c r="A875" s="9" t="s">
        <v>3471</v>
      </c>
      <c r="B875" s="29" t="str">
        <f>VLOOKUP(dados!A875, reviews!A:G, 5, FALSE)</f>
        <v>Good Product,Average,Average Printer,Package is good,Very poor quality after 1 month used printer printer print only 7-10 print on 1 refile.,Does the job, but it's damn slow. Have to wait for ages,Super,Best product at low price</v>
      </c>
      <c r="C875" s="29" t="str">
        <f>VLOOKUP(dados!A875, reviews!A:G, 6, FALSE)</f>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v>
      </c>
      <c r="D875" s="29" t="str">
        <f>IFERROR(__xludf.DUMMYFUNCTION("GOOGLETRANSLATE(B875, ""en"", ""pt-br"")"),"Bom produto, impressora média, pacote é boa, é muito baixa qualidade após 1 mês de impressão usada impressora impressa apenas 7-10 impressão em 1 refile., Faz o trabalho, mas é muito lento. Tem que esperar por idades, super, melhor produto a um preço baix"&amp;"o")</f>
        <v>Bom produto, impressora média, pacote é boa, é muito baixa qualidade após 1 mês de impressão usada impressora impressa apenas 7-10 impressão em 1 refile., Faz o trabalho, mas é muito lento. Tem que esperar por idades, super, melhor produto a um preço baixo</v>
      </c>
      <c r="E875" s="29" t="str">
        <f>IFERROR(__xludf.DUMMYFUNCTION("GOOGLETRANSLATE(C875, ""en"", ""pt-br"")"),"De qualidade, o corpo de plástico usado é frágil (como você sente que pode quebrar). Embora tenham fornecido um artigo para instruções com imagens sobre como configurá -lo - é muito difícil para uma nova pessoa entender e instalá -la. Um link de vídeo pod"&amp;"e ajudar ou você precisa pesquisar no YouTube. A qualidade de impressão também é a melhor, mas não é pior - é 4,8/5. Eu sinto que também é um pouco caro. Eu conectado ao meu laptop do Windows 10, ele me pediu para baixar o software HP da Microsoft Windows"&amp;" Store e algumas coisas próximas ao NEXT-NEXT, a configuração foi rápida. Você acabou de entrar com seu endereço de e-mail registrado no HP. é um produto 5/5, mas dará 4 porque sinto que é um pouco caro e o papel também pode ficar atolado às vezes., Cuida"&amp;"do: as catridges de tinta HP são famosas para a reivindicação do nível de tinta De 100% a 20% logo após a impressão de 5 quadros coloridos em papel brilhante, antes de comprar esta impressora, considere o acima. A redução ridícula no nível da tinta ocorre"&amp;" devido à secagem de ribilhos em Catridgeor devido ao uso de Catridgesmajor falsificado já usado é a secagem de tinta, isso acontecerá mesmo se você comprar da HP oficial de 50% de todas as críticas de HP Catridges que você receberá um catrige que imprimi"&amp;"rá 10 páginas em vez de 60 páginas é melhor se você vir essas críticas da Amazon, cor de tinta 805, 805xl, Tri Color e BlackAfter Print De 100 % a 20 % de foto, impressão máxima de resolução 1200 x 1200 dpiuses Tri color HP 805 e Black Inkcolor Catrige sã"&amp;"o mais baratos que o cânone, mas podem imprimir 1 \ 5º de outra empresa Catridgesdireect Scan and Print Without PC .... Sim 600x300 dpiWireless. ..... PRIMEIRA MÓVEL NOSUPORTO ... NOUSB 2.0PAGES SUPORTADO ..... A4; B5; A6; Tipos de mídia de envelope DL .."&amp;"... Papel simples, papel fotográfico, folhetos de papel de papel-upduplex .... Manualhp Térmico a jato de jato de impressãoCatridge e COSTHP 805 Cartucho de tinta original Tri-Color (~ 100 páginas rendem, na realidade apenas 10 páginas min a 50 páginas Má"&amp;"x) HP 805XL Tri-Color Cartucho de tinta original de alto rendimento (~ 200 páginas Rendimento, na realidade de 10 páginas min a 60 páginas máximas) vem com cor e catridges pretos pré-instalados a 80% -100% de alimentador e rolo de nível de tinta pode ser "&amp;"Limpo Manualmente alimentador de papel max 60 páginas em uma saída de papel de hora 25 páginas Máxia velocidade de impressão preto (ISO) até 7,5 ppmprint Speed ​​Color (ISO) até 5,5 ppmauto OFF .... Yeswt .... apenas 3 kg de impressão sem borda Isso em 20"&amp;"20 para imprimir planilhas e tarefas. Funcionou muito bem apenas para poucas impressões. Depois de que mudamos o cartucho, que também funcionou por apenas um mês. Deveria ter ido a uma impressora de ponta em vez disso., Muito útil, muito baixa qualidade a"&amp;"pós 1 mês de impressão usada impressa apenas 7-10 impressão em 1 refile. Além disso, a estampa colorida não está funcionando ou não é reconhecida., Faz o trabalho, mas é muito lento. Tem que esperar por muito tempo, super impressora, mas a tinta ficará va"&amp;"zia rapidamente e depende do seu uso se você for um usuário pesado, não recomendo esta impressora se você for um usuário leve, recomendo esta impressora ... a qualidade da impressão é super, eu estou usando apenas com celular para impressão e também fácil"&amp;" de usar o Xerox. Mas algumas vezes na impressão de obter erros e parou de imprimir problemas. E a impressão foi lenta. Melhor produto orçamentário.")</f>
        <v>De qualidade, o corpo de plástico usado é frágil (como você sente que pode quebrar). Embora tenham fornecido um artigo para instruções com imagens sobre como configurá -lo - é muito difícil para uma nova pessoa entender e instalá -la. Um link de vídeo pode ajudar ou você precisa pesquisar no YouTube. A qualidade de impressão também é a melhor, mas não é pior - é 4,8/5. Eu sinto que também é um pouco caro. Eu conectado ao meu laptop do Windows 10, ele me pediu para baixar o software HP da Microsoft Windows Store e algumas coisas próximas ao NEXT-NEXT, a configuração foi rápida. Você acabou de entrar com seu endereço de e-mail registrado no HP. é um produto 5/5, mas dará 4 porque sinto que é um pouco caro e o papel também pode ficar atolado às vezes., Cuidado: as catridges de tinta HP são famosas para a reivindicação do nível de tinta De 100% a 20% logo após a impressão de 5 quadros coloridos em papel brilhante, antes de comprar esta impressora, considere o acima. A redução ridícula no nível da tinta ocorre devido à secagem de ribilhos em Catridgeor devido ao uso de Catridgesmajor falsificado já usado é a secagem de tinta, isso acontecerá mesmo se você comprar da HP oficial de 50% de todas as críticas de HP Catridges que você receberá um catrige que imprimirá 10 páginas em vez de 60 páginas é melhor se você vir essas críticas da Amazon, cor de tinta 805, 805xl, Tri Color e BlackAfter Print De 100 % a 20 % de foto, impressão máxima de resolução 1200 x 1200 dpiuses Tri color HP 805 e Black Inkcolor Catrige são mais baratos que o cânone, mas podem imprimir 1 \ 5º de outra empresa Catridgesdireect Scan and Print Without PC .... Sim 600x300 dpiWireless. ..... PRIMEIRA MÓVEL NOSUPORTO ... NOUSB 2.0PAGES SUPORTADO ..... A4; B5; A6; Tipos de mídia de envelope DL ..... Papel simples, papel fotográfico, folhetos de papel de papel-upduplex .... Manualhp Térmico a jato de jato de impressãoCatridge e COSTHP 805 Cartucho de tinta original Tri-Color (~ 100 páginas rendem, na realidade apenas 10 páginas min a 50 páginas Máx) HP 805XL Tri-Color Cartucho de tinta original de alto rendimento (~ 200 páginas Rendimento, na realidade de 10 páginas min a 60 páginas máximas) vem com cor e catridges pretos pré-instalados a 80% -100% de alimentador e rolo de nível de tinta pode ser Limpo Manualmente alimentador de papel max 60 páginas em uma saída de papel de hora 25 páginas Máxia velocidade de impressão preto (ISO) até 7,5 ppmprint Speed ​​Color (ISO) até 5,5 ppmauto OFF .... Yeswt .... apenas 3 kg de impressão sem borda Isso em 2020 para imprimir planilhas e tarefas. Funcionou muito bem apenas para poucas impressões. Depois de que mudamos o cartucho, que também funcionou por apenas um mês. Deveria ter ido a uma impressora de ponta em vez disso., Muito útil, muito baixa qualidade após 1 mês de impressão usada impressa apenas 7-10 impressão em 1 refile. Além disso, a estampa colorida não está funcionando ou não é reconhecida., Faz o trabalho, mas é muito lento. Tem que esperar por muito tempo, super impressora, mas a tinta ficará vazia rapidamente e depende do seu uso se você for um usuário pesado, não recomendo esta impressora se você for um usuário leve, recomendo esta impressora ... a qualidade da impressão é super, eu estou usando apenas com celular para impressão e também fácil de usar o Xerox. Mas algumas vezes na impressão de obter erros e parou de imprimir problemas. E a impressão foi lenta. Melhor produto orçamentário.</v>
      </c>
    </row>
    <row r="876">
      <c r="A876" s="9" t="s">
        <v>3477</v>
      </c>
      <c r="B876" s="29" t="str">
        <f>VLOOKUP(dados!A876, reviews!A:G, 5, FALSE)</f>
        <v>Very good,It does what it's supposed to do,Affordable,Not a original pakage,Good,Less speed,No issues,Not too much good</v>
      </c>
      <c r="C876" s="29" t="str">
        <f>VLOOKUP(dados!A876, reviews!A:G, 6, FALSE)</f>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I’m using it almost more than a year,Wireless range is not too much good</v>
      </c>
      <c r="D876" s="29" t="str">
        <f>IFERROR(__xludf.DUMMYFUNCTION("GOOGLETRANSLATE(B876, ""en"", ""pt-br"")"),"Muito bom, faz o que deveria fazer, acessível, não um pakage original, bom, menos velocidade, sem problemas, não muito bem")</f>
        <v>Muito bom, faz o que deveria fazer, acessível, não um pakage original, bom, menos velocidade, sem problemas, não muito bem</v>
      </c>
      <c r="E876" s="29" t="str">
        <f>IFERROR(__xludf.DUMMYFUNCTION("GOOGLETRANSLATE(C876, ""en"", ""pt-br"")"),"Conectividade muito boa, atualize para minha revisão abaixo. A edição foi a autenticação de Mac, para qualquer pessoa com conexão de banda larga de pppoe, faça uma nota do endereço MAC de roteadores existentes (vá nas configurações e não veja o endereço M"&amp;"AC no adesivo) e use -o ao configurar isso, de outra forma, alcance o seu ISP que eles Pode atualizar seu novo endereço MAC. Não tenho certeza do que está acontecendo, mas a conexão de banda larga do PPPOE está falhando. Eu já tenho um roteador iball que "&amp;"funciona muito bem, mas tinha alguns problemas de wifi, portanto, comprei isso. Portanto, defina este como um ponto de acesso do meu wifi do roteador iball é decente, obtém cerca de 30 a 40 Mbps na minha conexão de 100 Mbps., A partir de agora, está funci"&amp;"onando bem. O produto é bastante econômico, o RJ45 Cabel está faltando., Bom, dá menos velocidade em comparação com outros, menos alcance, boa qualidade ..., sem problemas até agora, a partir de agora estou usando quase mais de um ano, A faixa sem fio não"&amp;" é muito boa")</f>
        <v>Conectividade muito boa, atualize para minha revisão abaixo. A edição foi a autenticação de Mac, para qualquer pessoa com conexão de banda larga de pppoe, faça uma nota do endereço MAC de roteadores existentes (vá nas configurações e não veja o endereço MAC no adesivo) e use -o ao configurar isso, de outra forma, alcance o seu ISP que eles Pode atualizar seu novo endereço MAC. Não tenho certeza do que está acontecendo, mas a conexão de banda larga do PPPOE está falhando. Eu já tenho um roteador iball que funciona muito bem, mas tinha alguns problemas de wifi, portanto, comprei isso. Portanto, defina este como um ponto de acesso do meu wifi do roteador iball é decente, obtém cerca de 30 a 40 Mbps na minha conexão de 100 Mbps., A partir de agora, está funcionando bem. O produto é bastante econômico, o RJ45 Cabel está faltando., Bom, dá menos velocidade em comparação com outros, menos alcance, boa qualidade ..., sem problemas até agora, a partir de agora estou usando quase mais de um ano, A faixa sem fio não é muito boa</v>
      </c>
    </row>
    <row r="877">
      <c r="A877" s="9" t="s">
        <v>3481</v>
      </c>
      <c r="B877" s="29" t="str">
        <f>VLOOKUP(dados!A877, reviews!A:G, 5, FALSE)</f>
        <v>Good,The smell....,fair enough looking at reasonable price,Amazing,value for money,For starter,Best as a buyer its pretty reliable,Smooth experience</v>
      </c>
      <c r="C877" s="29" t="str">
        <f>VLOOKUP(dados!A877, reviews!A:G, 6, FALSE)</f>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doesn’t seems very long lasting but great product</v>
      </c>
      <c r="D877" s="29" t="str">
        <f>IFERROR(__xludf.DUMMYFUNCTION("GOOGLETRANSLATE(B877, ""en"", ""pt-br"")"),"Bom, o cheiro ...., justo o suficiente, olhando para o preço razoável, incrível, valor pelo dinheiro, para iniciantes, melhor como comprador é uma experiência bastante confiável e suave")</f>
        <v>Bom, o cheiro ...., justo o suficiente, olhando para o preço razoável, incrível, valor pelo dinheiro, para iniciantes, melhor como comprador é uma experiência bastante confiável e suave</v>
      </c>
      <c r="E877" s="29" t="str">
        <f>IFERROR(__xludf.DUMMYFUNCTION("GOOGLETRANSLATE(C877, ""en"", ""pt-br"")"),"Existem dobras quando recebi o produto. Estou escrevendo esta resenha depois de usá -la por 2,5 meses. Está funcionando bem. Não há desgaste a partir de agora. De acordo com a aparência, fica bem na minha mesa preta. Você pode simplesmente colocar o tecla"&amp;"do e o mouse nele. Nada muito pode ser colocado. O aperto para a mesa também é muito bom, o tamanho é bom, o material também é bom, mas a vaca sagrada cheira a borracha barata., Fairenough olhando para o preço., É realmente um bom produto. Usando isso de "&amp;"3 meses sem nenhum problema. Não tenho certeza sobre os jogos, mas o uso diário em geral é realmente bom., Valor do dinheiro, para Strater por 1 ano você pode ir em frente, mas para aqueles que procuram outro novo, é mais do que isso no mercado, Bom, o ma"&amp;"terial é uma boa sensação e o mouse viaja bem. Só não parece muito duradouro, mas ótimo produto")</f>
        <v>Existem dobras quando recebi o produto. Estou escrevendo esta resenha depois de usá -la por 2,5 meses. Está funcionando bem. Não há desgaste a partir de agora. De acordo com a aparência, fica bem na minha mesa preta. Você pode simplesmente colocar o teclado e o mouse nele. Nada muito pode ser colocado. O aperto para a mesa também é muito bom, o tamanho é bom, o material também é bom, mas a vaca sagrada cheira a borracha barata., Fairenough olhando para o preço., É realmente um bom produto. Usando isso de 3 meses sem nenhum problema. Não tenho certeza sobre os jogos, mas o uso diário em geral é realmente bom., Valor do dinheiro, para Strater por 1 ano você pode ir em frente, mas para aqueles que procuram outro novo, é mais do que isso no mercado, Bom, o material é uma boa sensação e o mouse viaja bem. Só não parece muito duradouro, mas ótimo produto</v>
      </c>
    </row>
    <row r="878">
      <c r="A878" s="9" t="s">
        <v>3485</v>
      </c>
      <c r="B878" s="29" t="str">
        <f>VLOOKUP(dados!A878, reviews!A:G, 5, FALSE)</f>
        <v>Very nice product,Damaged within 4 months,Wacom review,Value for Money,Nice,Recommend,Perfect to draw, sketch and doodle.,Nice product.</v>
      </c>
      <c r="C878" s="29" t="str">
        <f>VLOOKUP(dados!A878, reviews!A:G, 6, FALSE)</f>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v>
      </c>
      <c r="D878" s="29" t="str">
        <f>IFERROR(__xludf.DUMMYFUNCTION("GOOGLETRANSLATE(B878, ""en"", ""pt-br"")"),"Produto muito bom, danificado dentro de 4 meses, revisão da Wacom, valor ao dinheiro, legal, recomendo, perfeito para desenhar, esboçar e rabiscar., Produto agradável.")</f>
        <v>Produto muito bom, danificado dentro de 4 meses, revisão da Wacom, valor ao dinheiro, legal, recomendo, perfeito para desenhar, esboçar e rabiscar., Produto agradável.</v>
      </c>
      <c r="E878" s="29" t="str">
        <f>IFERROR(__xludf.DUMMYFUNCTION("GOOGLETRANSLATE(C878, ""en"", ""pt-br"")"),"Se você deseja usar o tablet caneta para poder comprar. Este é um produto muito NIC, comprado anteriormente um não está funcionando preciso após alguns meses de uso. O movimento de Culsur se torna incontrolável e impreciso. e o novo que comprei o mesmo pr"&amp;"oduto. Mas agora sua função de cliques tocou a caneta no tablet não está funcionando. Totalmente decepcionada 😔. A qualidade do produto é muito baixa. E nunca espere uma melhor experiência após 3 meses de uso, o tablet é agradável. Sem latência e escreve"&amp;" muito bem. Não é muitos arranhões tablets de boa qualidade e, em geral Use, apenas os amantes da EDU ...., é fácil de usar. Recomendar para todos., Fiquei cético em relação à mudança do iPad com Apple Pencil para isso, mas isso é muito melhor. Se você é "&amp;"iniciante, encontrará isso extremamente fácil de usar., É um bom produto. Fácil de usar, leve, mas um pouco pequeno em dimensão. Mas, além disso, é bom para iniciantes.")</f>
        <v>Se você deseja usar o tablet caneta para poder comprar. Este é um produto muito NIC, comprado anteriormente um não está funcionando preciso após alguns meses de uso. O movimento de Culsur se torna incontrolável e impreciso. e o novo que comprei o mesmo produto. Mas agora sua função de cliques tocou a caneta no tablet não está funcionando. Totalmente decepcionada 😔. A qualidade do produto é muito baixa. E nunca espere uma melhor experiência após 3 meses de uso, o tablet é agradável. Sem latência e escreve muito bem. Não é muitos arranhões tablets de boa qualidade e, em geral Use, apenas os amantes da EDU ...., é fácil de usar. Recomendar para todos., Fiquei cético em relação à mudança do iPad com Apple Pencil para isso, mas isso é muito melhor. Se você é iniciante, encontrará isso extremamente fácil de usar., É um bom produto. Fácil de usar, leve, mas um pouco pequeno em dimensão. Mas, além disso, é bom para iniciantes.</v>
      </c>
    </row>
    <row r="879">
      <c r="A879" s="9" t="s">
        <v>3489</v>
      </c>
      <c r="B879" s="29" t="str">
        <f>VLOOKUP(dados!A879, reviews!A:G, 5, FALSE)</f>
        <v>Nice product ..,Lenovo 300 camera,Very nice in the pricecrange and in budget.,Not able to connect with android TV , can you please help me out.,Good for 4 group calling fot have focusing function,Good one..,Amazing,Good product</v>
      </c>
      <c r="C879" s="29" t="str">
        <f>VLOOKUP(dados!A879, reviews!A:G, 6, FALSE)</f>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v>
      </c>
      <c r="D879" s="29" t="str">
        <f>IFERROR(__xludf.DUMMYFUNCTION("GOOGLETRANSLATE(B879, ""en"", ""pt-br"")"),"Bom produto .., câmera Lenovo 300, muito agradável na PriceCRange e no orçamento., Não capaz de se conectar com a Android TV, você pode me ajudar., Bom para 4 grupos chamando fot ter função de foco, boa ..,,, Incrível, bom produto")</f>
        <v>Bom produto .., câmera Lenovo 300, muito agradável na PriceCRange e no orçamento., Não capaz de se conectar com a Android TV, você pode me ajudar., Bom para 4 grupos chamando fot ter função de foco, boa ..,,, Incrível, bom produto</v>
      </c>
      <c r="E879" s="29" t="str">
        <f>IFERROR(__xludf.DUMMYFUNCTION("GOOGLETRANSLATE(C879, ""en"", ""pt-br"")"),"A qualidade da imagem e a construção da câmera são boas. ,, Web cam muito agradável de Lenovo, a qualidade da imagem é muito boa, não vi sua qualidade de vídeo, mas o que vejo na tela é apenas a cobertura do ângulo em todo não precisará girar a câmera enq"&amp;"uanto toma foto da pessoa sentada ao meu lado ou fazendo vídeo. Nem mesmo assim. é estável, mesmo se nos movemos na câmera e muito firme .THANKYOU Amazon e Lenovo para o produto., Não capaz de se conectar com a empresa Mi Android TV, você pode me ajudar.,"&amp;" Leia o título, preenche sua necessidade atual. Esse orçamento ... bom valor pelo dinheiro, sem dúvida, a melhor câmera de orçamento do que Logitech C270, dica rápida emparel . No entanto, se você estiver em ambiente escuro, o vídeo terá textura de grãos "&amp;"que é justificada, pois a esse preço deve ser esperado, mas é corrigível se você puder ajustar o ISO e obter uma boa iluminação. (As luzes do tubo não funcionam bem o suficiente e, como recebi uma fonte direta de luz solar, a luz do dia me dá o suficiente"&amp;" para ter uma boa qualidade), o alcance da tela é muito amplo")</f>
        <v>A qualidade da imagem e a construção da câmera são boas. ,, Web cam muito agradável de Lenovo, a qualidade da imagem é muito boa, não vi sua qualidade de vídeo, mas o que vejo na tela é apenas a cobertura do ângulo em todo não precisará girar a câmera enquanto toma foto da pessoa sentada ao meu lado ou fazendo vídeo. Nem mesmo assim. é estável, mesmo se nos movemos na câmera e muito firme .THANKYOU Amazon e Lenovo para o produto., Não capaz de se conectar com a empresa Mi Android TV, você pode me ajudar., Leia o título, preenche sua necessidade atual. Esse orçamento ... bom valor pelo dinheiro, sem dúvida, a melhor câmera de orçamento do que Logitech C270, dica rápida emparel . No entanto, se você estiver em ambiente escuro, o vídeo terá textura de grãos que é justificada, pois a esse preço deve ser esperado, mas é corrigível se você puder ajustar o ISO e obter uma boa iluminação. (As luzes do tubo não funcionam bem o suficiente e, como recebi uma fonte direta de luz solar, a luz do dia me dá o suficiente para ter uma boa qualidade), o alcance da tela é muito amplo</v>
      </c>
    </row>
    <row r="880">
      <c r="A880" s="9" t="s">
        <v>3493</v>
      </c>
      <c r="B880" s="29" t="str">
        <f>VLOOKUP(dados!A880, reviews!A:G, 5, FALSE)</f>
        <v>Good,Best Quality product you should go for,Prince Mondal,Very good product,Good quality!,Very dark,It's dark!,Received Black quink in bottle without plastic cover at bottle neck</v>
      </c>
      <c r="C880" s="29" t="str">
        <f>VLOOKUP(dados!A880, reviews!A:G, 6, FALSE)</f>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v>
      </c>
      <c r="D880" s="29" t="str">
        <f>IFERROR(__xludf.DUMMYFUNCTION("GOOGLETRANSLATE(B880, ""en"", ""pt-br"")"),"Produto bom e de melhor qualidade que você deve procurar, príncipe Mondal, produto muito bom, boa qualidade!, Muito escuro, está escuro!, Recebido preto que")</f>
        <v>Produto bom e de melhor qualidade que você deve procurar, príncipe Mondal, produto muito bom, boa qualidade!, Muito escuro, está escuro!, Recebido preto que</v>
      </c>
      <c r="E880" s="29" t="str">
        <f>IFERROR(__xludf.DUMMYFUNCTION("GOOGLETRANSLATE(C880, ""en"", ""pt-br"")"),"Eu uso o Parker Ink para caligrafia e está funcionando bem, mas o preço um pouco alto, o melhor é que você pode usá -la para qualquer caneta que desejar. Pessoalmente, vejo isso como um produto à prova de manchas que vale a pena comprar, boa p, boa piment"&amp;"ação, um bom fluxo de tinta e escrita suave o que mais se espera que eu amei, basta ir em frente, tinta de boa qualidade, basta seguir em frente. Estou usando -o para caligrafia, é perfeito!, Muito escuro, obviamente melhor do que a maioria das tintas por"&amp;" aí. A esse preço, é a melhor opção que eu diria. Está adequadamente escuro. Estou adorando a experiência!, Recebi preto que")</f>
        <v>Eu uso o Parker Ink para caligrafia e está funcionando bem, mas o preço um pouco alto, o melhor é que você pode usá -la para qualquer caneta que desejar. Pessoalmente, vejo isso como um produto à prova de manchas que vale a pena comprar, boa p, boa pimentação, um bom fluxo de tinta e escrita suave o que mais se espera que eu amei, basta ir em frente, tinta de boa qualidade, basta seguir em frente. Estou usando -o para caligrafia, é perfeito!, Muito escuro, obviamente melhor do que a maioria das tintas por aí. A esse preço, é a melhor opção que eu diria. Está adequadamente escuro. Estou adorando a experiência!, Recebi preto que</v>
      </c>
    </row>
    <row r="881">
      <c r="A881" s="9" t="s">
        <v>3497</v>
      </c>
      <c r="B881" s="29" t="str">
        <f>VLOOKUP(dados!A881, reviews!A:G, 5, FALSE)</f>
        <v>A well designed product,Rich Quality Music But Comes with compromise on Features,Grip to the ear need to improve,Good,This is for new mobile with Bluetooth 5.0 v or apple phones - don't purchase for old phones,Good sound quality,Value for money,Good quality and sound but not the best.</v>
      </c>
      <c r="C881" s="29" t="str">
        <f>VLOOKUP(dados!A881, reviews!A:G, 6, FALSE)</f>
        <v>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v>
      </c>
      <c r="D881" s="29" t="str">
        <f>IFERROR(__xludf.DUMMYFUNCTION("GOOGLETRANSLATE(B881, ""en"", ""pt-br"")"),"Um produto bem projetado, música de qualidade rica, mas vem com compromisso sobre os recursos, a aderência à necessidade de melhorar, é bom, isso é para novos celulares com telefones Bluetooth 5.0 V ou Apple - não compre para telefones antigos, boa qualid"&amp;"ade de som, Valor pelo dinheiro, boa qualidade e som, mas não o melhor.")</f>
        <v>Um produto bem projetado, música de qualidade rica, mas vem com compromisso sobre os recursos, a aderência à necessidade de melhorar, é bom, isso é para novos celulares com telefones Bluetooth 5.0 V ou Apple - não compre para telefones antigos, boa qualidade de som, Valor pelo dinheiro, boa qualidade e som, mas não o melhor.</v>
      </c>
      <c r="E881" s="29" t="str">
        <f>IFERROR(__xludf.DUMMYFUNCTION("GOOGLETRANSLATE(C881, ""en"", ""pt-br"")"),"Deixe -me começar com algo que ninguém escreve. Segure o botão central por 2 segundos e os fones de ouvido, digamos, na voz de uma mulher japonesa/indiana, ""Power on, bateria cerca de 70%"". Ela não parece chinesa como os fones de ouvido chineses baratos"&amp;". Seu nível de volume de voz também não é muito alto.Bt emparelhamento: desligue o fone de ouvido, pressione e segure o botão central, mas continue segurando o mesmo botão. A voz dos fones de ouvido dirá, emparelhamento bluetooth "". Depois de conectado, "&amp;"ele dirá"" Bluetooth conectado "". fará um ""carrilhão"" fofo e carregará a próxima música na lista de reprodução de qualquer aplicativo. Gosto desse recurso do carrilhão, porque dessa maneira sei que o fone de ouvido aceitou o comando e carregando a próx"&amp;"ima faixa. No entanto, segurando o botão para 2 Segundo toda vez que você quiser mudar de músicas pode ficar irritante e doloroso se você quiser pular algumas músicas de pular sem parar a música certa para tocar. Os botões não são muito macios, mas têm um"&amp;" clique tátil para garantir que você sinta que você sente Clique quando pressionado. Piscando quando conectado ao Bt. Quando no modo de emparelhamento, a mesma luz pisca rapidamente na mesma cor azul.orange: enquanto carrega. Sólido on.green/off: 90% e ac"&amp;"ima. Pistas físicas: Nub minúsculo no plugue da orelha esquerda para denotar o lado esquerdo. Somente marcas de renome. A maioria dos plugues da orelha cai dos meus ouvidos enquanto fala. Estes não. Eu uso o menor. O que a Sony oferece? Um guia muito inte"&amp;"ressante sobre como inserir os plugues da orelha em seus ouvidos da maneira mais confortável e garantir o melhor selo para o áudio claro. Eu nunca soube que você pode puxar você para cima do canto superior e colocar suavemente o plugue do ouvido no canal "&amp;"da orelha. Uma vez colocado confortavelmente, solte a orelha e deixe o aplicativo do canal do ouvido. É basicamente um jogador de música projetado para detectar os fones de ouvido da Sony. Se você usar o Spotify, pode usar este aplicativo para configurar "&amp;"um equalizador. Ele toca MP3 do seu armazenamento também. Meu telefone já possui um empate embutido. Não uso nenhum EQ porque o estágio de som neles é plano. Então, todos os tipos de áudio parecem ótimos. E nunca conseguiu ficar sem bateria. Quanto você g"&amp;"astou nela? 1.6kaudio lag? Nenhum. Eu o testei com Android TV, LG Web OS, Android Phone, PS4 e iPad. Não há problemas de atraso ou desconexão ou queda de áudio em momentos super tranquilos da música.bass? Muito decentes e controlados. Mas eu sugiro não. E"&amp;"u o comparei com o JBL Wave TWS100. O som é muito semelhante, mas um pouco menos baixo na eq plana.80% melhor que o barco airdopes.30% melhor que o OnePlus Bulletsz., Depois de usá -lo por uma semana, devolvi, aqui está meu entendimento, prós, 1. Qualidad"&amp;"e musical : Mids e elevações estão bem definidas, se você quiser, pode adicionar graves da EQ, que também fornece a qualidade de baixo, não de bomba e não -sutil. Emparelhamento rápido: pares instantaneamente3. Eq de nível de hardware: você pode tweeking "&amp;"para seu próprio desejo4. Bons microfones de microfones: 1. Não há suporte para vários pares. Ou seja, você não pode alternar entre sua volta e móvel instantaneamente ou no standby2. Qualidade do cabo: o cabo fornecido é tão fino e frágil, faz com que eu "&amp;"restrinja meus movimentos ao desgaste3. Nenhuma dica magnética para reprodução/pausa automática .. Se usar para dormir, não pode ser desligado simplesmente removendo e juntando -o como outros neackbands, você tem que usar ou telefonar ou os botões para pa"&amp;"usar a música.conclusão: Eu o devolvi e comprei o Realme Neackband 2, embora tenha sido horrível o baixo impulsionado e a qualidade medíocre do som, simplesmente por causa de melhores recursos, mas eu ainda prefiro a Sony na qualidade da música. Prova emb"&amp;"alada e de violação embalada com holograma da Sony na caixa. Case.Tens não é exatamente a banda, mas LR conectado com Thik Wire, que pode cair se pular ou durante o treino. O solo é 10% menor para os fones de ouvido com fio da Sony. . Não como desconfortá"&amp;"vel. É um valor completo para o dinheiro, pois isso é perfeito em sua qualidade que muitas marcas nesse preço não conseguem fazer. Isso pode ser dobrado e embalado em 4 "".conclusion -go for não aberto, caso contrário, ele voará. Não sugerido para a acade"&amp;"mia, pois ela cairá. A função é inteligente e fácil de usar, ela oferece a melhor qualidade a esse preço e conectividade com o celular também é forte. Não para os expulsos mágicos .... YouTube &amp; Insta - The_voyager_ad, a qualidade do som é Bom., A duração"&amp;" da bateria é ótima com boa qualidade de som. A qualidade do telefone de audição é ruim. Lembre -se disso se você estiver usando este produto mais para ligar., Qualidade do produto e seu som é bom. Mas ele sempre desliza do pescoço ... não há nada para ma"&amp;"ntê -lo no lugar. Mantenha caindo e receio pode perdê -lo.")</f>
        <v>Deixe -me começar com algo que ninguém escreve. Segure o botão central por 2 segundos e os fones de ouvido, digamos, na voz de uma mulher japonesa/indiana, "Power on, bateria cerca de 70%". Ela não parece chinesa como os fones de ouvido chineses baratos. Seu nível de volume de voz também não é muito alto.Bt emparelhamento: desligue o fone de ouvido, pressione e segure o botão central, mas continue segurando o mesmo botão. A voz dos fones de ouvido dirá, emparelhamento bluetooth ". Depois de conectado, ele dirá" Bluetooth conectado ". fará um "carrilhão" fofo e carregará a próxima música na lista de reprodução de qualquer aplicativo. Gosto desse recurso do carrilhão, porque dessa maneira sei que o fone de ouvido aceitou o comando e carregando a próxima faixa. No entanto, segurando o botão para 2 Segundo toda vez que você quiser mudar de músicas pode ficar irritante e doloroso se você quiser pular algumas músicas de pular sem parar a música certa para tocar. Os botões não são muito macios, mas têm um clique tátil para garantir que você sinta que você sente Clique quando pressionado. Piscando quando conectado ao Bt. Quando no modo de emparelhamento, a mesma luz pisca rapidamente na mesma cor azul.orange: enquanto carrega. Sólido on.green/off: 90% e acima. Pistas físicas: Nub minúsculo no plugue da orelha esquerda para denotar o lado esquerdo. Somente marcas de renome. A maioria dos plugues da orelha cai dos meus ouvidos enquanto fala. Estes não. Eu uso o menor. O que a Sony oferece? Um guia muito interessante sobre como inserir os plugues da orelha em seus ouvidos da maneira mais confortável e garantir o melhor selo para o áudio claro. Eu nunca soube que você pode puxar você para cima do canto superior e colocar suavemente o plugue do ouvido no canal da orelha. Uma vez colocado confortavelmente, solte a orelha e deixe o aplicativo do canal do ouvido. É basicamente um jogador de música projetado para detectar os fones de ouvido da Sony. Se você usar o Spotify, pode usar este aplicativo para configurar um equalizador. Ele toca MP3 do seu armazenamento também. Meu telefone já possui um empate embutido. Não uso nenhum EQ porque o estágio de som neles é plano. Então, todos os tipos de áudio parecem ótimos. E nunca conseguiu ficar sem bateria. Quanto você gastou nela? 1.6kaudio lag? Nenhum. Eu o testei com Android TV, LG Web OS, Android Phone, PS4 e iPad. Não há problemas de atraso ou desconexão ou queda de áudio em momentos super tranquilos da música.bass? Muito decentes e controlados. Mas eu sugiro não. Eu o comparei com o JBL Wave TWS100. O som é muito semelhante, mas um pouco menos baixo na eq plana.80% melhor que o barco airdopes.30% melhor que o OnePlus Bulletsz., Depois de usá -lo por uma semana, devolvi, aqui está meu entendimento, prós, 1. Qualidade musical : Mids e elevações estão bem definidas, se você quiser, pode adicionar graves da EQ, que também fornece a qualidade de baixo, não de bomba e não -sutil. Emparelhamento rápido: pares instantaneamente3. Eq de nível de hardware: você pode tweeking para seu próprio desejo4. Bons microfones de microfones: 1. Não há suporte para vários pares. Ou seja, você não pode alternar entre sua volta e móvel instantaneamente ou no standby2. Qualidade do cabo: o cabo fornecido é tão fino e frágil, faz com que eu restrinja meus movimentos ao desgaste3. Nenhuma dica magnética para reprodução/pausa automática .. Se usar para dormir, não pode ser desligado simplesmente removendo e juntando -o como outros neackbands, você tem que usar ou telefonar ou os botões para pausar a música.conclusão: Eu o devolvi e comprei o Realme Neackband 2, embora tenha sido horrível o baixo impulsionado e a qualidade medíocre do som, simplesmente por causa de melhores recursos, mas eu ainda prefiro a Sony na qualidade da música. Prova embalada e de violação embalada com holograma da Sony na caixa. Case.Tens não é exatamente a banda, mas LR conectado com Thik Wire, que pode cair se pular ou durante o treino. O solo é 10% menor para os fones de ouvido com fio da Sony. . Não como desconfortável. É um valor completo para o dinheiro, pois isso é perfeito em sua qualidade que muitas marcas nesse preço não conseguem fazer. Isso pode ser dobrado e embalado em 4 ".conclusion -go for não aberto, caso contrário, ele voará. Não sugerido para a academia, pois ela cairá. A função é inteligente e fácil de usar, ela oferece a melhor qualidade a esse preço e conectividade com o celular também é forte. Não para os expulsos mágicos .... YouTube &amp; Insta - The_voyager_ad, a qualidade do som é Bom., A duração da bateria é ótima com boa qualidade de som. A qualidade do telefone de audição é ruim. Lembre -se disso se você estiver usando este produto mais para ligar., Qualidade do produto e seu som é bom. Mas ele sempre desliza do pescoço ... não há nada para mantê -lo no lugar. Mantenha caindo e receio pode perdê -lo.</v>
      </c>
    </row>
    <row r="882">
      <c r="A882" s="9" t="s">
        <v>3501</v>
      </c>
      <c r="B882" s="29" t="str">
        <f>VLOOKUP(dados!A882, reviews!A:G, 5, FALSE)</f>
        <v>So far so good,Good,Keeps Laptop Super Cool and is worth the price,GOOD,Good product..but fan speed is little slow,No difference in gaming laptop temperatures,Value for money,A good product for day to day work and for regular laptops .</v>
      </c>
      <c r="C882" s="29" t="str">
        <f>VLOOKUP(dados!A882, reviews!A:G, 6, FALSE)</f>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v>
      </c>
      <c r="D882" s="29" t="str">
        <f>IFERROR(__xludf.DUMMYFUNCTION("GOOGLETRANSLATE(B882, ""en"", ""pt-br"")"),"Até agora, tudo bem, bom, mantém o laptop super legal e vale o preço, bom, bom produto ... mas a velocidade do ventilador é pouco lenta, nenhuma diferença nas temperaturas do laptop para jogos, valor ao dinheiro, um bom produto para o dia a dia e para lap"&amp;"tops regulares.")</f>
        <v>Até agora, tudo bem, bom, mantém o laptop super legal e vale o preço, bom, bom produto ... mas a velocidade do ventilador é pouco lenta, nenhuma diferença nas temperaturas do laptop para jogos, valor ao dinheiro, um bom produto para o dia a dia e para laptops regulares.</v>
      </c>
      <c r="E882" s="29" t="str">
        <f>IFERROR(__xludf.DUMMYFUNCTION("GOOGLETRANSLATE(C882, ""en"", ""pt-br"")"),"Ele está funcionando como esperado para queixas de Farno, Godod, o produto definitivamente vale o preço e mantém o laptop super legal. Eu não sou um jogador e esta revisão não é para um PC para jogos. É muito conveniente para o meu trabalho de escritório."&amp;" A almofada de refrigeração possui um USB adicional e ajuda, caso seja necessária uma porta USB adicional ao usar a almofada de resfriamento., NÃO em uso principalmente, bom produto ... mas a velocidade do ventilador é pouco lenta, tentei no meu laptop pa"&amp;"ra jogos e escritório .. Havia 0 diferença nas temperaturas no laptop de jogos. Laptop office (14 ""hp core i5 8th gene) parecia um pouco legal para tocar) com o bloco de refrigeração, mas sua ergonomia não é ótima, mas seu valor pelo dinheiro. Os dois fã"&amp;"s oferecem muito Pouco fluxo de ar e ruído audível, no inverno! O corpo é resistente o suficiente, mas o laptop desliza da grilland superior quando você usa os clipes não deslizantes na frente, eles atraem suas mãos, enquanto trabalham no laptop. Sua mão "&amp;"essencialmente Receita nesses clipes e o débito precisa de melhorias e os fãs devem ter um fluxo de ar mais alto. Assim, um cliente não se importaria de um preço um pouco mais alto, é um produto decente e econômico nessa faixa de preço. Do seu carregador."&amp;" Não recomendado para laptops de desempenho de ponta., Um bom produto que mantém que diminui o calor do laptop. Meu Dell Vostro 3510 com a 11ª geração i3 pairia em torno de 60 - 65 ° C durante o uso regular, como navegação, filmes, youtube, emulação de PS"&amp;"1 etc. Mas com esse frio as temperaturas caíram para 40 - 55 c. Durante os jogos pesados ​​(testados com a Fallout New Vegas CPU 40 - 50 % IGPU 99 %), o laptop aqueceu como se não houvesse uma almofada de resfriamento, mas a superfície do laptop parecia m"&amp;"ais fria. Observe que eu moro em uma estação montanhosa e o clima geralmente é legal, para que sua experiência possa ser diferente. Não testei isso com um laptop para jogos.")</f>
        <v>Ele está funcionando como esperado para queixas de Farno, Godod, o produto definitivamente vale o preço e mantém o laptop super legal. Eu não sou um jogador e esta revisão não é para um PC para jogos. É muito conveniente para o meu trabalho de escritório. A almofada de refrigeração possui um USB adicional e ajuda, caso seja necessária uma porta USB adicional ao usar a almofada de resfriamento., NÃO em uso principalmente, bom produto ... mas a velocidade do ventilador é pouco lenta, tentei no meu laptop para jogos e escritório .. Havia 0 diferença nas temperaturas no laptop de jogos. Laptop office (14 "hp core i5 8th gene) parecia um pouco legal para tocar) com o bloco de refrigeração, mas sua ergonomia não é ótima, mas seu valor pelo dinheiro. Os dois fãs oferecem muito Pouco fluxo de ar e ruído audível, no inverno! O corpo é resistente o suficiente, mas o laptop desliza da grilland superior quando você usa os clipes não deslizantes na frente, eles atraem suas mãos, enquanto trabalham no laptop. Sua mão essencialmente Receita nesses clipes e o débito precisa de melhorias e os fãs devem ter um fluxo de ar mais alto. Assim, um cliente não se importaria de um preço um pouco mais alto, é um produto decente e econômico nessa faixa de preço. Do seu carregador. Não recomendado para laptops de desempenho de ponta., Um bom produto que mantém que diminui o calor do laptop. Meu Dell Vostro 3510 com a 11ª geração i3 pairia em torno de 60 - 65 ° C durante o uso regular, como navegação, filmes, youtube, emulação de PS1 etc. Mas com esse frio as temperaturas caíram para 40 - 55 c. Durante os jogos pesados ​​(testados com a Fallout New Vegas CPU 40 - 50 % IGPU 99 %), o laptop aqueceu como se não houvesse uma almofada de resfriamento, mas a superfície do laptop parecia mais fria. Observe que eu moro em uma estação montanhosa e o clima geralmente é legal, para que sua experiência possa ser diferente. Não testei isso com um laptop para jogos.</v>
      </c>
    </row>
    <row r="883">
      <c r="A883" s="9" t="s">
        <v>217</v>
      </c>
      <c r="B883" s="29" t="str">
        <f>VLOOKUP(dados!A883, reviews!A:G, 5, FALSE)</f>
        <v>good tool to use for,Brand is always good,Overall good and a better experience,It is useful to me.,Works well with cpplus dvr,Good,Its not plug an play u need to install the driver and will support till 2.4 Ghz not above that,Surveillance Camera In My House</v>
      </c>
      <c r="C883" s="29" t="str">
        <f>VLOOKUP(dados!A883, reviews!A:G, 6, FALSE)</f>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v>
      </c>
      <c r="D883" s="29" t="str">
        <f>IFERROR(__xludf.DUMMYFUNCTION("GOOGLETRANSLATE(B883, ""en"", ""pt-br"")"),"Boa ferramenta a ser usada, a marca é sempre boa, em geral, boa e melhor experiência, é útil para mim., funciona bem com o CPPLUS DVR, bom, não está plugue uma reprodução que você precisa para instalar o driver e suportar até 2,4 GHz Não acima disso, câme"&amp;"ra de vigilância em minha casa")</f>
        <v>Boa ferramenta a ser usada, a marca é sempre boa, em geral, boa e melhor experiência, é útil para mim., funciona bem com o CPPLUS DVR, bom, não está plugue uma reprodução que você precisa para instalar o driver e suportar até 2,4 GHz Não acima disso, câmera de vigilância em minha casa</v>
      </c>
      <c r="E883" s="29" t="str">
        <f>IFERROR(__xludf.DUMMYFUNCTION("GOOGLETRANSLATE(C883, ""en"", ""pt-br"")"),"Ferramenta de boa qualidade do sinal d linkwifi é bom, bom produto, em geral, bom e melhor experiência, ele funciona de maneira adequada e útil para mim., Eu quero comprá -lo para CP Plus Orange DVR, funciona., Nice, não é plugue uma reprodução U precisa "&amp;"instalar o driver e suportará até 2,4 GHz não acima disso. Estou usando no Jio WiFi, então não suporta a conectividade 5G como 3.0, a primeira razão pela qual comprei este item foi ter uma câmera de vigilância em minha casa. Para visualizá -lo no meu celu"&amp;"lar usado, etc ....")</f>
        <v>Ferramenta de boa qualidade do sinal d linkwifi é bom, bom produto, em geral, bom e melhor experiência, ele funciona de maneira adequada e útil para mim., Eu quero comprá -lo para CP Plus Orange DVR, funciona., Nice, não é plugue uma reprodução U precisa instalar o driver e suportará até 2,4 GHz não acima disso. Estou usando no Jio WiFi, então não suporta a conectividade 5G como 3.0, a primeira razão pela qual comprei este item foi ter uma câmera de vigilância em minha casa. Para visualizá -lo no meu celular usado, etc ....</v>
      </c>
    </row>
    <row r="884">
      <c r="A884" s="9" t="s">
        <v>3506</v>
      </c>
      <c r="B884" s="29" t="str">
        <f>VLOOKUP(dados!A884, reviews!A:G, 5, FALSE)</f>
        <v>Decent product for the price mentioned,Will recommend for gaming too.,Jakkas mouse pad,Ergonomically designed!,Premium Product !,Great to use,good product,Very comfortable</v>
      </c>
      <c r="C884" s="29" t="str">
        <f>VLOOKUP(dados!A884, reviews!A:G, 6, FALSE)</f>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v>
      </c>
      <c r="D884" s="29" t="str">
        <f>IFERROR(__xludf.DUMMYFUNCTION("GOOGLETRANSLATE(B884, ""en"", ""pt-br"")"),"Produto decente pelo preço mencionado, também recomendará para jogos., Jakkas Mouse Pad, projetado ergonomicamente!, Produto premium!, Ótimo de usar, bom produto, muito confortável")</f>
        <v>Produto decente pelo preço mencionado, também recomendará para jogos., Jakkas Mouse Pad, projetado ergonomicamente!, Produto premium!, Ótimo de usar, bom produto, muito confortável</v>
      </c>
      <c r="E884" s="29" t="str">
        <f>IFERROR(__xludf.DUMMYFUNCTION("GOOGLETRANSLATE(C884, ""en"", ""pt-br"")"),"Bom produto, salva a palma das superfícies ásperas. Está tudo bem até agora. O material externo se deteriorou um pouco, mas nada como se tornou inútil ou algo assim. Fora isso tudo de bom., Estou super satisfeito com este bloco de mouse. Eu tenho usado is"&amp;"so para o trabalho de escritório e os jogos nos últimos meses e devo dizer que isso oferece um conforto extraordinário. Definitivamente, recomendará todos para fazer isso, pois excedeu minha expectativa., GGreat Mouse Pad. 2 meses usando após a revisão pó"&amp;"s, usando este produto desde 9 meses. Macio e realmente útil para uso diário. Comprei por 425/- Bucks. Eu recomendo comprar este produto., É um produto maravilhoso e oferece a melhor experiência e preço razoável. A qualidade e a suavidade de construção sã"&amp;"o excelentes. Ele fornece totalmente uma sensação premium em mãos. Definitivamente o recomendaria., Compra absolutamente fantástica. Vale o preço. É muito robusto na parte inferior, para que não se mova quando você usa o mouse e a aderência também é ótima"&amp;". Eu comprei isso depois que minha mão foi arranhada por causa da mesa onde mantenho minha mão ao usar o mouse. Agora o problema está resolvido., Valor do dinheiro, cores diferentes devem estar disponíveis")</f>
        <v>Bom produto, salva a palma das superfícies ásperas. Está tudo bem até agora. O material externo se deteriorou um pouco, mas nada como se tornou inútil ou algo assim. Fora isso tudo de bom., Estou super satisfeito com este bloco de mouse. Eu tenho usado isso para o trabalho de escritório e os jogos nos últimos meses e devo dizer que isso oferece um conforto extraordinário. Definitivamente, recomendará todos para fazer isso, pois excedeu minha expectativa., GGreat Mouse Pad. 2 meses usando após a revisão pós, usando este produto desde 9 meses. Macio e realmente útil para uso diário. Comprei por 425/- Bucks. Eu recomendo comprar este produto., É um produto maravilhoso e oferece a melhor experiência e preço razoável. A qualidade e a suavidade de construção são excelentes. Ele fornece totalmente uma sensação premium em mãos. Definitivamente o recomendaria., Compra absolutamente fantástica. Vale o preço. É muito robusto na parte inferior, para que não se mova quando você usa o mouse e a aderência também é ótima. Eu comprei isso depois que minha mão foi arranhada por causa da mesa onde mantenho minha mão ao usar o mouse. Agora o problema está resolvido., Valor do dinheiro, cores diferentes devem estar disponíveis</v>
      </c>
    </row>
    <row r="885">
      <c r="A885" s="9" t="s">
        <v>3510</v>
      </c>
      <c r="B885" s="29" t="str">
        <f>VLOOKUP(dados!A885, reviews!A:G, 5, FALSE)</f>
        <v>Far better then expected,Dual Connectivity Not Present,Good One,good,Good product this price,Nice sound,best for bass,good</v>
      </c>
      <c r="C885" s="29" t="str">
        <f>VLOOKUP(dados!A885, reviews!A:G, 6, FALSE)</f>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👌🏻Just a big and only problem, it doesn't support dual Connectivity 🙁 (which is available in even Boat's below ₹1000 headphones)Dual Connectivity is very much required for many, as we have to work together on smartphone &amp; laptop simultaneously.so, again &amp; again disconnecting from lapy the connecting to mobile is just pain.😢So,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v>
      </c>
      <c r="D885" s="29" t="str">
        <f>IFERROR(__xludf.DUMMYFUNCTION("GOOGLETRANSLATE(B885, ""en"", ""pt-br"")"),"Muito melhor do que esperado, conectividade dupla não presente, boa, bom, bom produto este preço, bom som, melhor para baixo, bom")</f>
        <v>Muito melhor do que esperado, conectividade dupla não presente, boa, bom, bom produto este preço, bom som, melhor para baixo, bom</v>
      </c>
      <c r="E885" s="29" t="str">
        <f>IFERROR(__xludf.DUMMYFUNCTION("GOOGLETRANSLATE(C885, ""en"", ""pt-br"")"),"Bem, eu tinha uma noção de que fones de ouvido baratos de BT não podiam produzir um bom som .. bem, eu estava errado .. e estou feliz .. eu uso o IEM, em fones de ouvido com fio normalmente ... usado Sony Skullcandy Soundmagic Kz .. não vou dizer que está"&amp;" Melhor do que tudo isso acima, mas você ficará satisfeito com o produto. A qualidade do som é incrível .. o baixo é bom não como no ouvido ... mas ainda é maravilhoso e o suficiente .. você não pode ter o efeito de um ouvido na orelha de qualidade em um "&amp;"bt barato .. Por isso você precisa gastar pelo menos 10k, eu acho .. ele tem um isolamento passivo de som .. e é ótimo .. devido ao seu ajuste e a espuma metade do ruído externo é substancial apenas colocando -o colocando -o colocando -o colocando ON .. e"&amp;"ntão o resto sai enquanto a música está ligada .. o modo duplo é bom .. mas não pense que alguém usaria o modo normal .. não posso usar o telefone eq nos fones de ouvido nt que é um lado negativo .. mas você pode usar outro EQ de terceiros ou o EQ no Spot"&amp;"ify ou Saavn Works. Os fones de ouvido em si podem sentir que poderia quebrar porque tudo é feito de plástico .. mas parece que é bom ... e não quebrará .. o As almofadas são macias, machucam a cabeça ou a orelha. Usou por horas. Tempo .. Guia do fone de "&amp;"ouvido 101 você precisa queimar os drivers, quero dizer que você precisa usar os fones de ouvido por alguns dias para obter todo o seu potencial .. e a qualidade do som é muito boa .. os vocais são bassam com calma. é a quantidade certa (a maneira como eu"&amp;" gosto) o estágio de som é bom por ser um ouvido com grande driver dinâmico .. e você sentiria a riqueza do som cos da marca. Um fone de ouvido melhor é o que cria som bom e detalhado .. não aqueles que são altos .. então sim, eu recomendaria isso sobre o"&amp;" barco. E uma última coisa. Por ser apenas um fone de ouvido BT e nenhum cabo auxiliar está disponível. A qualidade do som se aprofundou no dispositivo que você está usando a qualidade Bluetooth e a quantidade de som out que ele pode produzir. U pode carr"&amp;"egá -lo com seu carregador nrml se houver 5V .. não use carregador rápido .. usa -o há dois dias. BOM o usou por quase 4/5 horas ainda com carga de 70% à esquerda. Ele é mostrado na conectividade BT SEC no seu telefone .. no final, se você estiver procura"&amp;"ndo um fone de ouvido com um bom look premium, uma marca bem renomada e um ótimo som Qualidade compre isso sem dúvida .. isso é muito satisfatório .. vá em frente. A entrega da Amazon realmente não está à altura do alvo. Mesmo sendo uma empresa de renome "&amp;"e tudo ow e outra coisa viu que alguns se queixaram dela sendo fabricados na China Mine, diz fabricado na Malásia. Sim, é um original registrando -o com o Harman Audio .., tudo, baixo, a bateria ... é excelente, apenas um grande e único problema, não supo"&amp;"rta conectividade dupla 🙁 (que está disponível até os fones de ouvido abaixo de ₹ 1000) é muito necessário para Muitos, como temos que trabalhar juntos no smartphone e laptop simultaneamente. é baixo. Quem quer ouvir música Veru Loud com baixo alto, não "&amp;"é para eles. Além disso, não está cobrindo para mim às vezes está dando dor enquanto usa longas horas., Bom, bom produto, boa qualidade, ágar Construir quilidade ko chhor diya jay para o fone de ouvido yah 2100 tak k melhor fone de fone h, ok")</f>
        <v>Bem, eu tinha uma noção de que fones de ouvido baratos de BT não podiam produzir um bom som .. bem, eu estava errado .. e estou feliz .. eu uso o IEM, em fones de ouvido com fio normalmente ... usado Sony Skullcandy Soundmagic Kz .. não vou dizer que está Melhor do que tudo isso acima, mas você ficará satisfeito com o produto. A qualidade do som é incrível .. o baixo é bom não como no ouvido ... mas ainda é maravilhoso e o suficiente .. você não pode ter o efeito de um ouvido na orelha de qualidade em um bt barato .. Por isso você precisa gastar pelo menos 10k, eu acho .. ele tem um isolamento passivo de som .. e é ótimo .. devido ao seu ajuste e a espuma metade do ruído externo é substancial apenas colocando -o colocando -o colocando -o colocando ON .. então o resto sai enquanto a música está ligada .. o modo duplo é bom .. mas não pense que alguém usaria o modo normal .. não posso usar o telefone eq nos fones de ouvido nt que é um lado negativo .. mas você pode usar outro EQ de terceiros ou o EQ no Spotify ou Saavn Works. Os fones de ouvido em si podem sentir que poderia quebrar porque tudo é feito de plástico .. mas parece que é bom ... e não quebrará .. o As almofadas são macias, machucam a cabeça ou a orelha. Usou por horas. Tempo .. Guia do fone de ouvido 101 você precisa queimar os drivers, quero dizer que você precisa usar os fones de ouvido por alguns dias para obter todo o seu potencial .. e a qualidade do som é muito boa .. os vocais são bassam com calma. é a quantidade certa (a maneira como eu gosto) o estágio de som é bom por ser um ouvido com grande driver dinâmico .. e você sentiria a riqueza do som cos da marca. Um fone de ouvido melhor é o que cria som bom e detalhado .. não aqueles que são altos .. então sim, eu recomendaria isso sobre o barco. E uma última coisa. Por ser apenas um fone de ouvido BT e nenhum cabo auxiliar está disponível. A qualidade do som se aprofundou no dispositivo que você está usando a qualidade Bluetooth e a quantidade de som out que ele pode produzir. U pode carregá -lo com seu carregador nrml se houver 5V .. não use carregador rápido .. usa -o há dois dias. BOM o usou por quase 4/5 horas ainda com carga de 70% à esquerda. Ele é mostrado na conectividade BT SEC no seu telefone .. no final, se você estiver procurando um fone de ouvido com um bom look premium, uma marca bem renomada e um ótimo som Qualidade compre isso sem dúvida .. isso é muito satisfatório .. vá em frente. A entrega da Amazon realmente não está à altura do alvo. Mesmo sendo uma empresa de renome e tudo ow e outra coisa viu que alguns se queixaram dela sendo fabricados na China Mine, diz fabricado na Malásia. Sim, é um original registrando -o com o Harman Audio .., tudo, baixo, a bateria ... é excelente, apenas um grande e único problema, não suporta conectividade dupla 🙁 (que está disponível até os fones de ouvido abaixo de ₹ 1000) é muito necessário para Muitos, como temos que trabalhar juntos no smartphone e laptop simultaneamente. é baixo. Quem quer ouvir música Veru Loud com baixo alto, não é para eles. Além disso, não está cobrindo para mim às vezes está dando dor enquanto usa longas horas., Bom, bom produto, boa qualidade, ágar Construir quilidade ko chhor diya jay para o fone de ouvido yah 2100 tak k melhor fone de fone h, ok</v>
      </c>
    </row>
    <row r="886">
      <c r="A886" s="9" t="s">
        <v>3514</v>
      </c>
      <c r="B886" s="29" t="str">
        <f>VLOOKUP(dados!A886, reviews!A:G, 5, FALSE)</f>
        <v>Sleek case,Perfect fit for iPad,Waluable product,Good quality,Go for it!,Its definitely worth it,Am glad I bought this.,Quality is good</v>
      </c>
      <c r="C886" s="29" t="str">
        <f>VLOOKUP(dados!A886, reviews!A:G, 6, FALSE)</f>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v>
      </c>
      <c r="D886" s="29" t="str">
        <f>IFERROR(__xludf.DUMMYFUNCTION("GOOGLETRANSLATE(B886, ""en"", ""pt-br"")"),"Caso elegante, ajuste perfeito para iPad, produto e qualidade, boa qualidade, vá em frente!, Definitivamente vale a pena, estou feliz por ter comprado isso., Qualidade é boa")</f>
        <v>Caso elegante, ajuste perfeito para iPad, produto e qualidade, boa qualidade, vá em frente!, Definitivamente vale a pena, estou feliz por ter comprado isso., Qualidade é boa</v>
      </c>
      <c r="E886" s="29" t="str">
        <f>IFERROR(__xludf.DUMMYFUNCTION("GOOGLETRANSLATE(C886, ""en"", ""pt-br"")"),"Muito magro e elegante, qualidade premium em todo o produto bom e bobo para um aluno., Vale a pena para o MoneySutable para uso duro, já faz uma semana desde que eu consegui isso e até agora é bom .. faz o trabalho!, Eu realmente estou gostando Usando meu"&amp;" iPad ainda mais. Realmente vale a pena. A cor também é muito boa. Você definitivamente pode seguir em frente. No geral, a qualidade do produto é boa.Fyi: se você está procurando uma capa de iPad com porta -lápis, essa pode não ser a melhor opção.,")</f>
        <v>Muito magro e elegante, qualidade premium em todo o produto bom e bobo para um aluno., Vale a pena para o MoneySutable para uso duro, já faz uma semana desde que eu consegui isso e até agora é bom .. faz o trabalho!, Eu realmente estou gostando Usando meu iPad ainda mais. Realmente vale a pena. A cor também é muito boa. Você definitivamente pode seguir em frente. No geral, a qualidade do produto é boa.Fyi: se você está procurando uma capa de iPad com porta -lápis, essa pode não ser a melhor opção.,</v>
      </c>
    </row>
    <row r="887">
      <c r="A887" s="9" t="s">
        <v>231</v>
      </c>
      <c r="B887" s="29" t="str">
        <f>VLOOKUP(dados!A887, reviews!A:G, 5, FALSE)</f>
        <v>Using it with my QC 3 Charger .So far- So good.A Quality cable with a sturdy construction &amp; troublefree performance.,Awesome product go for buy it 👍,Execellent,Sturdy micro USB cable for Old phones,Super,Product description says 3 feet it's hardly a foot length wire.,Good,Excellent quality cable</v>
      </c>
      <c r="C887" s="29" t="str">
        <f>VLOOKUP(dados!A887, reviews!A:G, 6, FALSE)</f>
        <v>ABOUT  AMAZONBASICS:xxxxxxxxxxxxxxxxxxxxxxxxxxxxxxAmazon Basics was launched in 2009 &amp; is Amazon’s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it’s cable size &amp; flexibility is almost tangle-free.The associated cable was not exactly thick but can’t be termed as thin or delicate too. It’s not the thickest I’ve seen but then thickest doesn’t always means most durable. Given my application it’s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v>
      </c>
      <c r="D887" s="29" t="str">
        <f>IFERROR(__xludf.DUMMYFUNCTION("GOOGLETRANSLATE(B887, ""en"", ""pt-br"")"),"Usando-o com meu carregador QC 3. Então, tão bom. pés é quase um fio de comprimento do pé., Cabo de excelente qualidade, excelente qualidade")</f>
        <v>Usando-o com meu carregador QC 3. Então, tão bom. pés é quase um fio de comprimento do pé., Cabo de excelente qualidade, excelente qualidade</v>
      </c>
      <c r="E887" s="29" t="str">
        <f>IFERROR(__xludf.DUMMYFUNCTION("GOOGLETRANSLATE(C887, ""en"", ""pt-br"")"),"Sobre o AmazonBasics: xxxxxxxxxxxxxxxxxxxxxxxxxxxxxxxxxamazon Os básicos foram lançados em 2009 e é a própria marca interna da Amazon para movimentação rápida de pequenos consumidores eletrônicos. Aqui, a Amazon usa sua coleção maciça de dados de vendas p"&amp;"ara lançar produtos que são em grande demanda e já existem no mercado. preços. Basta colocar uma réplica semelhante para algo bem -sucedido, mas a preços muito acessíveis. Se algo não for um sucesso imediato, a Amazon o puxa e segue em frente. Aamazon, ca"&amp;"so contrário, é como um mercado on -line, onde fornece um portal para vários vendedores venderem seu produto Mas com a AmazonBasics - a Amazon está vendendo seu próprio produto em seu próprio mercado. Aqui ele deriva o benefício de eliminar quaisquer dist"&amp;"ribuidores intermediários ou varejistas e, portanto, os produtos da marca AmazonBasics estão disponíveis por um preço mais baixo que atrai clientes em massa on -line. Como um benefício adicional, produtos AmazonBasics são entregues gratuitamente aos membr"&amp;"os do Prime e são cobertos pela garantia da Amazon para todos e, portanto, qualquer procedimentos de reivindicação ou substituição são altamente simplificados e imediatamente atendidos. estava procurando um cabo com o conector USB A a Micro B. Listei minh"&amp;"as prioridades sob várias cabeças para chegar a uma conclusão e vamos comparar o produto real com base nos meus requisitos iniciais: 1). *********** Como deveria ser usado principalmente para dispositivos móveis rápidos carregando no carro, a capacidade d"&amp;"e troca de dados não era muito preocupada. A preferência, porém, certamente teria sido um USB 3, mas também não me incomodou se eu também pudesse obter um USB 2.0. Seja muito bem. Não capturei nenhum dado de velocidade, mas todos conhecemos a velocidade d"&amp;"a transferência de dados também varia com o tipo de dados que está sendo transferido. Quanto mais variedade de dados sendo transferidos simultaneamente, mais inferior será a velocidade.2.) Comprimento do cabo: ***************************** *********** nov"&amp;"amente, já que eu não podia me dar ao luxo de ter um longo loop de cabo agrupado em torno do meu botão de engrenagem, eu preferia mantê -lo curto e simples, portanto, meu único mirante estava em torno de um metro ou abaixo. Produto real: O cabo veio bem e"&amp;"mbalado em um pacote de papel e tinha exatamente 0,9 metros ou aproximadamente 3 pés de comprimento. O comprimento era suficiente para eu conectar qualquer um dos dispositivos móveis ao meu carregador de carro nos motoristas ou no assento do passageiro la"&amp;"teral.3.) Padrões de flexibilidade/ flexibilidade/ força: ************* **************************************************** ************* Eu não sou particularmente fã daqueles fios trançados teimosos que são tão difíceis que eles mantêm a forma em que s"&amp;"ão dobrados. Eu queria algo que fosse espesso, mas flexível o suficiente para adquirir uma forma circular quando agrupada. Produto de ativação: o cabo recebido parecia exatamente como mostrado sobre o local com boa flexibilidade, espessura razoável e um c"&amp;"abo intermediário robusto. Toda a construção do cabo devido ao tamanho do cabo e da flexibilidade é quase livre de emaranhado. O cabo associado não era exatamente espesso, mas também não pode ser denominado como fino ou delicado. Não é o mais espesso que "&amp;"eu já vi, mas depois mais espessa nem sempre significa mais durável. Dada a minha aplicação, é mais do que apenas adequado. A qualidade geral construída e a qualidade do cabo e o isolamento parece promissor o suficiente para durar alguns anos. Mesmo que s"&amp;"eja usado para que não seja o carregamento do carro, parece durável o suficiente para durar muito. Eu tinha ainda mais o cabo da MANSAA e um cabo de amkette para o mesmo objetivo, mas eles eram muito longos para a minha exigência.4.) Conectores moldados c"&amp;"ompactos: ******* **************************************************** ** Tinha uma inclinação em relação aos conectores moldados para evitar problemas em que os conectores se abrem expondo os PCBs terminais. Produto atual: Não há queixas em relação aos c"&amp;"onectores do cabo real. Os conectores são perfeitamente moldados sem articulações ou riscos de se abrirem. As carcaças do conector são ainda mais compactas nos terminais para se encaixarem confortavelmente em espaços escassos. As portas do conector são re"&amp;"sistentes o suficiente tanto nas portas USB A e Micro B. Os pinos da porta Micro B travam com segurança os dispositivos móveis de carregamento, o que é muito bom. Não há sinais de construção solta. uma resistência à corrosão e ninguém vai usá -los em água"&amp;" do mar salina de qualquer maneira.5.) Disponibilidade de laços/correias de velcro: **************************** ********************************* Eu esperava que uma gravata de cabo incluída ou uma pulseira de velcro fosse um bom complemento para ajustar"&amp;" e organizar corretamente o cabo conforme o requisito. Produto de ação: Isto eu sinto falta no cabo real fornecido, não há disposição de uma pulseira incluída ou gravata do cabo através da qual eu poderia ajustar o comprimento do meu cabo necessário facil"&amp;"mente.6. **********************Indo Até 3,4 amperes em certos casos, portanto, o cabo precisava ter uma capacidade de manuseio de corrente decente. Produto de ação: O cabo real possui uma classificação de placa de identificação de lidar com 2,1 amperes co"&amp;"ntra demandas em novos carregadores QC 3.0 que podem subir de 3,4 amperes. Aqui, deixe -me esclarecer que os mais recentes carregadores de QC variam de volta e índices de corrente para alcançar o carregamento rápido desejado e, portanto, não é como se um "&amp;"fluxo contínuo de 3,4 amperes está lá, ele continua reduzindo as classificações de cabos projetadas para um manuseio contínuo de corrente de Qualquer coisa acima de 2,0 amperes funcionaria suficientemente com os carregadores de QC 3.0. Tentou -o com segur"&amp;"ança várias vezes carregando meu Samsung S7 de 10 % sem que o cabo fique quente.7.) Garantia: **************** ********** vem com uma garantia de 1 ano conforme o esperado. Não é o melhor da indústria, mas razoável. Outras observações: *******************"&amp;"**************** A partir dos recursos listados acima, os outros detalhes do produto real recebido que vale a pena mencionar são: 8.) O cabo é fabricado na China e importado pelos revendedores do Amazon Warehouse sob o nome da marca e a filosofia do Amazo"&amp;"nBasics.9.) O cabo possui uma fabricação Data de outubro de 2017 e foi importada para a Índia em dezembro de 2017.10.) O cabo possui uma etiqueta MRP de 495 dólares, no entanto, eu o comprei on -line por 269 dólares. &amp; email também é impresso sobre o rótu"&amp;"lo para o registro de qualquer queixa do consumidor. Até agora, de construção ao desempenho parece ser convincente o suficiente para recomendá -lo e, por um preço de cerca de 260 Os tempos dão a preços baratos estão além da imaginação. Simplesmente soberb"&amp;"o, o governo não deve impedir os produtos da Amazon, os produtos da Amazon fornecem concorrência a produtos locais sem qualidade, que os consumidores são forçados a comprar porque não têm concorrência de qualidade. Make in Índia é bom, mas se os produtos "&amp;"make in Índia forem cópias simples e baratas de produtos de marca sem nenhum investimento em R e D, sem R e D, na Índia nunca teria sucesso e que empresas como a Amazon só levarão à perda para a perda por para Consumidores, o governo deve incentivar essa "&amp;"concorrência., A Amazon Basics fornece um dos melhores cabos disponíveis para carregar seu telefone ou conectar dispositivos. Como um cliente anterior de muitos cabos da Amazon Este cabo também não decepciona, suporta carregamento rápido para todos os meu"&amp;"s meus Telefones samsung. 6 preços acessíveis. Obrigado Amazoni também usa um cabo USB C para o meu Samsung S20FE., Super, o carregamento do produto está ok .. no entanto, tem apenas 1,80m de duração. O fornecedor poderia ter mencionado a descrição corret"&amp;"a do produto .. não há necessidade de enganar .. também cedo para dizer o desempenho como o recebi hoje., Bom, comprei muitos cabos de micro USB chineses baratos em Rs 50 e Rs 100 de Ubon e de muitas outras empresas locais chinesas, e nenhum deles funcion"&amp;"ou corretamente. vá para isso. E está cobrando também transferindo dados, sem nenhum problema e estou muito feliz com meu conselho de compra: não compre, cabos locais chineses baratos. Você terá que jogá -los no pó após algum tempo. um.")</f>
        <v>Sobre o AmazonBasics: xxxxxxxxxxxxxxxxxxxxxxxxxxxxxxxxxamazon Os básicos foram lançados em 2009 e é a própria marca interna da Amazon para movimentação rápida de pequenos consumidores eletrônicos. Aqui, a Amazon usa sua coleção maciça de dados de vendas para lançar produtos que são em grande demanda e já existem no mercado. preços. Basta colocar uma réplica semelhante para algo bem -sucedido, mas a preços muito acessíveis. Se algo não for um sucesso imediato, a Amazon o puxa e segue em frente. Aamazon, caso contrário, é como um mercado on -line, onde fornece um portal para vários vendedores venderem seu produto Mas com a AmazonBasics - a Amazon está vendendo seu próprio produto em seu próprio mercado. Aqui ele deriva o benefício de eliminar quaisquer distribuidores intermediários ou varejistas e, portanto, os produtos da marca AmazonBasics estão disponíveis por um preço mais baixo que atrai clientes em massa on -line. Como um benefício adicional, produtos AmazonBasics são entregues gratuitamente aos membros do Prime e são cobertos pela garantia da Amazon para todos e, portanto, qualquer procedimentos de reivindicação ou substituição são altamente simplificados e imediatamente atendidos. estava procurando um cabo com o conector USB A a Micro B. Listei minhas prioridades sob várias cabeças para chegar a uma conclusão e vamos comparar o produto real com base nos meus requisitos iniciais: 1). *********** Como deveria ser usado principalmente para dispositivos móveis rápidos carregando no carro, a capacidade de troca de dados não era muito preocupada. A preferência, porém, certamente teria sido um USB 3, mas também não me incomodou se eu também pudesse obter um USB 2.0. Seja muito bem. Não capturei nenhum dado de velocidade, mas todos conhecemos a velocidade da transferência de dados também varia com o tipo de dados que está sendo transferido. Quanto mais variedade de dados sendo transferidos simultaneamente, mais inferior será a velocidade.2.) Comprimento do cabo: ***************************** *********** novamente, já que eu não podia me dar ao luxo de ter um longo loop de cabo agrupado em torno do meu botão de engrenagem, eu preferia mantê -lo curto e simples, portanto, meu único mirante estava em torno de um metro ou abaixo. Produto real: O cabo veio bem embalado em um pacote de papel e tinha exatamente 0,9 metros ou aproximadamente 3 pés de comprimento. O comprimento era suficiente para eu conectar qualquer um dos dispositivos móveis ao meu carregador de carro nos motoristas ou no assento do passageiro lateral.3.) Padrões de flexibilidade/ flexibilidade/ força: ************* **************************************************** ************* Eu não sou particularmente fã daqueles fios trançados teimosos que são tão difíceis que eles mantêm a forma em que são dobrados. Eu queria algo que fosse espesso, mas flexível o suficiente para adquirir uma forma circular quando agrupada. Produto de ativação: o cabo recebido parecia exatamente como mostrado sobre o local com boa flexibilidade, espessura razoável e um cabo intermediário robusto. Toda a construção do cabo devido ao tamanho do cabo e da flexibilidade é quase livre de emaranhado. O cabo associado não era exatamente espesso, mas também não pode ser denominado como fino ou delicado. Não é o mais espesso que eu já vi, mas depois mais espessa nem sempre significa mais durável. Dada a minha aplicação, é mais do que apenas adequado. A qualidade geral construída e a qualidade do cabo e o isolamento parece promissor o suficiente para durar alguns anos. Mesmo que seja usado para que não seja o carregamento do carro, parece durável o suficiente para durar muito. Eu tinha ainda mais o cabo da MANSAA e um cabo de amkette para o mesmo objetivo, mas eles eram muito longos para a minha exigência.4.) Conectores moldados compactos: ******* **************************************************** ** Tinha uma inclinação em relação aos conectores moldados para evitar problemas em que os conectores se abrem expondo os PCBs terminais. Produto atual: Não há queixas em relação aos conectores do cabo real. Os conectores são perfeitamente moldados sem articulações ou riscos de se abrirem. As carcaças do conector são ainda mais compactas nos terminais para se encaixarem confortavelmente em espaços escassos. As portas do conector são resistentes o suficiente tanto nas portas USB A e Micro B. Os pinos da porta Micro B travam com segurança os dispositivos móveis de carregamento, o que é muito bom. Não há sinais de construção solta. uma resistência à corrosão e ninguém vai usá -los em água do mar salina de qualquer maneira.5.) Disponibilidade de laços/correias de velcro: **************************** ********************************* Eu esperava que uma gravata de cabo incluída ou uma pulseira de velcro fosse um bom complemento para ajustar e organizar corretamente o cabo conforme o requisito. Produto de ação: Isto eu sinto falta no cabo real fornecido, não há disposição de uma pulseira incluída ou gravata do cabo através da qual eu poderia ajustar o comprimento do meu cabo necessário facilmente.6. **********************Indo Até 3,4 amperes em certos casos, portanto, o cabo precisava ter uma capacidade de manuseio de corrente decente. Produto de ação: O cabo real possui uma classificação de placa de identificação de lidar com 2,1 amperes contra demandas em novos carregadores QC 3.0 que podem subir de 3,4 amperes. Aqui, deixe -me esclarecer que os mais recentes carregadores de QC variam de volta e índices de corrente para alcançar o carregamento rápido desejado e, portanto, não é como se um fluxo contínuo de 3,4 amperes está lá, ele continua reduzindo as classificações de cabos projetadas para um manuseio contínuo de corrente de Qualquer coisa acima de 2,0 amperes funcionaria suficientemente com os carregadores de QC 3.0. Tentou -o com segurança várias vezes carregando meu Samsung S7 de 10 % sem que o cabo fique quente.7.) Garantia: **************** ********** vem com uma garantia de 1 ano conforme o esperado. Não é o melhor da indústria, mas razoável. Outras observações: *********************************** A partir dos recursos listados acima, os outros detalhes do produto real recebido que vale a pena mencionar são: 8.) O cabo é fabricado na China e importado pelos revendedores do Amazon Warehouse sob o nome da marca e a filosofia do AmazonBasics.9.) O cabo possui uma fabricação Data de outubro de 2017 e foi importada para a Índia em dezembro de 2017.10.) O cabo possui uma etiqueta MRP de 495 dólares, no entanto, eu o comprei on -line por 269 dólares. &amp; email também é impresso sobre o rótulo para o registro de qualquer queixa do consumidor. Até agora, de construção ao desempenho parece ser convincente o suficiente para recomendá -lo e, por um preço de cerca de 260 Os tempos dão a preços baratos estão além da imaginação. Simplesmente soberbo, o governo não deve impedir os produtos da Amazon, os produtos da Amazon fornecem concorrência a produtos locais sem qualidade, que os consumidores são forçados a comprar porque não têm concorrência de qualidade. Make in Índia é bom, mas se os produtos make in Índia forem cópias simples e baratas de produtos de marca sem nenhum investimento em R e D, sem R e D, na Índia nunca teria sucesso e que empresas como a Amazon só levarão à perda para a perda por para Consumidores, o governo deve incentivar essa concorrência., A Amazon Basics fornece um dos melhores cabos disponíveis para carregar seu telefone ou conectar dispositivos. Como um cliente anterior de muitos cabos da Amazon Este cabo também não decepciona, suporta carregamento rápido para todos os meus meus Telefones samsung. 6 preços acessíveis. Obrigado Amazoni também usa um cabo USB C para o meu Samsung S20FE., Super, o carregamento do produto está ok .. no entanto, tem apenas 1,80m de duração. O fornecedor poderia ter mencionado a descrição correta do produto .. não há necessidade de enganar .. também cedo para dizer o desempenho como o recebi hoje., Bom, comprei muitos cabos de micro USB chineses baratos em Rs 50 e Rs 100 de Ubon e de muitas outras empresas locais chinesas, e nenhum deles funcionou corretamente. vá para isso. E está cobrando também transferindo dados, sem nenhum problema e estou muito feliz com meu conselho de compra: não compre, cabos locais chineses baratos. Você terá que jogá -los no pó após algum tempo. um.</v>
      </c>
    </row>
    <row r="888">
      <c r="A888" s="9" t="s">
        <v>3519</v>
      </c>
      <c r="B888" s="29" t="str">
        <f>VLOOKUP(dados!A888, reviews!A:G, 5, FALSE)</f>
        <v>Good but the scroll is now damaged,Nice,Noiseless...,It's a good one,Good.,Satisfied,Simply Superb !,Scroll wheel stopped working in 3 months</v>
      </c>
      <c r="C888" s="29" t="str">
        <f>VLOOKUP(dados!A888, reviews!A:G, 6, FALSE)</f>
        <v>- excellent piece of wireless mouse- reasonable price and worth every penny- one problem i faced is the scroll stopped working now,Performance is good and very silent 🐭🐭🐭,Good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v>
      </c>
      <c r="D888" s="29" t="str">
        <f>IFERROR(__xludf.DUMMYFUNCTION("GOOGLETRANSLATE(B888, ""en"", ""pt-br"")"),"Bom, mas o pergaminho agora está danificado, agradável, silencioso ..., é bom, bom., Satisfeito, simplesmente excelente!, Rolagem de rolagem parou de trabalhar em 3 meses")</f>
        <v>Bom, mas o pergaminho agora está danificado, agradável, silencioso ..., é bom, bom., Satisfeito, simplesmente excelente!, Rolagem de rolagem parou de trabalhar em 3 meses</v>
      </c>
      <c r="E888" s="29" t="str">
        <f>IFERROR(__xludf.DUMMYFUNCTION("GOOGLETRANSLATE(C888, ""en"", ""pt-br"")"),"- Excelente peça de mouse sem fio- Preço razoável e vale cada centavo- um problema que enfrentei é o pergaminho parado de funcionar agora, o desempenho é bom e muito silencioso 🐭🐭🐭, bom mouse ... o movimento do cursor é bom .... clique é literalmente s"&amp;"ilencioso ... o tamanho poderia ter sido um pouco grande ... no geral, é bom. É bom: muito macio para a mão. Sem som de clique. Muito favorável para isso, caras que querem um ambiente tranquilo. Para o tamanho do mouse, nem muito pequeno nem muito grande "&amp;"na mão. Como é muito macio, os cuidados com os usos devem ser tomados., Bom., Eu peguei esse mouse porque às vezes é fácil e conserva o espaço. Além disso, eu queria estar um pouco longe da tela do meu laptop. Observe que é melhor se você comprar até um t"&amp;"eclado sem fio, estará realmente fora. Comprei isso por 1200., este é um mouse sem fio muito bom, funciona perfeitamente, encaixa -se soberbo na sua mão e é simples plug and play. O aperto na mão é incrível, e o tamanho é adequado para tudo, desde a simpl"&amp;"es navegação até jogar o jogo. O mouse é sensível em qualquer superfície e não requer um bloco, eu o uso na cama sem nenhum problema. Basta ir em frente., Dando cinco estrelas para que você possa notar")</f>
        <v>- Excelente peça de mouse sem fio- Preço razoável e vale cada centavo- um problema que enfrentei é o pergaminho parado de funcionar agora, o desempenho é bom e muito silencioso 🐭🐭🐭, bom mouse ... o movimento do cursor é bom .... clique é literalmente silencioso ... o tamanho poderia ter sido um pouco grande ... no geral, é bom. É bom: muito macio para a mão. Sem som de clique. Muito favorável para isso, caras que querem um ambiente tranquilo. Para o tamanho do mouse, nem muito pequeno nem muito grande na mão. Como é muito macio, os cuidados com os usos devem ser tomados., Bom., Eu peguei esse mouse porque às vezes é fácil e conserva o espaço. Além disso, eu queria estar um pouco longe da tela do meu laptop. Observe que é melhor se você comprar até um teclado sem fio, estará realmente fora. Comprei isso por 1200., este é um mouse sem fio muito bom, funciona perfeitamente, encaixa -se soberbo na sua mão e é simples plug and play. O aperto na mão é incrível, e o tamanho é adequado para tudo, desde a simples navegação até jogar o jogo. O mouse é sensível em qualquer superfície e não requer um bloco, eu o uso na cama sem nenhum problema. Basta ir em frente., Dando cinco estrelas para que você possa notar</v>
      </c>
    </row>
    <row r="889">
      <c r="A889" s="9" t="s">
        <v>3523</v>
      </c>
      <c r="B889" s="29" t="str">
        <f>VLOOKUP(dados!A889, reviews!A:G, 5, FALSE)</f>
        <v>Noice,Love these.!,Good,Nice product,Good items,Drawing ke liye Maine mangvaya tha,Nice acrylic paint tubes. Good one,Smooth paste nice product</v>
      </c>
      <c r="C889" s="29" t="str">
        <f>VLOOKUP(dados!A889, reviews!A:G, 6, FALSE)</f>
        <v>https://m.media-amazon.com/images/I/715D5RP3RIL._SY88.jpg,They r super  good..Love them,Nice,Nice.,Good product,Bahut acche lagte Hain,My daughter liked these acrylic paint tunes. Nice colors,https://m.media-amazon.com/images/I/81KRMZJ2LRL._SY88.jpg</v>
      </c>
      <c r="D889" s="29" t="str">
        <f>IFERROR(__xludf.DUMMYFUNCTION("GOOGLETRANSLATE(B889, ""en"", ""pt-br"")"),"Não, adoro estes.!, Bom, bom produto, itens bons, desenhando Ke Liye Maine Mangvaya Tha, belos tubos de tinta acrílica. Bom, pasta suave, bom produto")</f>
        <v>Não, adoro estes.!, Bom, bom produto, itens bons, desenhando Ke Liye Maine Mangvaya Tha, belos tubos de tinta acrílica. Bom, pasta suave, bom produto</v>
      </c>
      <c r="E889" s="29" t="str">
        <f>IFERROR(__xludf.DUMMYFUNCTION("GOOGLETRANSLATE(C889, ""en"", ""pt-br"")"),"https://m.media-amazon.com/images/i/715d5rp3ril._sy88.jpg, eles super bem ... adoram, legal, legal. músicas. Cores agradáveis, https: //m.media-amazon.com/images/i/81krmzj2lrl._sy88.jpg")</f>
        <v>https://m.media-amazon.com/images/i/715d5rp3ril._sy88.jpg, eles super bem ... adoram, legal, legal. músicas. Cores agradáveis, https: //m.media-amazon.com/images/i/81krmzj2lrl._sy88.jpg</v>
      </c>
    </row>
    <row r="890">
      <c r="A890" s="9" t="s">
        <v>2154</v>
      </c>
      <c r="B890" s="29" t="str">
        <f>VLOOKUP(dados!A890, reviews!A:G, 5, FALSE)</f>
        <v>Merges with the device, Ultra Thin, Smooth Sliding,Good for Privacy Concerns,Good product,RESEARCH PROPERLY BEFORE BUYING! NOT SUITABLE FOR MACBOOKS!</v>
      </c>
      <c r="C890" s="29" t="str">
        <f>VLOOKUP(dados!A890, reviews!A:G, 6, FALSE)</f>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 the product has merged with it. The little plastic container in the package will act as storage for the rest of the webcam covers.It is ultra-thin as described by the company with acquiring about a millimeter thickness. This thickness can cope with the windows laptops as they are having the rubber buffers on the top side of the screen frame because those buffers act as a spacer between the screen and the lower-up body/keyboard of the laptop to avoid any harm to the screen. This spacer is advantageous to the webcam cover as closing the lid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 laptop, and never try this product for your Mac laptops. As the Mac laptops have a stunning plain glass screen that is covering the whole screen frame part and has no spacers, that is there's no space left after closing the laptop lid and hence upon installation of this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 cover, and make its edges (the edges close to the slider) smooth (rounding off or fillet), so that upon sliding the slider with a fat finger, it can easily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screen.𝗕𝘂𝗶𝗹𝗱 𝗤𝘂𝗮𝗹𝗶𝘁𝘆 𝟰.𝟱/𝟱You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choice.𝗔𝗱𝗵𝗲𝘀𝗶𝗼𝗻 𝟯/𝟱I am sorry to say that the Adhesion of this product is quite weak. It literally falls off after a week of applying it. I had to throw 2 of it as it became useless. I only had the last piece remaining.𝗦𝗼𝗹𝘂𝘁𝗶𝗼𝗻 𝗳𝗼𝗿 𝗔𝗱𝗵𝗲𝘀𝗶𝗼𝗻 : Eventually I was able to find a solution for this problem.• Remove the Stock Adhesion by gently applying Isopropyl alcohol.• Then apply a strong Adhesive glue (I used Fevi Kwick). Apply it only on the back edges of the webcam  cover. Since it's extremely thin, I used thin needle to apply Super Glue gently on it or else the Superglue  will spill out and make a mess.•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v>
      </c>
      <c r="D890" s="29" t="str">
        <f>IFERROR(__xludf.DUMMYFUNCTION("GOOGLETRANSLATE(B890, ""en"", ""pt-br"")"),"Mespere -se com o dispositivo, deslizante ultra fino e suave, bom para preocupações com privacidade, bom produto, pesquisa corretamente antes de comprar! Não é adequado para MacBooks!")</f>
        <v>Mespere -se com o dispositivo, deslizante ultra fino e suave, bom para preocupações com privacidade, bom produto, pesquisa corretamente antes de comprar! Não é adequado para MacBooks!</v>
      </c>
      <c r="E890" s="29" t="str">
        <f>IFERROR(__xludf.DUMMYFUNCTION("GOOGLETRANSLATE(C890, ""en"", ""pt-br"")"),"ProductLiramark Webcam Cover Slidevents DataDord Data - 09/04/2022 Data de entrega - 11/04/2022 Data de revisão - 05/05/2022STATUSRECEVEL Quadro - quadro traseiro estático da tampa da webcam&gt; quadro de tela - O produto da tela do laptop é resistente e inv"&amp;"isível (para o tema de cor mútua para dispositivo e produto) e bem fabricado. Se o dispositivo tiver o mesmo tema preto fosco, esta capa da webcam poderá ser facilmente mesclada e se tornará parte do corpo do dispositivo. Como você pode ver, meu laptop te"&amp;"m uma estrutura de tela preta fosca e surpreendentemente o produto se fundiu com ele. O pequeno recipiente de plástico no pacote atuará como armazenamento para o restante das capas da webcam.et é ultrafino, conforme descrito pela empresa com a aquisição d"&amp;"e uma espessura de um milímetro. Essa espessura pode lidar com os laptops do Windows, pois eles estão tendo os tampões de borracha no lado superior do quadro da tela, porque esses buffers atuam como um espaçador entre a tela e o corpo/teclado inferior do "&amp;"laptop para evitar qualquer dano ao tela. Esse espaçador é vantajoso para a capa da webcam, pois o fechamento da tampa não prejudicará a tela, a estrutura da tela e o corpo inferior do laptop. Mas, ainda assim, não pressione o local onde a tampa da webcam"&amp;" é instalada, pois a espessura da tampa da webcam é um pouco mais nos micrômetros do que os tampões de borracha do próprio laptop. A função deslizante é muito suave, mas não se esqueça de empurrar apenas a parte do controle deslizante e não toda a parte e"&amp;"stática, pois tornará a aderência fraca ao longo do tempo de uso. O dispositivo pode ser usado com qualquer telefone e monitor, pois não têm problemas com Abrindo e fechando as tampas. Agora, para os usuários do ""laptop Mac"", não é um produto para o seu"&amp;" laptop e nunca experimente este produto para seus laptops Mac. Como os laptops Mac têm uma tela de vidro simples impressionante que está cobrindo o peça de tela inteira e não tem espaçadores, ou seja, não há espaço depois de fechar a tampa do laptop e, p"&amp;"ortanto, após a instalação deste produto danificará (rachadura/quebra) a tela de vidro simples. Instalação é fácil, remova a fita azul e cola cuidadosamente A tampa como adesivo, usando a escala para suporte, ou você pode enfiá-la um pouco inclinada. Depo"&amp;"is de grudar, esfregue a palma da mão para a geração de calor e pegue a estrutura da tela das duas palmas das mãos e aplique a pressão ultra-light e mantenha a posição Até 2 a 5 minutos. E lá você vai para sua vida invisível satisfeita. para detritos ou p"&amp;"oeira. Além disso, é um bom produto. Para mim, funcionou incrível. Sinal verde daqui. Obrigado :) sugestão o fabricante - observe a estrutura estática da capa da webcam e faça suas bordas (as bordas próximas ao controle deslizante) liso (arredondando ou f"&amp;"ilete), de modo que, ao deslizar o slider com um Dedo gordo, ele pode deslizar facilmente sobre as bordas da estrutura estática, portanto, não coloca uma força desnecessária em uma estrutura estática. Para o vendedor - bem embalando o consumidor - verifiq"&amp;"ue os espaçadores/buffers de borracha fornecidos no laptop (como laptops Windows ), se for, você pode usar a capa da webcam, se não (como laptops Mac), não é o produto para você. Mesmo para os laptops do Windows, depois de instalar uma capa da webcam, ten"&amp;"te não pressionar o local da capa da webcam por muito tempo. Deslize-o 2-5 vezes uma vez por semana para evitar tocar. Para produtos específicos adquiridos / entregues., geralmente não confio na minha webcam, então pensei em experimentar este produto. Foi"&amp;" entregue dentro de 3 dias depois de fazer o pedido. Eu o recebi em 12 de junho. As primeiras impressões foram muito boas. Eu sempre tive o medo de que isso quebrasse minha tela quando fechei minha tampa de laptop depois de ler as críticas, mas já faz 3,5"&amp;" meses e não há nem uma única rachadura na minha tela.𝗕𝘂𝗶𝗹𝗱 𝗤𝘂𝗮𝗹𝗶𝘁𝘆 𝟰.𝟱/𝟱 Você receberá 3 webcams em o pacote. É extremamente magro. Portanto, não causará problemas quando você fecha o laptop (os jogos da HP Pavilion usados ​​aqui), mas pod"&amp;"e causar problemas no caso de laptops com telas finas como o MacBook Air, Asus Tuf, asus rog enquanto fecha a tampa devido ao pressão na tela. No final, é sua escolha. 𝟯 𝟯/𝟱 𝟱 𝟱 𝟱 𝟱 𝟱 𝟱ee, lamento dizer que a adesão deste produto é bastante fraca"&amp;". Ele literalmente cai depois de uma semana de aplicá -lo. Eu tive que jogar 2 quando se tornou inútil. Eu só tinha a última peça restante. 𝗳𝗼𝗿 𝗔𝗱𝗵𝗲𝘀𝗶𝗼𝗻 𝗔𝗱𝗵𝗲𝘀𝗶𝗼𝗻: Eventualmente, pude encontrar uma solução para esse problema. Aplique -o "&amp;"apenas nas bordas traseiras da capa da webcam. Como é extremamente fino, usei uma agulha fina para aplicar super cola suavemente, ou então a supercola derramará e fará uma bagunça. • Imediatamente você deve colocá -lo na webcam do nosso laptop. E então vo"&amp;"cê está pronto para ir. Já se passaram três meses depois de usar a técnica de super cola. Esqueça sobre cair, ele nem se moveu um pouco. Sem efeito na qualidade da minha webcam. A capa não interferirá quando você estiver usando sua webcam em reuniões. E c"&amp;"obre totalmente quando você quiser privacidade. No geral, é um bom produto, exceto pelo fato de ter baixa adesão., Bom produto, eu gostaria de saber disso antes de pedir. Felizmente, um amigo me informou no mesmo dia em que a apliquei. Apple pede que as p"&amp;"essoas não fechem seu MacBook, MacBook Air ou MacBook Pro, enquanto essas capas de câmera são aplicadas porque pode levar a rachaduras na tela ao fechar seu MacBook! !! Também pode afetar o sensor de luz do ambiente, mas esse é o problema menor em compara"&amp;"ção com uma tela potencialmente rachada e altos custos de reparo. sempre entre a tela e o corpo do laptop. Este item tem 0,027 polegadas de espessura, ou seja, 0,6 mm, seis vezes a espessura recomendada !!! se você o usar no seu MacBook, remova -o complet"&amp;"amente antes de fechar o laptop. Você pode usá -lo sem se preocupar no iMac, pois é uma área de trabalho e não fica fechado. Você também pode usá -lo com qualquer laptop normal onde a câmera não esteja incorporada dentro da tela de vidro. Se você possui u"&amp;"m laptop onde a câmera está incorporada na estrutura de plástico ao redor da tela, deve ficar bem. Para usuários decepcionados do MacBook como eu, há duas opções. Uma é que você confia na Apple, que está dizendo que a câmera está conectada à luz verde da "&amp;"câmera. De acordo com eles, um não pode funcionar sem o outro, portanto, mesmo que alguém invade sua câmera, você saberá que está ligado porque a luz verde estará brilhando. Se você não tem certeza sobre a confiabilidade deles e ainda deseja cobrir sua câ"&amp;"mera, Use um pedaço de fita fina. A Apple faz conselhos contra qualquer coisa que possa deixar resíduos adesivos na tela, mas, francamente, se você apenas limpá -lo com algum limpador de tela após remover, não vejo como pode haver um problema. Por que ain"&amp;"da estou dando a este produto 3 estrelas ? Ele alcançou em boas condições, é fácil de instalar e usar e ainda será útil para pessoas com outros laptops ou telas de desktop com câmera embutida. Não é um produto ruim. Eles só precisam parar de anunciá -lo p"&amp;"ara o MacBooks!")</f>
        <v>ProductLiramark Webcam Cover Slidevents DataDord Data - 09/04/2022 Data de entrega - 11/04/2022 Data de revisão - 05/05/2022STATUSRECEVEL Quadro - quadro traseiro estático da tampa da webcam&gt; quadro de tela - O produto da tela do laptop é resistente e invisível (para o tema de cor mútua para dispositivo e produto) e bem fabricado. Se o dispositivo tiver o mesmo tema preto fosco, esta capa da webcam poderá ser facilmente mesclada e se tornará parte do corpo do dispositivo. Como você pode ver, meu laptop tem uma estrutura de tela preta fosca e surpreendentemente o produto se fundiu com ele. O pequeno recipiente de plástico no pacote atuará como armazenamento para o restante das capas da webcam.et é ultrafino, conforme descrito pela empresa com a aquisição de uma espessura de um milímetro. Essa espessura pode lidar com os laptops do Windows, pois eles estão tendo os tampões de borracha no lado superior do quadro da tela, porque esses buffers atuam como um espaçador entre a tela e o corpo/teclado inferior do laptop para evitar qualquer dano ao tela. Esse espaçador é vantajoso para a capa da webcam, pois o fechamento da tampa não prejudicará a tela, a estrutura da tela e o corpo inferior do laptop. Mas, ainda assim, não pressione o local onde a tampa da webcam é instalada, pois a espessura da tampa da webcam é um pouco mais nos micrômetros do que os tampões de borracha do próprio laptop. A função deslizante é muito suave, mas não se esqueça de empurrar apenas a parte do controle deslizante e não toda a parte estática, pois tornará a aderência fraca ao longo do tempo de uso. O dispositivo pode ser usado com qualquer telefone e monitor, pois não têm problemas com Abrindo e fechando as tampas. Agora, para os usuários do "laptop Mac", não é um produto para o seu laptop e nunca experimente este produto para seus laptops Mac. Como os laptops Mac têm uma tela de vidro simples impressionante que está cobrindo o peça de tela inteira e não tem espaçadores, ou seja, não há espaço depois de fechar a tampa do laptop e, portanto, após a instalação deste produto danificará (rachadura/quebra) a tela de vidro simples. Instalação é fácil, remova a fita azul e cola cuidadosamente A tampa como adesivo, usando a escala para suporte, ou você pode enfiá-la um pouco inclinada. Depois de grudar, esfregue a palma da mão para a geração de calor e pegue a estrutura da tela das duas palmas das mãos e aplique a pressão ultra-light e mantenha a posição Até 2 a 5 minutos. E lá você vai para sua vida invisível satisfeita. para detritos ou poeira. Além disso, é um bom produto. Para mim, funcionou incrível. Sinal verde daqui. Obrigado :) sugestão o fabricante - observe a estrutura estática da capa da webcam e faça suas bordas (as bordas próximas ao controle deslizante) liso (arredondando ou filete), de modo que, ao deslizar o slider com um Dedo gordo, ele pode deslizar facilmente sobre as bordas da estrutura estática, portanto, não coloca uma força desnecessária em uma estrutura estática. Para o vendedor - bem embalando o consumidor - verifique os espaçadores/buffers de borracha fornecidos no laptop (como laptops Windows ), se for, você pode usar a capa da webcam, se não (como laptops Mac), não é o produto para você. Mesmo para os laptops do Windows, depois de instalar uma capa da webcam, tente não pressionar o local da capa da webcam por muito tempo. Deslize-o 2-5 vezes uma vez por semana para evitar tocar. Para produtos específicos adquiridos / entregues., geralmente não confio na minha webcam, então pensei em experimentar este produto. Foi entregue dentro de 3 dias depois de fazer o pedido. Eu o recebi em 12 de junho. As primeiras impressões foram muito boas. Eu sempre tive o medo de que isso quebrasse minha tela quando fechei minha tampa de laptop depois de ler as críticas, mas já faz 3,5 meses e não há nem uma única rachadura na minha tela.𝗕𝘂𝗶𝗹𝗱 𝗤𝘂𝗮𝗹𝗶𝘁𝘆 𝟰.𝟱/𝟱 Você receberá 3 webcams em o pacote. É extremamente magro. Portanto, não causará problemas quando você fecha o laptop (os jogos da HP Pavilion usados ​​aqui), mas pode causar problemas no caso de laptops com telas finas como o MacBook Air, Asus Tuf, asus rog enquanto fecha a tampa devido ao pressão na tela. No final, é sua escolha. 𝟯 𝟯/𝟱 𝟱 𝟱 𝟱 𝟱 𝟱 𝟱ee, lamento dizer que a adesão deste produto é bastante fraca. Ele literalmente cai depois de uma semana de aplicá -lo. Eu tive que jogar 2 quando se tornou inútil. Eu só tinha a última peça restante. 𝗳𝗼𝗿 𝗔𝗱𝗵𝗲𝘀𝗶𝗼𝗻 𝗔𝗱𝗵𝗲𝘀𝗶𝗼𝗻: Eventualmente, pude encontrar uma solução para esse problema. Aplique -o apenas nas bordas traseiras da capa da webcam. Como é extremamente fino, usei uma agulha fina para aplicar super cola suavemente, ou então a supercola derramará e fará uma bagunça. • Imediatamente você deve colocá -lo na webcam do nosso laptop. E então você está pronto para ir. Já se passaram três meses depois de usar a técnica de super cola. Esqueça sobre cair, ele nem se moveu um pouco. Sem efeito na qualidade da minha webcam. A capa não interferirá quando você estiver usando sua webcam em reuniões. E cobre totalmente quando você quiser privacidade. No geral, é um bom produto, exceto pelo fato de ter baixa adesão., Bom produto, eu gostaria de saber disso antes de pedir. Felizmente, um amigo me informou no mesmo dia em que a apliquei. Apple pede que as pessoas não fechem seu MacBook, MacBook Air ou MacBook Pro, enquanto essas capas de câmera são aplicadas porque pode levar a rachaduras na tela ao fechar seu MacBook! !! Também pode afetar o sensor de luz do ambiente, mas esse é o problema menor em comparação com uma tela potencialmente rachada e altos custos de reparo. sempre entre a tela e o corpo do laptop. Este item tem 0,027 polegadas de espessura, ou seja, 0,6 mm, seis vezes a espessura recomendada !!! se você o usar no seu MacBook, remova -o completamente antes de fechar o laptop. Você pode usá -lo sem se preocupar no iMac, pois é uma área de trabalho e não fica fechado. Você também pode usá -lo com qualquer laptop normal onde a câmera não esteja incorporada dentro da tela de vidro. Se você possui um laptop onde a câmera está incorporada na estrutura de plástico ao redor da tela, deve ficar bem. Para usuários decepcionados do MacBook como eu, há duas opções. Uma é que você confia na Apple, que está dizendo que a câmera está conectada à luz verde da câmera. De acordo com eles, um não pode funcionar sem o outro, portanto, mesmo que alguém invade sua câmera, você saberá que está ligado porque a luz verde estará brilhando. Se você não tem certeza sobre a confiabilidade deles e ainda deseja cobrir sua câmera, Use um pedaço de fita fina. A Apple faz conselhos contra qualquer coisa que possa deixar resíduos adesivos na tela, mas, francamente, se você apenas limpá -lo com algum limpador de tela após remover, não vejo como pode haver um problema. Por que ainda estou dando a este produto 3 estrelas ? Ele alcançou em boas condições, é fácil de instalar e usar e ainda será útil para pessoas com outros laptops ou telas de desktop com câmera embutida. Não é um produto ruim. Eles só precisam parar de anunciá -lo para o MacBooks!</v>
      </c>
    </row>
    <row r="891">
      <c r="A891" s="9" t="s">
        <v>3528</v>
      </c>
      <c r="B891" s="29" t="str">
        <f>VLOOKUP(dados!A891, reviews!A:G, 5, FALSE)</f>
        <v>Affordable product but poor design,Amazing,Just barely serves the purpose of the wireless keyboard and mouse.,If your budget 1K - best of best,Good comfurt,Very useful 👍,very compact easy to carry,It's really good</v>
      </c>
      <c r="C891" s="29" t="str">
        <f>VLOOKUP(dados!A891, reviews!A:G, 6, FALSE)</f>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v>
      </c>
      <c r="D891" s="29" t="str">
        <f>IFERROR(__xludf.DUMMYFUNCTION("GOOGLETRANSLATE(B891, ""en"", ""pt-br"")"),"Produto acessível, mas um design ruim, incrível, apenas serve ao propósito do teclado e do mouse sem fio., Se o seu orçamento 1k - o melhor dos melhores, bom, bom, muito útil 👍, muito compacto de transportar, é realmente bom")</f>
        <v>Produto acessível, mas um design ruim, incrível, apenas serve ao propósito do teclado e do mouse sem fio., Se o seu orçamento 1k - o melhor dos melhores, bom, bom, muito útil 👍, muito compacto de transportar, é realmente bom</v>
      </c>
      <c r="E891" s="29" t="str">
        <f>IFERROR(__xludf.DUMMYFUNCTION("GOOGLETRANSLATE(C891, ""en"", ""pt-br"")"),"Muito acessível, mas obteve alguns problemas-apenas recebi um conector USB que conecta o mouse e o teclado. E se alguém quisesse usá-los separadamente o mouse dorme depois de um longo tempo e você precisar pressionar uma tecla no teclado Inder No trabalho"&amp;" a fazer, comprei isso para uso diário para meus 2 dispositivos, mas já que possui apenas um receptor para que ele só possa ser usado com KVM ou máquina única de uma só vez. Além disso, o orifício da bateria no teclado só acomoda ""LR06 AA"" apenas bateri"&amp;"as e nem é adequado para as baterias AA normais, então você terá que ter 2 baterias diferentes para o mouse e o teclado. Se eu pressionar 2 teclas rapidamente, uma após a outra, então ela escolherá apenas um golpe de chave ou o segundo golpe de chave ante"&amp;"s do primeiro. Sim, essa combinação é muito boa se você tiver um uso normal em casa com apenas um PC em vigor, então é um dos produtos mais valiosos, mas para todo o descanso e o uso regulador, isso não satisfaz as necessidades e você precisará ir mais al"&amp;"tas de combinação., Prós: Qualidade construída. .CONS: Parece pequeno teclado, sem números. O mesmo que o tamanho do teclado da Apple. A bolsa de laptop Evencarry para apresentações do lado de fora para operar à distância")</f>
        <v>Muito acessível, mas obteve alguns problemas-apenas recebi um conector USB que conecta o mouse e o teclado. E se alguém quisesse usá-los separadamente o mouse dorme depois de um longo tempo e você precisar pressionar uma tecla no teclado Inder No trabalho a fazer, comprei isso para uso diário para meus 2 dispositivos, mas já que possui apenas um receptor para que ele só possa ser usado com KVM ou máquina única de uma só vez. Além disso, o orifício da bateria no teclado só acomoda "LR06 AA" apenas baterias e nem é adequado para as baterias AA normais, então você terá que ter 2 baterias diferentes para o mouse e o teclado. Se eu pressionar 2 teclas rapidamente, uma após a outra, então ela escolherá apenas um golpe de chave ou o segundo golpe de chave antes do primeiro. Sim, essa combinação é muito boa se você tiver um uso normal em casa com apenas um PC em vigor, então é um dos produtos mais valiosos, mas para todo o descanso e o uso regulador, isso não satisfaz as necessidades e você precisará ir mais altas de combinação., Prós: Qualidade construída. .CONS: Parece pequeno teclado, sem números. O mesmo que o tamanho do teclado da Apple. A bolsa de laptop Evencarry para apresentações do lado de fora para operar à distância</v>
      </c>
    </row>
    <row r="892">
      <c r="A892" s="9" t="s">
        <v>3532</v>
      </c>
      <c r="B892" s="29" t="str">
        <f>VLOOKUP(dados!A892, reviews!A:G, 5, FALSE)</f>
        <v>This is not suitable for 5.6 laptop,Laptop Stand,Very useful and worth product to buy,Nice good quality for laptop use upto 10-14 kg,Very good product at a reasonable price.,I believe that this will help my work better ergonomically.,Good and Comfortable stand,Satisfy</v>
      </c>
      <c r="C892" s="29" t="str">
        <f>VLOOKUP(dados!A892, reviews!A:G, 6, FALSE)</f>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v>
      </c>
      <c r="D892" s="29" t="str">
        <f>IFERROR(__xludf.DUMMYFUNCTION("GOOGLETRANSLATE(B892, ""en"", ""pt-br"")"),"Isso não é adequado para 5,6 laptop, suporte para laptop, muito útil e vale a pena comprar, boa qualidade para uso de laptop até 10-14 kg, produto muito bom a um preço razoável. Acredito que isso ajudará meu trabalho melhor ergonomicamente ., Stand bom e "&amp;"confortável, satisfazer")</f>
        <v>Isso não é adequado para 5,6 laptop, suporte para laptop, muito útil e vale a pena comprar, boa qualidade para uso de laptop até 10-14 kg, produto muito bom a um preço razoável. Acredito que isso ajudará meu trabalho melhor ergonomicamente ., Stand bom e confortável, satisfazer</v>
      </c>
      <c r="E892" s="29" t="str">
        <f>IFERROR(__xludf.DUMMYFUNCTION("GOOGLETRANSLATE(C892, ""en"", ""pt-br"")"),"Eu quero um suporte de tamanho de laptop, bom produto, oi, eu trouxe este produto, já que um colega também usou o mesmo produto, eu sabia que isso vale a pena comprar o produto deste fornecedor. Vi que vale mais do que vale a pena e executa como mostrado "&amp;"nas imagens e descrição do produto. Posso sentir que posso trabalhar por longas horas com meu laptop com este suporte. Depois de comprar este produto, senti que fiz uma boa escolha com o vendedor também. A qualidade do produto é incrível, estou escrevendo"&amp;" isso depois de usar o produto por mais de um mês, fácil de usar e transportar, fácil de usar, leve e multi -funcional., Este é um ótimo produto, estou usando para o meu laptop como suporte . Isso me ajuda a ajustar o ângulo da tela com facilidade., Leve "&amp;"sobre peso e boa flexibilidade, é salvar espaço e fácil de lidar")</f>
        <v>Eu quero um suporte de tamanho de laptop, bom produto, oi, eu trouxe este produto, já que um colega também usou o mesmo produto, eu sabia que isso vale a pena comprar o produto deste fornecedor. Vi que vale mais do que vale a pena e executa como mostrado nas imagens e descrição do produto. Posso sentir que posso trabalhar por longas horas com meu laptop com este suporte. Depois de comprar este produto, senti que fiz uma boa escolha com o vendedor também. A qualidade do produto é incrível, estou escrevendo isso depois de usar o produto por mais de um mês, fácil de usar e transportar, fácil de usar, leve e multi -funcional., Este é um ótimo produto, estou usando para o meu laptop como suporte . Isso me ajuda a ajustar o ângulo da tela com facilidade., Leve sobre peso e boa flexibilidade, é salvar espaço e fácil de lidar</v>
      </c>
    </row>
    <row r="893">
      <c r="A893" s="9" t="s">
        <v>3536</v>
      </c>
      <c r="B893" s="29" t="str">
        <f>VLOOKUP(dados!A893, reviews!A:G, 5, FALSE)</f>
        <v>Good price good quality,Good for Music, Bad for calls,Calling experience is bad. Person on other end don't get clear voice,Ok for music,Decent quality !,Good quality and sound average bit expensive,Ok product,Not bad</v>
      </c>
      <c r="C893" s="29" t="str">
        <f>VLOOKUP(dados!A893, reviews!A:G, 6, FALSE)</f>
        <v>It’s a good product in this price, I would hardly get any worst thing about the product as far I am using this it’s totally fine. Battery life is good, case is good, looks is good, and the sound is great. This range this product is good. If you are thinking about other companies than that’s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v>
      </c>
      <c r="D893" s="29" t="str">
        <f>IFERROR(__xludf.DUMMYFUNCTION("GOOGLETRANSLATE(B893, ""en"", ""pt-br"")"),"Bom preço de boa qualidade, bom para música, ruim para chamadas, a experiência de chamadas é ruim. Pessoa de outro lado não obtenha voz clara, ok para música, qualidade decente!, Boa qualidade e som um pouco caro, ok produto, nada ruim")</f>
        <v>Bom preço de boa qualidade, bom para música, ruim para chamadas, a experiência de chamadas é ruim. Pessoa de outro lado não obtenha voz clara, ok para música, qualidade decente!, Boa qualidade e som um pouco caro, ok produto, nada ruim</v>
      </c>
      <c r="E893" s="29" t="str">
        <f>IFERROR(__xludf.DUMMYFUNCTION("GOOGLETRANSLATE(C893, ""en"", ""pt-br"")"),"É um bom produto nesse preço, eu quase não conseguiria nada sobre o produto, até agora estou usando isso, tudo bem. A duração da bateria é boa, o caso é bom, a aparência é boa e o som é ótimo. Este intervalo este produto é bom. Se você está pensando em ou"&amp;"tras empresas, isso também está bem. Primeiro compare do que comprar, você apreciará a música, com certeza. É alto com baixo decente. Mas se você está buscando isso para chamadas, tudo bem quando você está em Silencie Sapce. Definitivamente, não é uma boa"&amp;" opção se você precisar usá -los para chamadas durante uma viagem ou em lugares públicos barulhentos., Não é bom para Callig, bom para música, você obtém o que paga ... o trabalho .. o botão é Muito sensível, então mesmo quando você quando pressioná -los "&amp;"para voltar direto para seus ouvidos, algo ou outro acontece ... pode ser muito cedo para eu me acostumar ... em todo o produto tudo bem pelo preço . Conectividade Bluetooth boa., Muito pequena precisa ter cuidado se você estiver se movendo ... bem, só o "&amp;"tempo responderá se vale a pena o preço, não se encaixa no ouvido ... sempre cair ... o restante está ok,")</f>
        <v>É um bom produto nesse preço, eu quase não conseguiria nada sobre o produto, até agora estou usando isso, tudo bem. A duração da bateria é boa, o caso é bom, a aparência é boa e o som é ótimo. Este intervalo este produto é bom. Se você está pensando em outras empresas, isso também está bem. Primeiro compare do que comprar, você apreciará a música, com certeza. É alto com baixo decente. Mas se você está buscando isso para chamadas, tudo bem quando você está em Silencie Sapce. Definitivamente, não é uma boa opção se você precisar usá -los para chamadas durante uma viagem ou em lugares públicos barulhentos., Não é bom para Callig, bom para música, você obtém o que paga ... o trabalho .. o botão é Muito sensível, então mesmo quando você quando pressioná -los para voltar direto para seus ouvidos, algo ou outro acontece ... pode ser muito cedo para eu me acostumar ... em todo o produto tudo bem pelo preço . Conectividade Bluetooth boa., Muito pequena precisa ter cuidado se você estiver se movendo ... bem, só o tempo responderá se vale a pena o preço, não se encaixa no ouvido ... sempre cair ... o restante está ok,</v>
      </c>
    </row>
    <row r="894">
      <c r="A894" s="9" t="s">
        <v>3540</v>
      </c>
      <c r="B894" s="29" t="str">
        <f>VLOOKUP(dados!A894, reviews!A:G, 5, FALSE)</f>
        <v>WD not interrupt,good,Lightening fast,Package was good yet working fine. Need to check some more time,SDD for laptop,SSD + WD + attractive price,best product ,I personally recommend use best product.,Affordable price</v>
      </c>
      <c r="C894" s="29" t="str">
        <f>VLOOKUP(dados!A894, reviews!A:G, 6, FALSE)</f>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v>
      </c>
      <c r="D894" s="29" t="str">
        <f>IFERROR(__xludf.DUMMYFUNCTION("GOOGLETRANSLATE(B894, ""en"", ""pt-br"")"),"Não é interrompido, bom, um raio rápido, o pacote estava bom, mas funcionando bem. Precisa verificar um pouco mais de tempo, SDD para laptop, SSD + WD + Preço Atraente, Melhor Produto, Recomendo pessoalmente o Melhor Produto., Preço Acessível")</f>
        <v>Não é interrompido, bom, um raio rápido, o pacote estava bom, mas funcionando bem. Precisa verificar um pouco mais de tempo, SDD para laptop, SSD + WD + Preço Atraente, Melhor Produto, Recomendo pessoalmente o Melhor Produto., Preço Acessível</v>
      </c>
      <c r="E894" s="29" t="str">
        <f>IFERROR(__xludf.DUMMYFUNCTION("GOOGLETRANSLATE(C894, ""en"", ""pt-br"")"),"Somente nomes da WD desfrutavam do produto, o bom, a velocidade é como aparece no pacote. Eles simplesmente jogando os pacotes. Mesmo que eu contestasse essa maneira de fazer, eles dando respostas insrepamente como ""nós estamos jogando pacotes como é, co"&amp;"nte a quem você quiser"". Cancele as licenças da agência de entrega da Amazon., Oi, escrevo esta resenha após um longo período de trabalho sem problemas em SDD, comparo com HDD Este SDD possui meu laptop muito mais rápido que o HDD antigo, e a velocidade "&amp;"R/WR é boa , confie em comprar com mais capacidade de recurso, obrigado pelo bom produto, eu estava procurando o segundo disco rígido para fins de backup do SSD, não é um disco de IO de alta velocidade, mas obtendo todas as vantagens do SSD junto com o no"&amp;"me da WD., Melhor Produto, eu pessoalmente recomendo usar o produto. excelente rápido., verry útil para aumentar a velocidade do PC")</f>
        <v>Somente nomes da WD desfrutavam do produto, o bom, a velocidade é como aparece no pacote. Eles simplesmente jogando os pacotes. Mesmo que eu contestasse essa maneira de fazer, eles dando respostas insrepamente como "nós estamos jogando pacotes como é, conte a quem você quiser". Cancele as licenças da agência de entrega da Amazon., Oi, escrevo esta resenha após um longo período de trabalho sem problemas em SDD, comparo com HDD Este SDD possui meu laptop muito mais rápido que o HDD antigo, e a velocidade R/WR é boa , confie em comprar com mais capacidade de recurso, obrigado pelo bom produto, eu estava procurando o segundo disco rígido para fins de backup do SSD, não é um disco de IO de alta velocidade, mas obtendo todas as vantagens do SSD junto com o nome da WD., Melhor Produto, eu pessoalmente recomendo usar o produto. excelente rápido., verry útil para aumentar a velocidade do PC</v>
      </c>
    </row>
    <row r="895">
      <c r="A895" s="9" t="s">
        <v>3544</v>
      </c>
      <c r="B895" s="29" t="str">
        <f>VLOOKUP(dados!A895, reviews!A:G, 5, FALSE)</f>
        <v>Good product,Best gel pens,👍👍👍,Decent,Feels cheated,Nice product,Good,Only 20 pens</v>
      </c>
      <c r="C895" s="29" t="str">
        <f>VLOOKUP(dados!A895, reviews!A:G, 6, FALSE)</f>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well….,Product is nice and it works smoothly but I didn't get the refils. Otherwise it is very nice,Reasonably okay,Why only 20 pens?It said there are 25 pens</v>
      </c>
      <c r="D895" s="29" t="str">
        <f>IFERROR(__xludf.DUMMYFUNCTION("GOOGLETRANSLATE(B895, ""en"", ""pt-br"")"),"Bom produto, as melhores canetas em gel, 👍👍👍, decente, parece enganado, bom produto, bom, apenas 20 canetas")</f>
        <v>Bom produto, as melhores canetas em gel, 👍👍👍, decente, parece enganado, bom produto, bom, apenas 20 canetas</v>
      </c>
      <c r="E895" s="29" t="str">
        <f>IFERROR(__xludf.DUMMYFUNCTION("GOOGLETRANSLATE(C895, ""en"", ""pt-br"")"),"A impressão da caneta foi boa ... manusear a aderência também está ok. Pode ser recomendado comprar, https: //m.media-amazon.com/images/w/webp_402378-t2/images/i/61ijzfkmffl._sy88.jpg.worth por dinheiro. Excelente desempenho., Ele vai parar de escrever en"&amp;"tre eventualmente e tem uma área suave no início quando está faltando depois de algum tempo a aderência será confortável. Olhe também ..., o produto é bom e funciona bem, mas eu não recebi as refils. Caso contrário, é muito bom, razoavelmente bom, por que"&amp;" apenas 20 canetas? Disse que há 25 canetas")</f>
        <v>A impressão da caneta foi boa ... manusear a aderência também está ok. Pode ser recomendado comprar, https: //m.media-amazon.com/images/w/webp_402378-t2/images/i/61ijzfkmffl._sy88.jpg.worth por dinheiro. Excelente desempenho., Ele vai parar de escrever entre eventualmente e tem uma área suave no início quando está faltando depois de algum tempo a aderência será confortável. Olhe também ..., o produto é bom e funciona bem, mas eu não recebi as refils. Caso contrário, é muito bom, razoavelmente bom, por que apenas 20 canetas? Disse que há 25 canetas</v>
      </c>
    </row>
    <row r="896">
      <c r="A896" s="9" t="s">
        <v>235</v>
      </c>
      <c r="B896" s="29" t="str">
        <f>VLOOKUP(dados!A896, reviews!A:G, 5, FALSE)</f>
        <v>Works flawlessly on Ubuntu 22.04 (if installed correctly),Best for kali. Do not read another review.,Nice product,From 0 to 70 …,Good External Wifi Signal Provider,Superb,Awesome and easy to use,Good product</v>
      </c>
      <c r="C896" s="29" t="str">
        <f>VLOOKUP(dados!A896, reviews!A:G, 6, FALSE)</f>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v>
      </c>
      <c r="D896" s="29" t="str">
        <f>IFERROR(__xludf.DUMMYFUNCTION("GOOGLETRANSLATE(B896, ""en"", ""pt-br"")"),"Funciona perfeitamente no Ubuntu 22.04 (se instalado corretamente), melhor para Kali. Não leia outra revisão., Bom produto, de 0 a 70…, bom provedor de sinais de wifi externo, excelente, incrível e fácil de usar, bom produto")</f>
        <v>Funciona perfeitamente no Ubuntu 22.04 (se instalado corretamente), melhor para Kali. Não leia outra revisão., Bom produto, de 0 a 70…, bom provedor de sinais de wifi externo, excelente, incrível e fácil de usar, bom produto</v>
      </c>
      <c r="E896" s="29" t="str">
        <f>IFERROR(__xludf.DUMMYFUNCTION("GOOGLETRANSLATE(C896, ""en"", ""pt-br"")"),"Estou usando isso em um antigo MAC Mini, já que os drivers proprietários da Broadcom não estão disponíveis e os drivers B43 de substituição não permitem velocidades de download suficientes, pelo menos na minha experiência. Eu coloquei este dispositivo em "&amp;"funcionamento com o Ubuntu 22.04 com o Linux 5.15.0-56-generic.google Pesquise ""Morownr/8821au-20210708"" e uso o driver no Github. Estou usando o produto ""TP-Link AC600"" BTW. Se você estiver usando a outra variante vendida na Amazon, use o LSUSB e des"&amp;"cubra para qual interface de rede você precisará instalar drivers. Giyf.I admito, isso provavelmente será difícil para alguém que geralmente não se sente confortável com uma concha, bash, por exemplo. Mas mesmo que eu nunca tivesse usado o DKMS ou IW ante"&amp;"s, o repositório do Github, juntamente com as ferramentas de construção disponíveis no repositório Jammy, facilitou o suficiente para que o dispositivo funcionasse (leia o readme do github). Para garantir que eu tenha trabalhado os drivers a trabalhar Em "&amp;"uma VM Ubuntu local usando adições de hóspedes para conectar -se ao dispositivo USB diretamente do sistema operacional convidado, que também funcionou. Em seguida, recebi a mesma velocidade de download usando este dispositivo que eu estava obtendo anterio"&amp;"rmente nas minhas outras interfaces de rede no Windows e Mac, mas agora no Ubuntu. O próprio dispositivo é um pouco sensível à direção da antena quando se trata do impacto na velocidade de download. Já usa há cerca de um mês sem reclamações., Não opte por"&amp;" críticas que dizem que não suportam Kali. Eu e alguns dos meus amigos o estamos usando para hackers Wi-Fi e funciona muito bem, ele também suporta o modo Monitor. Se você estiver tendo problemas para conectá -lo à sua máquina Kali, basta passar um pouco "&amp;"pelo surf da web e encontrará artigos relevantes sobre como conectar este adaptador de link TP à sua máquina Kali. Há também um motorista do Realtek que você pode precisar instalar para fazê -lo funcionar em sua máquina Kali. Eu dei 4 estrelas apenas porq"&amp;"ue o desempenho se não for bom como os adaptadores alfa, que é razoável para essa faixa de preço, mas neste alcance e, como iniciante, é o melhor adaptador que você pode comprar., bom produto. Trabalhando bem. Meu PC agora é o preço 5G é muito alto, por i"&amp;"sso dando 4 estrelas, conseguiu o Wi-Fi em um dos quartos de 0 a 70%. Está funcionando bem há um mês. Boa alternativa a um repetidor se apenas um único dispositivo precisar acessar o Wi-Fi a partir de um canto., O produto é muito bom e tiver um bom sinal "&amp;"de wifi. Usando isso por mais de um mês agora, não reclame. Mas quando é pela primeira vez, você precisa instalar o driver em sua área de trabalho/laptop no site do TP Link para torná -lo operacional, o que não é muito bem explicado no manual., Este produ"&amp;"to é muito bom, comprei isso Produto porque meu laptop não suporta a banda Wi-Fi 5GHz, em 2,5 GHz, recebo apenas uma velocidade de 30 a 40 Mbps, mas meu plano de banda larga é de 150Mbps.1. Fácil de usar Plug and Play Windows 102. Bom sinal. Estou usando "&amp;"outra sala do roteador sem queda de sinal, recebo sinal completo.3. Um pouco caro, mas vá com isso por causa do bom sinal. Recebo a velocidade de upload de 170 Mbps + e 110 Mbps em 5GHz e meu plano de banda larga é de 150 Mbps.")</f>
        <v>Estou usando isso em um antigo MAC Mini, já que os drivers proprietários da Broadcom não estão disponíveis e os drivers B43 de substituição não permitem velocidades de download suficientes, pelo menos na minha experiência. Eu coloquei este dispositivo em funcionamento com o Ubuntu 22.04 com o Linux 5.15.0-56-generic.google Pesquise "Morownr/8821au-20210708" e uso o driver no Github. Estou usando o produto "TP-Link AC600" BTW. Se você estiver usando a outra variante vendida na Amazon, use o LSUSB e descubra para qual interface de rede você precisará instalar drivers. Giyf.I admito, isso provavelmente será difícil para alguém que geralmente não se sente confortável com uma concha, bash, por exemplo. Mas mesmo que eu nunca tivesse usado o DKMS ou IW antes, o repositório do Github, juntamente com as ferramentas de construção disponíveis no repositório Jammy, facilitou o suficiente para que o dispositivo funcionasse (leia o readme do github). Para garantir que eu tenha trabalhado os drivers a trabalhar Em uma VM Ubuntu local usando adições de hóspedes para conectar -se ao dispositivo USB diretamente do sistema operacional convidado, que também funcionou. Em seguida, recebi a mesma velocidade de download usando este dispositivo que eu estava obtendo anteriormente nas minhas outras interfaces de rede no Windows e Mac, mas agora no Ubuntu. O próprio dispositivo é um pouco sensível à direção da antena quando se trata do impacto na velocidade de download. Já usa há cerca de um mês sem reclamações., Não opte por críticas que dizem que não suportam Kali. Eu e alguns dos meus amigos o estamos usando para hackers Wi-Fi e funciona muito bem, ele também suporta o modo Monitor. Se você estiver tendo problemas para conectá -lo à sua máquina Kali, basta passar um pouco pelo surf da web e encontrará artigos relevantes sobre como conectar este adaptador de link TP à sua máquina Kali. Há também um motorista do Realtek que você pode precisar instalar para fazê -lo funcionar em sua máquina Kali. Eu dei 4 estrelas apenas porque o desempenho se não for bom como os adaptadores alfa, que é razoável para essa faixa de preço, mas neste alcance e, como iniciante, é o melhor adaptador que você pode comprar., bom produto. Trabalhando bem. Meu PC agora é o preço 5G é muito alto, por isso dando 4 estrelas, conseguiu o Wi-Fi em um dos quartos de 0 a 70%. Está funcionando bem há um mês. Boa alternativa a um repetidor se apenas um único dispositivo precisar acessar o Wi-Fi a partir de um canto., O produto é muito bom e tiver um bom sinal de wifi. Usando isso por mais de um mês agora, não reclame. Mas quando é pela primeira vez, você precisa instalar o driver em sua área de trabalho/laptop no site do TP Link para torná -lo operacional, o que não é muito bem explicado no manual., Este produto é muito bom, comprei isso Produto porque meu laptop não suporta a banda Wi-Fi 5GHz, em 2,5 GHz, recebo apenas uma velocidade de 30 a 40 Mbps, mas meu plano de banda larga é de 150Mbps.1. Fácil de usar Plug and Play Windows 102. Bom sinal. Estou usando outra sala do roteador sem queda de sinal, recebo sinal completo.3. Um pouco caro, mas vá com isso por causa do bom sinal. Recebo a velocidade de upload de 170 Mbps + e 110 Mbps em 5GHz e meu plano de banda larga é de 150 Mbps.</v>
      </c>
    </row>
    <row r="897">
      <c r="A897" s="9" t="s">
        <v>3549</v>
      </c>
      <c r="B897" s="29" t="str">
        <f>VLOOKUP(dados!A897, reviews!A:G, 5, FALSE)</f>
        <v>Very good,WORTH TO BUY.,Writes neat but smells bad,Like ok ok,Nice,👍,Amajin!,One pen is missing. Silver colour pen is missing</v>
      </c>
      <c r="C897" s="29" t="str">
        <f>VLOOKUP(dados!A897, reviews!A:G, 6, FALSE)</f>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👍,https://m.media-amazon.com/images/W/WEBP_402378-T2/images/I/71J4WF7wTSL._SY88.jpg</v>
      </c>
      <c r="D897" s="29" t="str">
        <f>IFERROR(__xludf.DUMMYFUNCTION("GOOGLETRANSLATE(B897, ""en"", ""pt-br"")"),"Muito bom, vale a pena comprar., Escreva arrumado, mas cheira mal, como ok, bom, 👍, Amajin!, Uma caneta está faltando. Caneta colorida prateada está faltando")</f>
        <v>Muito bom, vale a pena comprar., Escreva arrumado, mas cheira mal, como ok, bom, 👍, Amajin!, Uma caneta está faltando. Caneta colorida prateada está faltando</v>
      </c>
      <c r="E897" s="29" t="str">
        <f>IFERROR(__xludf.DUMMYFUNCTION("GOOGLETRANSLATE(C897, ""en"", ""pt-br"")"),"Boa combinação para esboços de cores, ele desliza muito bem, mas às vezes não é ..., cheira mal quando você abre, tampa não é bom, tudo bem apenas o pouco bagunçado, a tinta em gel é boa, mas a tampa não é apertada o suficiente, continua saindo, eu litera"&amp;"lmente gosto do fluxo que é suave como manteiga. Além disso, isso também contém tons de ouro e prata 👍, https: //m.media-amazon.com/images/w/webp_402378-t2/images/i/71j4wf7wtsl._sy88.jpg")</f>
        <v>Boa combinação para esboços de cores, ele desliza muito bem, mas às vezes não é ..., cheira mal quando você abre, tampa não é bom, tudo bem apenas o pouco bagunçado, a tinta em gel é boa, mas a tampa não é apertada o suficiente, continua saindo, eu literalmente gosto do fluxo que é suave como manteiga. Além disso, isso também contém tons de ouro e prata 👍, https: //m.media-amazon.com/images/w/webp_402378-t2/images/i/71j4wf7wtsl._sy88.jpg</v>
      </c>
    </row>
    <row r="898">
      <c r="A898" s="9" t="s">
        <v>3555</v>
      </c>
      <c r="B898" s="29" t="str">
        <f>VLOOKUP(dados!A898, reviews!A:G, 5, FALSE)</f>
        <v>Good,Its a good alternative apple pencil,Good,Value for money,Ok,Good performance,perfect fit for AMAZON BASICS (Pencil),Functional for casual use</v>
      </c>
      <c r="C898" s="29" t="str">
        <f>VLOOKUP(dados!A898, reviews!A:G, 6, FALSE)</f>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doesn’t plug in correctly. Charge holds for good time over a day’s usage Kingone is cheaper in AGIF Sale and this one was relatively expensive but at price point compared to apple this is good for casual use.</v>
      </c>
      <c r="D898" s="29" t="str">
        <f>IFERROR(__xludf.DUMMYFUNCTION("GOOGLETRANSLATE(B898, ""en"", ""pt-br"")"),"Bom, é um bom Apple lápis alternativo, bom, valor ao dinheiro, OK, bom desempenho, ajuste perfeito para o básico da Amazon (lápis), funcional para uso casual")</f>
        <v>Bom, é um bom Apple lápis alternativo, bom, valor ao dinheiro, OK, bom desempenho, ajuste perfeito para o básico da Amazon (lápis), funcional para uso casual</v>
      </c>
      <c r="E898" s="29" t="str">
        <f>IFERROR(__xludf.DUMMYFUNCTION("GOOGLETRANSLATE(C898, ""en"", ""pt-br"")"),"O toque único Off é muito ruim a cada vez que o uso único e touch qualquer superfície que essa caneta esteja desativada, por favor, atualize, funciona muito bem, apenas a questão é que ela desligou de repente após 10-15 minutos de uso. Além disso, o senso"&amp;"r de energia e desligamento é muito sensível. Mas é que essa questão funciona como deveria, cobrar não é muito mais, bastante decente por dinheiro, bom produto a um preço razoável, ajuste perfeito para o básico da Amazon (lápis), realmente incrível, além "&amp;"das minhas expectativas !!!, depois de poucas Dias de uso, funciona bem, você pode ver as avaliações do YouTube para obter detalhes que uma desvantagem é um toque acidental no topo tende a desligar o dispositivo. O cabo C de carregamento dentro do pacote "&amp;"que obtive está com defeito não se conecta corretamente. O Charge se mantém por um bom tempo durante um dia de uso de Kingone é mais barato na venda AGIF e este era relativamente caro, mas no preço em comparação com a Apple, isso é bom para uso casual.")</f>
        <v>O toque único Off é muito ruim a cada vez que o uso único e touch qualquer superfície que essa caneta esteja desativada, por favor, atualize, funciona muito bem, apenas a questão é que ela desligou de repente após 10-15 minutos de uso. Além disso, o sensor de energia e desligamento é muito sensível. Mas é que essa questão funciona como deveria, cobrar não é muito mais, bastante decente por dinheiro, bom produto a um preço razoável, ajuste perfeito para o básico da Amazon (lápis), realmente incrível, além das minhas expectativas !!!, depois de poucas Dias de uso, funciona bem, você pode ver as avaliações do YouTube para obter detalhes que uma desvantagem é um toque acidental no topo tende a desligar o dispositivo. O cabo C de carregamento dentro do pacote que obtive está com defeito não se conecta corretamente. O Charge se mantém por um bom tempo durante um dia de uso de Kingone é mais barato na venda AGIF e este era relativamente caro, mas no preço em comparação com a Apple, isso é bom para uso casual.</v>
      </c>
    </row>
    <row r="899">
      <c r="A899" s="9" t="s">
        <v>3559</v>
      </c>
      <c r="B899" s="29" t="str">
        <f>VLOOKUP(dados!A899, reviews!A:G, 5, FALSE)</f>
        <v>Go for it, but there can be issues!,Amazing mouse but not for gaming.,Comfortable, precise &amp; liggt weight,in 1499/- just perfect,Nice,One of the best mouse you can buy at this price range,Good mouse with bad wire,It’s little big</v>
      </c>
      <c r="C899" s="29" t="str">
        <f>VLOOKUP(dados!A899, reviews!A:G, 6, FALSE)</f>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it’s amazing. Can’t get better but for gaming, i would want a mouse with a little sturdier click, i click heavy during gaming and the mouse may take it but it remains in my head. So even for light gaming it’s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quality,It’s little big but the mouse is giving it’s best for gaming</v>
      </c>
      <c r="D899" s="29" t="str">
        <f>IFERROR(__xludf.DUMMYFUNCTION("GOOGLETRANSLATE(B899, ""en"", ""pt-br"")"),"Vá em frente, mas pode haver problemas!, Mouse incrível, mas não para jogos., Confortável, preciso e com peso, em 1499/- apenas perfeito, agradável, um dos melhores mouse que você pode comprar nessa faixa de preço, bom mouse com arame ruim, é um pouco gra"&amp;"nde")</f>
        <v>Vá em frente, mas pode haver problemas!, Mouse incrível, mas não para jogos., Confortável, preciso e com peso, em 1499/- apenas perfeito, agradável, um dos melhores mouse que você pode comprar nessa faixa de preço, bom mouse com arame ruim, é um pouco grande</v>
      </c>
      <c r="E899" s="29" t="str">
        <f>IFERROR(__xludf.DUMMYFUNCTION("GOOGLETRANSLATE(C899, ""en"", ""pt-br"")"),"Isso acabou sendo o pior rato de todos os tempos! Clique duas vezes em um mês e rolagem de roda de rolagem na direção inversa aleatoriamente.Edit 1 A garantia exige que você leve o mouse ao centro de serviço, o que foi uma dor, pois demorei um pouco para "&amp;"encontrar o centro de serviço mais próximo e o endereço estava incorreto. O centro de serviço foi útil, pois eles substituíram meu mouse em questão de minutos sem problemas. Editará com base em como a substituição funciona.Edit 2 mouse de deslocamento fun"&amp;"cionando bem até agora., Esse mouse parece e parece incrível, a ligeira textura de borracha parece premium e a qualidade de construção também é incrível, mas os cliques parecem ser um pouco sensíveis. Para uso regular, é incrível. Não posso melhorar, mas "&amp;"para os jogos, eu gostaria de um mouse com um pouco mais robusto, clico pesado durante os jogos e o mouse pode levá -lo, mas permanece na minha cabeça. Portanto, mesmo para jogos leves, é bom quando o uso do clique é menor em comparação com os jogos de fi"&amp;"lmagem de FPS. É uma atualização incrível para jogadores de nível iniciante, apenas mudar o mouse pode realmente melhorar sua experiência e jogabilidade. Meu namorado recomendou isso para mim enquanto jogamos valorante juntos e meu objetivo era persistent"&amp;"emente ruim, embora eu tenha tentado tanto brincar com o mouse regular do Bluetooth Dell, mudando disso para esta peça foi uma ótima coisa, 100% recomendada se você estiver apenas começando Para jogar qualquer coisa como CSGO/Valorante ou qualquer outro j"&amp;"ogo de tiro em primeira pessoa regularmente., Comprei -o no16dec e estou escrevendo isso no 19Dec e vou ser sincero que nenhum outro mouse pode oferecer tanta qualidade nesse preço, então se você Pode comprá -lo apenas vá em frente, mas há um mouse altern"&amp;"ativo por Razer quase o mesmo preço Razer Deat Ader, acho que esse é o nome, então é melhor você verificar isso se RGB não é sua prioridade que você pode escolher esse tchau ...., vá Para isso, o design é fácil de segurar e há botões extras no lado direit"&amp;"o, o que acho muito útil. Seu tamanho é perfeito para minha mão. Apenas uma coisa ruim é depois de usar por algum tempo sua superfície se torna mais suave ou a camada superior é removida, bom mouse, mas tem baixa qualidade de arame, é um pouco grande, mas"&amp;" o mouse está dando o melhor para os jogos")</f>
        <v>Isso acabou sendo o pior rato de todos os tempos! Clique duas vezes em um mês e rolagem de roda de rolagem na direção inversa aleatoriamente.Edit 1 A garantia exige que você leve o mouse ao centro de serviço, o que foi uma dor, pois demorei um pouco para encontrar o centro de serviço mais próximo e o endereço estava incorreto. O centro de serviço foi útil, pois eles substituíram meu mouse em questão de minutos sem problemas. Editará com base em como a substituição funciona.Edit 2 mouse de deslocamento funcionando bem até agora., Esse mouse parece e parece incrível, a ligeira textura de borracha parece premium e a qualidade de construção também é incrível, mas os cliques parecem ser um pouco sensíveis. Para uso regular, é incrível. Não posso melhorar, mas para os jogos, eu gostaria de um mouse com um pouco mais robusto, clico pesado durante os jogos e o mouse pode levá -lo, mas permanece na minha cabeça. Portanto, mesmo para jogos leves, é bom quando o uso do clique é menor em comparação com os jogos de filmagem de FPS. É uma atualização incrível para jogadores de nível iniciante, apenas mudar o mouse pode realmente melhorar sua experiência e jogabilidade. Meu namorado recomendou isso para mim enquanto jogamos valorante juntos e meu objetivo era persistentemente ruim, embora eu tenha tentado tanto brincar com o mouse regular do Bluetooth Dell, mudando disso para esta peça foi uma ótima coisa, 100% recomendada se você estiver apenas começando Para jogar qualquer coisa como CSGO/Valorante ou qualquer outro jogo de tiro em primeira pessoa regularmente., Comprei -o no16dec e estou escrevendo isso no 19Dec e vou ser sincero que nenhum outro mouse pode oferecer tanta qualidade nesse preço, então se você Pode comprá -lo apenas vá em frente, mas há um mouse alternativo por Razer quase o mesmo preço Razer Deat Ader, acho que esse é o nome, então é melhor você verificar isso se RGB não é sua prioridade que você pode escolher esse tchau ...., vá Para isso, o design é fácil de segurar e há botões extras no lado direito, o que acho muito útil. Seu tamanho é perfeito para minha mão. Apenas uma coisa ruim é depois de usar por algum tempo sua superfície se torna mais suave ou a camada superior é removida, bom mouse, mas tem baixa qualidade de arame, é um pouco grande, mas o mouse está dando o melhor para os jogos</v>
      </c>
    </row>
    <row r="900">
      <c r="A900" s="9" t="s">
        <v>243</v>
      </c>
      <c r="B900" s="29" t="str">
        <f>VLOOKUP(dados!A900, reviews!A:G, 5, FALSE)</f>
        <v>Good product but costly,It’s really long n sturdy no homo 🔥,Takes longer to charge than the regular cable,Quality is really good,iPhone X pink charging cable long one ☝️,A good purchase,It charges fine for me,Absolutely fantastic USB👍👍👍</v>
      </c>
      <c r="C900" s="29" t="str">
        <f>VLOOKUP(dados!A900, reviews!A:G, 6, FALSE)</f>
        <v>It cost should be under Rs. 500,Buy it,Color is as per the photo but takes longer to charge. Also doesn’t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phone’s color. Although the metal ends of the cable was rose gold, but the whole cable was pink, which I didn’t like. I went for the 2m long cable so that i can use it conveniently even if it is charging. Though it’s kinda bulky, yet serves it’s purpose. Charging speed is fast and efficient just like the original cable had. Also quite durable and sturdy. My Apple’s original lighting cable had some problem while charging so I purchased this one after watching many YouTube videos and reviews. It was indeed a good purchase.,It’s long and good,It’s a superb product in terms of sturdiness, looks, and charging speed.</v>
      </c>
      <c r="D900" s="29" t="str">
        <f>IFERROR(__xludf.DUMMYFUNCTION("GOOGLETRANSLATE(B900, ""en"", ""pt-br"")"),"Bom produto, mas caro, é muito longo e resistente no homo 🔥, leva mais tempo para cobrar do que o cabo comum, a qualidade é realmente boa, o cabo de carregamento rosa do iPhone X Long One ☝️, uma boa compra, ele cobra bem para mim, absolutamente fantásti"&amp;"co USB 👍👍👍")</f>
        <v>Bom produto, mas caro, é muito longo e resistente no homo 🔥, leva mais tempo para cobrar do que o cabo comum, a qualidade é realmente boa, o cabo de carregamento rosa do iPhone X Long One ☝️, uma boa compra, ele cobra bem para mim, absolutamente fantástico USB 👍👍👍</v>
      </c>
      <c r="E900" s="29" t="str">
        <f>IFERROR(__xludf.DUMMYFUNCTION("GOOGLETRANSLATE(C900, ""en"", ""pt-br"")"),"O custo deve estar em Rs. 500, compre, a cor é de acordo com a foto, mas leva mais tempo para carregar. Também não carrega em todos os soquetes. Os pontos de trabalho para funcionar melhor quando conectados diretamente no laptop., O comprimento do cabo é "&amp;"longo, para que você possa usá -lo feliz por uma longa distância e a qualidade é realmente boa, 1 metro de carregamento rosa Fio para iPhone X longo e forte para uso., Eu uso este cabo de iluminação há quase um mês e o cabo acabou exatamente como foi most"&amp;"rado. Peguei o ouro rosa que corresponde à cor do meu telefone. Embora as extremidades de metal do cabo fossem ouro rosa, mas todo o cabo estava rosa, o que eu não gostava. Fui para o cabo de 2m de comprimento para poder usá -lo convenientemente, mesmo qu"&amp;"e esteja carregando. Embora seja meio volumoso, mas serve ao seu propósito. A velocidade de carregamento é rápida e eficiente, assim como o cabo original. Também bastante durável e resistente. O cabo de iluminação original da minha Apple teve algum proble"&amp;"ma ao carregar, então comprei este depois de assistir a muitos vídeos e críticas do YouTube. Foi realmente uma boa compra., É longo e bom, é um produto excelente em termos de robustez, aparência e velocidade de carregamento.")</f>
        <v>O custo deve estar em Rs. 500, compre, a cor é de acordo com a foto, mas leva mais tempo para carregar. Também não carrega em todos os soquetes. Os pontos de trabalho para funcionar melhor quando conectados diretamente no laptop., O comprimento do cabo é longo, para que você possa usá -lo feliz por uma longa distância e a qualidade é realmente boa, 1 metro de carregamento rosa Fio para iPhone X longo e forte para uso., Eu uso este cabo de iluminação há quase um mês e o cabo acabou exatamente como foi mostrado. Peguei o ouro rosa que corresponde à cor do meu telefone. Embora as extremidades de metal do cabo fossem ouro rosa, mas todo o cabo estava rosa, o que eu não gostava. Fui para o cabo de 2m de comprimento para poder usá -lo convenientemente, mesmo que esteja carregando. Embora seja meio volumoso, mas serve ao seu propósito. A velocidade de carregamento é rápida e eficiente, assim como o cabo original. Também bastante durável e resistente. O cabo de iluminação original da minha Apple teve algum problema ao carregar, então comprei este depois de assistir a muitos vídeos e críticas do YouTube. Foi realmente uma boa compra., É longo e bom, é um produto excelente em termos de robustez, aparência e velocidade de carregamento.</v>
      </c>
    </row>
    <row r="901">
      <c r="A901" s="9" t="s">
        <v>3564</v>
      </c>
      <c r="B901" s="29" t="str">
        <f>VLOOKUP(dados!A901, reviews!A:G, 5, FALSE)</f>
        <v>Saunde quality is assumed,Value for money,Charging Point Has Some Problem Like Loose Connection.,Sounds like very good👍,Sound Quality is good but not louder with 10 w Speaker.,Quality of product is okay..,Good one with less budget,Actually its a good effective speaker</v>
      </c>
      <c r="C901" s="29" t="str">
        <f>VLOOKUP(dados!A901, reviews!A:G, 6, FALSE)</f>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v>
      </c>
      <c r="D901" s="29" t="str">
        <f>IFERROR(__xludf.DUMMYFUNCTION("GOOGLETRANSLATE(B901, ""en"", ""pt-br"")"),"A qualidade de Saunde é assumida, valor ao dinheiro, o ponto de carregamento tem algum problema como conexão solta., Parece muito boa, a qualidade do som é boa, mas não mais alta com o alto -falante W 10 W., Qualidade do produto é bom .., bom com menos co"&amp;"m menos orçamento, na verdade é um bom orador eficaz")</f>
        <v>A qualidade de Saunde é assumida, valor ao dinheiro, o ponto de carregamento tem algum problema como conexão solta., Parece muito boa, a qualidade do som é boa, mas não mais alta com o alto -falante W 10 W., Qualidade do produto é bom .., bom com menos com menos orçamento, na verdade é um bom orador eficaz</v>
      </c>
      <c r="E901" s="29" t="str">
        <f>IFERROR(__xludf.DUMMYFUNCTION("GOOGLETRANSLATE(C901, ""en"", ""pt-br"")"),"Onedra Full Prodact, Bom, mas algum dia som não é claro, o melhor alto -falante Bluetooth de melhor qualidade, com ótimo aumento de graves e som. Portas algumas vezes um pouco de shake irá desconectar o carregador. 🔥 🔥 🔥 pode assistir filmes com áudio "&amp;"de alta qualidade. Funcionando corretamente sempre que desligue automaticamente com carga total também. Substitua meu pedido zebronics. ,, com o som de 10W é baixo., Os interruptores estão nas laterais, portanto, é difícil operar .. para o modo, o mesmo i"&amp;"nterruptor está lá. Mais tempo, a qualidade do som é Spuer, o efeito dos graves é baixo, mas vale a pena esse preço. IMPORTANTE: Porcentagem de bateria que não está aparecendo em nenhum lugar")</f>
        <v>Onedra Full Prodact, Bom, mas algum dia som não é claro, o melhor alto -falante Bluetooth de melhor qualidade, com ótimo aumento de graves e som. Portas algumas vezes um pouco de shake irá desconectar o carregador. 🔥 🔥 🔥 pode assistir filmes com áudio de alta qualidade. Funcionando corretamente sempre que desligue automaticamente com carga total também. Substitua meu pedido zebronics. ,, com o som de 10W é baixo., Os interruptores estão nas laterais, portanto, é difícil operar .. para o modo, o mesmo interruptor está lá. Mais tempo, a qualidade do som é Spuer, o efeito dos graves é baixo, mas vale a pena esse preço. IMPORTANTE: Porcentagem de bateria que não está aparecendo em nenhum lugar</v>
      </c>
    </row>
    <row r="902">
      <c r="A902" s="9" t="s">
        <v>3568</v>
      </c>
      <c r="B902" s="29" t="str">
        <f>VLOOKUP(dados!A902, reviews!A:G, 5, FALSE)</f>
        <v>Compatible with laptop SSD,Good to connect say SSD or SATA drives to computer via USB,You get what you pay,Working good,Nice product,Works, But Very Flimsy,Its working fine with old Seagate hard disk,Not Bad!</v>
      </c>
      <c r="C902" s="29" t="str">
        <f>VLOOKUP(dados!A902, reviews!A:G, 6, FALSE)</f>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v>
      </c>
      <c r="D902" s="29" t="str">
        <f>IFERROR(__xludf.DUMMYFUNCTION("GOOGLETRANSLATE(B902, ""en"", ""pt-br"")"),"Compatível com o laptop SSD, é bom conectar -se diz que as unidades SSD ou SATA no computador via USB, você obtém o que paga, trabalhando bem, bom produto, funciona, mas muito frágil, está funcionando bem com o antigo disco rígido da Seagate, não é ruim!")</f>
        <v>Compatível com o laptop SSD, é bom conectar -se diz que as unidades SSD ou SATA no computador via USB, você obtém o que paga, trabalhando bem, bom produto, funciona, mas muito frágil, está funcionando bem com o antigo disco rígido da Seagate, não é ruim!</v>
      </c>
      <c r="E902" s="29" t="str">
        <f>IFERROR(__xludf.DUMMYFUNCTION("GOOGLETRANSLATE(C902, ""en"", ""pt-br"")"),"Funciona muito bem para o meu laptop, este é um bom acessório para conectar unidades SATA ao computador via interface USB, a vantagem é que não há necessidade de parar o computador, conectar a unidade ao SATA e reiniciar, formato etc. Isso é mais rápido p"&amp;"ara instalar sem Desligando o computador, o golpe é que a velocidade de transferência de dados é menor. Além disso, isso não pode ser usado para inicializar, portanto, é apenas um acessório para transferir dados de e para o computador de maneira fácil, ma"&amp;"s não se pode inicializar nisso como se possa usar a unidade USB., É muito útil, a velocidade é incrível. Trabalhando perfeitamente, mas a qualidade da construção é muito delicada, eles devem melhorar a qualidade da construção. Mas o trabalho principal po"&amp;"de ser feito sem nenhum problema e estou recebendo velocidade de 100 Mbps. ,, O produto é bom para o uso, não barato, mas é um preço bom. Também USB 3, então é rápido. E a qualidade do material não é tão ruim que seu plástico, mas bom plástico., A Amazon "&amp;"enviou uma substituição à medida que o primeiro cabo entregue parou de funcionar em uma hora. O produto funciona. Parece compatível com USB 3.0. Mas, é muito frágil para um produto que possa ser usado várias vezes e precisará ser conectado e desapegado de"&amp;" um HDD ou SSD de 2,5 polegadas ... O alojamento de plástico para a porta SATA pode ser esmagado , e até se dobra e se move um pouco. O cabo tem um pé de comprimento, mas é fino e precisa ser mais espesso. Tenho outro adaptador USB 3.0 para SATA, mas é ba"&amp;"stante resistente. Se você vai manter a parte SATA Sempre conectado, este produto pode ser bom, mas não é recomendado para profissionais que confiam nesse cabo para conectar várias unidades em um dia., Está funcionando bem com o antigo disco rígido Seagat"&amp;"e, ok ok. O preço on -line pode ser máximo 299, estritamente na minha opinião ...")</f>
        <v>Funciona muito bem para o meu laptop, este é um bom acessório para conectar unidades SATA ao computador via interface USB, a vantagem é que não há necessidade de parar o computador, conectar a unidade ao SATA e reiniciar, formato etc. Isso é mais rápido para instalar sem Desligando o computador, o golpe é que a velocidade de transferência de dados é menor. Além disso, isso não pode ser usado para inicializar, portanto, é apenas um acessório para transferir dados de e para o computador de maneira fácil, mas não se pode inicializar nisso como se possa usar a unidade USB., É muito útil, a velocidade é incrível. Trabalhando perfeitamente, mas a qualidade da construção é muito delicada, eles devem melhorar a qualidade da construção. Mas o trabalho principal pode ser feito sem nenhum problema e estou recebendo velocidade de 100 Mbps. ,, O produto é bom para o uso, não barato, mas é um preço bom. Também USB 3, então é rápido. E a qualidade do material não é tão ruim que seu plástico, mas bom plástico., A Amazon enviou uma substituição à medida que o primeiro cabo entregue parou de funcionar em uma hora. O produto funciona. Parece compatível com USB 3.0. Mas, é muito frágil para um produto que possa ser usado várias vezes e precisará ser conectado e desapegado de um HDD ou SSD de 2,5 polegadas ... O alojamento de plástico para a porta SATA pode ser esmagado , e até se dobra e se move um pouco. O cabo tem um pé de comprimento, mas é fino e precisa ser mais espesso. Tenho outro adaptador USB 3.0 para SATA, mas é bastante resistente. Se você vai manter a parte SATA Sempre conectado, este produto pode ser bom, mas não é recomendado para profissionais que confiam nesse cabo para conectar várias unidades em um dia., Está funcionando bem com o antigo disco rígido Seagate, ok ok. O preço on -line pode ser máximo 299, estritamente na minha opinião ...</v>
      </c>
    </row>
    <row r="903">
      <c r="A903" s="9" t="s">
        <v>3574</v>
      </c>
      <c r="B903" s="29" t="str">
        <f>VLOOKUP(dados!A903, reviews!A:G, 5, FALSE)</f>
        <v>Worth the price,It is good,Not Bad,BATTERY LIFE,It melts the smart watch charger,Very good light weight,Achha laga,Can’t be repaired</v>
      </c>
      <c r="C903" s="29" t="str">
        <f>VLOOKUP(dados!A903, reviews!A:G, 6, FALSE)</f>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v>
      </c>
      <c r="D903" s="29" t="str">
        <f>IFERROR(__xludf.DUMMYFUNCTION("GOOGLETRANSLATE(B903, ""en"", ""pt-br"")"),"Vale o preço, é bom, não ruim, a duração da bateria, derrete o carregador de relógio inteligente, muito bom peso, achha laga, não pode ser reparado")</f>
        <v>Vale o preço, é bom, não ruim, a duração da bateria, derrete o carregador de relógio inteligente, muito bom peso, achha laga, não pode ser reparado</v>
      </c>
      <c r="E903" s="29" t="str">
        <f>IFERROR(__xludf.DUMMYFUNCTION("GOOGLETRANSLATE(C903, ""en"", ""pt-br"")"),"Bom para o preço, bom, ok para o preço ..., bateria que não está funcionando, confortável e pequena para usar o Supply Supply que derrete o cabo do carregador do relógio inteligente, Pasand, elegante etc sim, mas o meu parou de funcionar depois de 7 meses"&amp;". Possui um invólucro externo moldado, ou seja, sem parafusos para abrir/reparar se parar de funcionar. Substitua -o na garantia mais jogá -lo fora ... compre por seu próprio risco.")</f>
        <v>Bom para o preço, bom, ok para o preço ..., bateria que não está funcionando, confortável e pequena para usar o Supply Supply que derrete o cabo do carregador do relógio inteligente, Pasand, elegante etc sim, mas o meu parou de funcionar depois de 7 meses. Possui um invólucro externo moldado, ou seja, sem parafusos para abrir/reparar se parar de funcionar. Substitua -o na garantia mais jogá -lo fora ... compre por seu próprio risco.</v>
      </c>
    </row>
    <row r="904">
      <c r="A904" s="9" t="s">
        <v>3578</v>
      </c>
      <c r="B904" s="29" t="str">
        <f>VLOOKUP(dados!A904, reviews!A:G, 5, FALSE)</f>
        <v>Excellent CCTV WiFi Camera made in India,Great Camera for keeping an eye on pets...,Working Perfectly,Great product,Decent indoor camera!!,It is a good product in all,Face detection is not so good,Great product</v>
      </c>
      <c r="C904" s="29" t="str">
        <f>VLOOKUP(dados!A904, reviews!A:G, 6, FALSE)</f>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v>
      </c>
      <c r="D904" s="29" t="str">
        <f>IFERROR(__xludf.DUMMYFUNCTION("GOOGLETRANSLATE(B904, ""en"", ""pt-br"")"),"Excelente câmera Wi -Fi CCTV fabricada na Índia, ótima câmera para ficar de olho nos animais de estimação ..., funcionando perfeitamente, ótimo produto, câmera interna decente !!, é um bom produto no total, a detecção de rosto não é tão boa, ótimo produto")</f>
        <v>Excelente câmera Wi -Fi CCTV fabricada na Índia, ótima câmera para ficar de olho nos animais de estimação ..., funcionando perfeitamente, ótimo produto, câmera interna decente !!, é um bom produto no total, a detecção de rosto não é tão boa, ótimo produto</v>
      </c>
      <c r="E904" s="29" t="str">
        <f>IFERROR(__xludf.DUMMYFUNCTION("GOOGLETRANSLATE(C904, ""en"", ""pt-br"")"),"Dando esta revisão depois de usá -la por 2 meses. Estou usando mais 3 câmeras de outras marcas que são feitas na China. Eu os comprei há 4 ou 5 anos e há vários problemas com eles. Queria comprar esta câmera QBBO e experimentar, pois isso é feito na Índia"&amp;" e no famoso grupo de heróis. O produto cumpriu minha expectativa !! Aqui estão minhas observações: Prós:- Excelente desempenho. Sem conectividade da Internet. A usabilidade do aplicativo não é fácil de entender. Descobriu as opções certas a serem usadas "&amp;"após algumas tentativas. Portanto, dando 4 estrelas. . Sou capaz de configurá -lo para meus gatinhos, a quem posso ter certeza quando sair de casa por algum tempo. O melhor recurso é a conversa de duas vias em que podemos nos comunicar através da própria "&amp;"câmera. O produto é muito fácil de instalar, além de configurar e usar. É uma excelente detecção de movimento e também possui detecção de pessoas que não está disponível nessa faixa de preço. A qualidade e a clareza da câmera são boas. Também com excelent"&amp;"es recursos. Esta câmera foi entregue no prazo e o suporte técnico também é bom. :) O único recurso ausente é que esta câmera não possui armazenamento na NVR externa, comprei esse modelo para minha sala de estar, é muito decente e fácil de instalar. Traba"&amp;"lhando muito bem., É o produto de gosma que o uso e eu tenho mais de 1 mês e não tenho problemas com este produto, a Target precisa consertar o movimento observado e foi até lá (na parede) que fica preso ali Como nenhum movimento agora a seguir., Ótimo pr"&amp;"oduto. Funciona bem, apenas enfrentou alguns problemas durante a configuração, mas depois disso está funcionando muito bem.")</f>
        <v>Dando esta revisão depois de usá -la por 2 meses. Estou usando mais 3 câmeras de outras marcas que são feitas na China. Eu os comprei há 4 ou 5 anos e há vários problemas com eles. Queria comprar esta câmera QBBO e experimentar, pois isso é feito na Índia e no famoso grupo de heróis. O produto cumpriu minha expectativa !! Aqui estão minhas observações: Prós:- Excelente desempenho. Sem conectividade da Internet. A usabilidade do aplicativo não é fácil de entender. Descobriu as opções certas a serem usadas após algumas tentativas. Portanto, dando 4 estrelas. . Sou capaz de configurá -lo para meus gatinhos, a quem posso ter certeza quando sair de casa por algum tempo. O melhor recurso é a conversa de duas vias em que podemos nos comunicar através da própria câmera. O produto é muito fácil de instalar, além de configurar e usar. É uma excelente detecção de movimento e também possui detecção de pessoas que não está disponível nessa faixa de preço. A qualidade e a clareza da câmera são boas. Também com excelentes recursos. Esta câmera foi entregue no prazo e o suporte técnico também é bom. :) O único recurso ausente é que esta câmera não possui armazenamento na NVR externa, comprei esse modelo para minha sala de estar, é muito decente e fácil de instalar. Trabalhando muito bem., É o produto de gosma que o uso e eu tenho mais de 1 mês e não tenho problemas com este produto, a Target precisa consertar o movimento observado e foi até lá (na parede) que fica preso ali Como nenhum movimento agora a seguir., Ótimo produto. Funciona bem, apenas enfrentou alguns problemas durante a configuração, mas depois disso está funcionando muito bem.</v>
      </c>
    </row>
    <row r="905">
      <c r="A905" s="9" t="s">
        <v>3582</v>
      </c>
      <c r="B905" s="29" t="str">
        <f>VLOOKUP(dados!A905, reviews!A:G, 5, FALSE)</f>
        <v>Very good,Worth the Buy,Good,manufacturing date is old,Great,Good, but not Great,Genuine product,Cr2025</v>
      </c>
      <c r="C905" s="29" t="str">
        <f>VLOOKUP(dados!A905, reviews!A:G, 6, FALSE)</f>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v>
      </c>
      <c r="D905" s="29" t="str">
        <f>IFERROR(__xludf.DUMMYFUNCTION("GOOGLETRANSLATE(B905, ""en"", ""pt-br"")"),"Muito bom, vale a pena comprar, boa, data de fabricação é antiga, ótima, boa, mas não ótima, produto genuíno, CR2025")</f>
        <v>Muito bom, vale a pena comprar, boa, data de fabricação é antiga, ótima, boa, mas não ótima, produto genuíno, CR2025</v>
      </c>
      <c r="E905" s="29" t="str">
        <f>IFERROR(__xludf.DUMMYFUNCTION("GOOGLETRANSLATE(C905, ""en"", ""pt-br"")"),"Muito bom, por que optar por chineses baratos., Células boas, parte da célula não está em 100%, mas está com 90 ou 80% de preço é baixa, mas as ações são antigas. Descanse ok., Tenho apenas 110 .. Ótimo, bom produto, eu acho, mas não é ótimo. Eu substituí"&amp;" a célula CR2025 antiga por este novo e todos funcionando bem, mas está fornecendo luz escura quando pressionado o botão de luz. Então, acho que esse poder de Chota não está fornecendo poder suficiente., Para o bloco de notas da minha filha, a célula perf"&amp;"eita que recebi com entrega rápida em casa. O que mais se pode esperar da Amazon !! :-),Boa qualidade")</f>
        <v>Muito bom, por que optar por chineses baratos., Células boas, parte da célula não está em 100%, mas está com 90 ou 80% de preço é baixa, mas as ações são antigas. Descanse ok., Tenho apenas 110 .. Ótimo, bom produto, eu acho, mas não é ótimo. Eu substituí a célula CR2025 antiga por este novo e todos funcionando bem, mas está fornecendo luz escura quando pressionado o botão de luz. Então, acho que esse poder de Chota não está fornecendo poder suficiente., Para o bloco de notas da minha filha, a célula perfeita que recebi com entrega rápida em casa. O que mais se pode esperar da Amazon !! :-),Boa qualidade</v>
      </c>
    </row>
    <row r="906">
      <c r="A906" s="9" t="s">
        <v>3586</v>
      </c>
      <c r="B906" s="29" t="str">
        <f>VLOOKUP(dados!A906, reviews!A:G, 5, FALSE)</f>
        <v>Very good product,Good product.,Good quality,Excellent,Good quality,Good,fine,Lovely</v>
      </c>
      <c r="C906" s="29" t="str">
        <f>VLOOKUP(dados!A906, reviews!A:G, 6, FALSE)</f>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v>
      </c>
      <c r="D906" s="29" t="str">
        <f>IFERROR(__xludf.DUMMYFUNCTION("GOOGLETRANSLATE(B906, ""en"", ""pt-br"")"),"Produto muito bom, bom produto., Boa qualidade, excelente, boa qualidade, boa, fina, adorável")</f>
        <v>Produto muito bom, bom produto., Boa qualidade, excelente, boa qualidade, boa, fina, adorável</v>
      </c>
      <c r="E906" s="29" t="str">
        <f>IFERROR(__xludf.DUMMYFUNCTION("GOOGLETRANSLATE(C906, ""en"", ""pt-br"")"),"O melhor é que podemos usá -lo de maneiras diferentes., Compra satisfeita. O preço é menor do que nas lojas. Um bom. A qualidade também é boa., De acordo com a descrição. Satisfeito, excelente, eu gosto da qualidade deste produto. Vou tentar adicionar mai"&amp;"s fotos quando terminar minha redação se parecer bom ..., muito bom de usar, como isso, boa textura de cor")</f>
        <v>O melhor é que podemos usá -lo de maneiras diferentes., Compra satisfeita. O preço é menor do que nas lojas. Um bom. A qualidade também é boa., De acordo com a descrição. Satisfeito, excelente, eu gosto da qualidade deste produto. Vou tentar adicionar mais fotos quando terminar minha redação se parecer bom ..., muito bom de usar, como isso, boa textura de cor</v>
      </c>
    </row>
    <row r="907">
      <c r="A907" s="9" t="s">
        <v>3590</v>
      </c>
      <c r="B907" s="29" t="str">
        <f>VLOOKUP(dados!A907, reviews!A:G, 5, FALSE)</f>
        <v>value for money,Great Product,Best charger,Genuine charger at a low price,Genuine and Good,It's Orginal Lenovo charger.. Should buy it,Same as original,Amazing charger , giving good charging in limited time. It really worth and nice product.</v>
      </c>
      <c r="C907" s="29" t="str">
        <f>VLOOKUP(dados!A907, reviews!A:G, 6, FALSE)</f>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v>
      </c>
      <c r="D907" s="29" t="str">
        <f>IFERROR(__xludf.DUMMYFUNCTION("GOOGLETRANSLATE(B907, ""en"", ""pt-br"")"),"Valor por dinheiro, ótimo produto, melhor carregador, carregador genuíno a um preço baixo, genuíno e bom, é o carregador orginal da Lenovo. Realmente vale a pena e um bom produto.")</f>
        <v>Valor por dinheiro, ótimo produto, melhor carregador, carregador genuíno a um preço baixo, genuíno e bom, é o carregador orginal da Lenovo. Realmente vale a pena e um bom produto.</v>
      </c>
      <c r="E907" s="29" t="str">
        <f>IFERROR(__xludf.DUMMYFUNCTION("GOOGLETRANSLATE(C907, ""en"", ""pt-br"")"),"Bom produto, muito bom adpeator., Meu laptop é o IdeaPad 320, estou procurando o carregador da empresa. As especificações do carregador que eu gostei são: Adaptador CA 65 W e Modelo: ADLX65CCGI2A. É um carregador original e este é o carregador exato que é"&amp;" o mesmo que o meu original anterior. Estou feliz por este produto. É um carregador muito bom funcionou bem. Cobrado 100 % em 1,5 horas. Vamos ver como ele terá um desempenho ainda mais. Qualquer um que esteja procurando por idéias Pad 320 vá em frente, s"&amp;"em dúvida, ele se encaixará no seu laptop. Peguei para 1400 rúpias, este é exatamente o mesmo carregador que recebi com o meu IdeaPad 320-15IKB e funciona muito bem. É um produto genuíno com todos os papéis relacionados na caixa. Um roubo de 1,3 mil, pois"&amp;" a compra da mesma no site da Lenovo custa mais do que o dobro do preço disso. Entrega rápida também. Vá em frente!, Eu vi este produto no Service Center para 2400 e aqui cheguei na metade do preço, usando dos últimos 2 meses e trabalhando muito bem e um "&amp;"produto genuíno., É o carregador orginal do Lenovo .. deve comprá -lo, até agora tudo bem . Parece original e acho que eles estão vendendo originais. Vá para este. O mesmo que o meu original. Sem feedback ruim, ele cobra meu laptop em 3 horas, mas minha b"&amp;"ateria de laptop tem 4-5 anos. A duração da bateria é baixa. Caso contrário, o carregador está funcionando bem para mim.")</f>
        <v>Bom produto, muito bom adpeator., Meu laptop é o IdeaPad 320, estou procurando o carregador da empresa. As especificações do carregador que eu gostei são: Adaptador CA 65 W e Modelo: ADLX65CCGI2A. É um carregador original e este é o carregador exato que é o mesmo que o meu original anterior. Estou feliz por este produto. É um carregador muito bom funcionou bem. Cobrado 100 % em 1,5 horas. Vamos ver como ele terá um desempenho ainda mais. Qualquer um que esteja procurando por idéias Pad 320 vá em frente, sem dúvida, ele se encaixará no seu laptop. Peguei para 1400 rúpias, este é exatamente o mesmo carregador que recebi com o meu IdeaPad 320-15IKB e funciona muito bem. É um produto genuíno com todos os papéis relacionados na caixa. Um roubo de 1,3 mil, pois a compra da mesma no site da Lenovo custa mais do que o dobro do preço disso. Entrega rápida também. Vá em frente!, Eu vi este produto no Service Center para 2400 e aqui cheguei na metade do preço, usando dos últimos 2 meses e trabalhando muito bem e um produto genuíno., É o carregador orginal do Lenovo .. deve comprá -lo, até agora tudo bem . Parece original e acho que eles estão vendendo originais. Vá para este. O mesmo que o meu original. Sem feedback ruim, ele cobra meu laptop em 3 horas, mas minha bateria de laptop tem 4-5 anos. A duração da bateria é baixa. Caso contrário, o carregador está funcionando bem para mim.</v>
      </c>
    </row>
    <row r="908">
      <c r="A908" s="9" t="s">
        <v>3594</v>
      </c>
      <c r="B908" s="29" t="str">
        <f>VLOOKUP(dados!A908, reviews!A:G, 5, FALSE)</f>
        <v>Headset,Overall a good product. Sound quality and mic quality is quite satisfactory,An ordinary headphone, though its from HP,hp headphone,Sound quality is good.,It’s okay,It is Good product,Issuebin incomming voice</v>
      </c>
      <c r="C908" s="29" t="str">
        <f>VLOOKUP(dados!A908, reviews!A:G, 6, FALSE)</f>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☺️😊,I bought it in october month but now is not wprking properly</v>
      </c>
      <c r="D908" s="29" t="str">
        <f>IFERROR(__xludf.DUMMYFUNCTION("GOOGLETRANSLATE(B908, ""en"", ""pt-br"")"),"Fone de ouvido, em geral, um bom produto. A qualidade do som e a qualidade do microfone são bastante satisfatórias, um fone de ouvido comum, embora seja do HP, fone de ouvido HP, a qualidade do som é boa., Tudo bem, é um bom produto, a voz do incorporador")</f>
        <v>Fone de ouvido, em geral, um bom produto. A qualidade do som e a qualidade do microfone são bastante satisfatórias, um fone de ouvido comum, embora seja do HP, fone de ouvido HP, a qualidade do som é boa., Tudo bem, é um bom produto, a voz do incorporador</v>
      </c>
      <c r="E908" s="29" t="str">
        <f>IFERROR(__xludf.DUMMYFUNCTION("GOOGLETRANSLATE(C908, ""en"", ""pt-br"")"),"Não é um ajuste perfeito para uso longo, um problema que você pode enfrentar se usá -lo continuamente por um longo tempo pode ser uma dor de ouvido pode ser iniciada., Embora seja um produto HP, não há nada para escrever sobre esse fone de ouvido. Faz o q"&amp;"ue é prometido e há valor pelo dinheiro, pois você pode confiar na marca, mas não espere nada 'extra'. Sem controle de volume ou botão liga/desliga, confortável de usar, mas não projetado para conforto, som claro e um microfone, mas sem recursos avançados"&amp;". No entanto, é bom para o preço!, O produto não atenderia à minha expectativa e qualidade de som é ruim. também bom ☺️😊, eu comprei no mês de outubro, mas agora não está vendo corretamente")</f>
        <v>Não é um ajuste perfeito para uso longo, um problema que você pode enfrentar se usá -lo continuamente por um longo tempo pode ser uma dor de ouvido pode ser iniciada., Embora seja um produto HP, não há nada para escrever sobre esse fone de ouvido. Faz o que é prometido e há valor pelo dinheiro, pois você pode confiar na marca, mas não espere nada 'extra'. Sem controle de volume ou botão liga/desliga, confortável de usar, mas não projetado para conforto, som claro e um microfone, mas sem recursos avançados. No entanto, é bom para o preço!, O produto não atenderia à minha expectativa e qualidade de som é ruim. também bom ☺️😊, eu comprei no mês de outubro, mas agora não está vendo corretamente</v>
      </c>
    </row>
    <row r="909">
      <c r="A909" s="9" t="s">
        <v>3600</v>
      </c>
      <c r="B909" s="29" t="str">
        <f>VLOOKUP(dados!A909, reviews!A:G, 5, FALSE)</f>
        <v>Best Budget Mechanical Gaming Keyboard Period!,AMAZING KEYBOARD! Premium, Affordable and neat layout.,Pretty good for basics,Value for money,  not very fancy but subtle!,Good keyboard but,My first mechanical keyboard!,Best mechanical keyboard,Modding is So easy!!</v>
      </c>
      <c r="C909" s="29" t="str">
        <f>VLOOKUP(dados!A909, reviews!A:G, 6, FALSE)</f>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v>
      </c>
      <c r="D909" s="29" t="str">
        <f>IFERROR(__xludf.DUMMYFUNCTION("GOOGLETRANSLATE(B909, ""en"", ""pt-br"")"),"Melhor Teclado de jogos mecânicos do orçamento!, Teclado incrível! Layout premium, acessível e arrumado., Muito bom para o básico, valor ao dinheiro, não muito chique, mas sutil!, Bom teclado, mas, meu primeiro teclado mecânico!, Melhor teclado mecânico, "&amp;"a modificação é tão fácil !!")</f>
        <v>Melhor Teclado de jogos mecânicos do orçamento!, Teclado incrível! Layout premium, acessível e arrumado., Muito bom para o básico, valor ao dinheiro, não muito chique, mas sutil!, Bom teclado, mas, meu primeiro teclado mecânico!, Melhor teclado mecânico, a modificação é tão fácil !!</v>
      </c>
      <c r="E909" s="29" t="str">
        <f>IFERROR(__xludf.DUMMYFUNCTION("GOOGLETRANSLATE(C909, ""en"", ""pt-br"")"),"Pegue! Pegue! Entendê -lo! É a minha segunda vez recebendo este Keeb como eu havia modificado (Foam+Tape Mod) e vendi o meu primeiro que eu havia trazido do EliteHubs que eu iria pegar de novo, mas eles perderam minha conta do servidor T_T que eu tinha al"&amp;"guns saldo de reembolso. (Confirmado e verificado usando o Visualizador USB pela Microsoft) Os melhores LEDs RGB que eu já vi em um teclado abaixo de 8k Essas coisas são grandes e vibrantes de grandes cliques, especialmente para um interruptor linear dece"&amp;"nte o suficiente para a porta USB C Angul Para mim) | É ótimo para digitar e jogos parece ótimo: não há nenhum golpe se você conseguir esse keeb! Mas só para ser atento 1. Eu diria que o switch e o puxador de chaves que acompanham com esta placa são melho"&amp;"res se não forem usados ​​como a qualidade dela um pouco no lado inferior e tem uma tendência a danificar os interruptores ao puxá-los enquanto os puxam enquanto os puxam fora 2. O software é doce e simples, mas mais alguns recursos podem ser adicionados."&amp;" É isso, obtenha -o logo antes que o estoque acabar :), deve ter teclado mecânico para suas necessidades de digitação e jogo. As chaves são trocáveis ​​quentes. Nenhum motorista precisava apenas de plugue e reproduzir. Deve baixar o software se você desej"&amp;"a uma cor RGB específica ou transições e macros. Excelente qualidade construída. Entregue rapidamente na loja de origem em 4 dias. O preço é justificável. Para as pessoas que usam o teclado de layout do Reino Unido, pressione Shift+Finios para @, pression"&amp;"e \ | Chave acima Chave de retorno para o tipo #. Use as teclas FN+WASD para navegação. Saúde!, Muito pequeno para minhas mãos. Recomendo as chaves um pouco mais espaçadas e grandes para facilitar o clique, para ler minha resenha. Este é o meu primeiro te"&amp;"clado mecânico e estou muito feliz com isso. Além das luzes, gosto do som que as teclas fazem, da resposta rápida e das teclas rápidas. Eu o recomendo para pessoas que podem querer mudar para o teclado mecânico. Além disso, a cor cinza e branca é incrível"&amp;"! ,,, A qualidade do teclado é o som do som e o ponto principal é o RGB, que é excelente com tantos modos RGB, que é sempre controlada pelo software e o brilho é o melhor. Para isso, usá -lo dos últimos 4 meses, valor para o dinheiro, também forneceu inte"&amp;"rruptores extras que foram salva -vidas para mim (eu mudei 2 interruptores em kb porque a tecla W e o backspace foi broked) Fácil de modificar")</f>
        <v>Pegue! Pegue! Entendê -lo! É a minha segunda vez recebendo este Keeb como eu havia modificado (Foam+Tape Mod) e vendi o meu primeiro que eu havia trazido do EliteHubs que eu iria pegar de novo, mas eles perderam minha conta do servidor T_T que eu tinha alguns saldo de reembolso. (Confirmado e verificado usando o Visualizador USB pela Microsoft) Os melhores LEDs RGB que eu já vi em um teclado abaixo de 8k Essas coisas são grandes e vibrantes de grandes cliques, especialmente para um interruptor linear decente o suficiente para a porta USB C Angul Para mim) | É ótimo para digitar e jogos parece ótimo: não há nenhum golpe se você conseguir esse keeb! Mas só para ser atento 1. Eu diria que o switch e o puxador de chaves que acompanham com esta placa são melhores se não forem usados ​​como a qualidade dela um pouco no lado inferior e tem uma tendência a danificar os interruptores ao puxá-los enquanto os puxam enquanto os puxam fora 2. O software é doce e simples, mas mais alguns recursos podem ser adicionados. É isso, obtenha -o logo antes que o estoque acabar :), deve ter teclado mecânico para suas necessidades de digitação e jogo. As chaves são trocáveis ​​quentes. Nenhum motorista precisava apenas de plugue e reproduzir. Deve baixar o software se você deseja uma cor RGB específica ou transições e macros. Excelente qualidade construída. Entregue rapidamente na loja de origem em 4 dias. O preço é justificável. Para as pessoas que usam o teclado de layout do Reino Unido, pressione Shift+Finios para @, pressione \ | Chave acima Chave de retorno para o tipo #. Use as teclas FN+WASD para navegação. Saúde!, Muito pequeno para minhas mãos. Recomendo as chaves um pouco mais espaçadas e grandes para facilitar o clique, para ler minha resenha. Este é o meu primeiro teclado mecânico e estou muito feliz com isso. Além das luzes, gosto do som que as teclas fazem, da resposta rápida e das teclas rápidas. Eu o recomendo para pessoas que podem querer mudar para o teclado mecânico. Além disso, a cor cinza e branca é incrível! ,,, A qualidade do teclado é o som do som e o ponto principal é o RGB, que é excelente com tantos modos RGB, que é sempre controlada pelo software e o brilho é o melhor. Para isso, usá -lo dos últimos 4 meses, valor para o dinheiro, também forneceu interruptores extras que foram salva -vidas para mim (eu mudei 2 interruptores em kb porque a tecla W e o backspace foi broked) Fácil de modificar</v>
      </c>
    </row>
    <row r="910">
      <c r="A910" s="9" t="s">
        <v>253</v>
      </c>
      <c r="B910" s="29" t="str">
        <f>VLOOKUP(dados!A910, reviews!A:G, 5, FALSE)</f>
        <v>Good product,Strong and powerful,Useful product.,Very nice 👌 👍 product,Good 👍🏻,Good,USB,Strong buid , study design , charging speed ☹️</v>
      </c>
      <c r="C910" s="29" t="str">
        <f>VLOOKUP(dados!A910, reviews!A:G, 6, FALSE)</f>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v>
      </c>
      <c r="D910" s="29" t="str">
        <f>IFERROR(__xludf.DUMMYFUNCTION("GOOGLETRANSLATE(B910, ""en"", ""pt-br"")"),"Bom produto, produto forte e poderoso e útil., Muito bom 👌 👍 Produto, bom 👍🏻, bom, USB, Buid forte, desenho do estudo, velocidade de carregamento ☹️")</f>
        <v>Bom produto, produto forte e poderoso e útil., Muito bom 👌 👍 Produto, bom 👍🏻, bom, USB, Buid forte, desenho do estudo, velocidade de carregamento ☹️</v>
      </c>
      <c r="E910" s="29" t="str">
        <f>IFERROR(__xludf.DUMMYFUNCTION("GOOGLETRANSLATE(C910, ""en"", ""pt-br"")"),"Qualidade está ok apenas ok, bem, vá em busca de um bom cabo, produto útil nesse preço., muito bom, bom e de carregamento, a velocidade de carregamento suporta até 25V, a quantidade do produto é excelente, mas muito lenta, carregamento, o cabo é absolutam"&amp;"ente bonito, forte, durável . Mas não suponha o carregamento rápido, como eu esperava, verifiquei a velocidade com o StopWatch, estou usando o telefone RealMe, com meu carregador Realme 20W original e o cabo original, o tempo leva para cobrar 68% a 69% é "&amp;"de 34 segundos. Mas com este cabo de ambrária, é necessário 1 min 32 segundos para cobrar de 69% a 70%.")</f>
        <v>Qualidade está ok apenas ok, bem, vá em busca de um bom cabo, produto útil nesse preço., muito bom, bom e de carregamento, a velocidade de carregamento suporta até 25V, a quantidade do produto é excelente, mas muito lenta, carregamento, o cabo é absolutamente bonito, forte, durável . Mas não suponha o carregamento rápido, como eu esperava, verifiquei a velocidade com o StopWatch, estou usando o telefone RealMe, com meu carregador Realme 20W original e o cabo original, o tempo leva para cobrar 68% a 69% é de 34 segundos. Mas com este cabo de ambrária, é necessário 1 min 32 segundos para cobrar de 69% a 70%.</v>
      </c>
    </row>
    <row r="911">
      <c r="A911" s="9" t="s">
        <v>3607</v>
      </c>
      <c r="B911" s="29" t="str">
        <f>VLOOKUP(dados!A911, reviews!A:G, 5, FALSE)</f>
        <v>Gets the job done 👍👍👍,Original product,Good,THe ink is not full to the brim,Original cartridges,Nice,Excellent refill ink - original quality,Low quantity</v>
      </c>
      <c r="C911" s="29" t="str">
        <f>VLOOKUP(dados!A911, reviews!A:G, 6, FALSE)</f>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v>
      </c>
      <c r="D911" s="29" t="str">
        <f>IFERROR(__xludf.DUMMYFUNCTION("GOOGLETRANSLATE(B911, ""en"", ""pt-br"")"),"Faz o trabalho 👍👍👍, produto original, bom, a tinta não está cheia até a borda, cartuchos originais, boa e excelente tinta de reabastecimento - qualidade original, baixa quantidade")</f>
        <v>Faz o trabalho 👍👍👍, produto original, bom, a tinta não está cheia até a borda, cartuchos originais, boa e excelente tinta de reabastecimento - qualidade original, baixa quantidade</v>
      </c>
      <c r="E911" s="29" t="str">
        <f>IFERROR(__xludf.DUMMYFUNCTION("GOOGLETRANSLATE(C911, ""en"", ""pt-br"")"),"Eu o comprei há 6 meses para o meu hp inktank419. está funcionando melhor que o local. Amazonas. Também foi entregue em tempo recorde., Bom para a impressão perfeita, a tinta está faltando 20%. Caso contrário, é um produto genuíno. Impressão muito boa e n"&amp;"enhum problema. No entanto, como eu disse, está preenchido apenas 80% ou 75%, todos compram produtos originais para manter seu produto seguro, agradável, a qualidade da tinta é muito boa, produto original. Eu tenho garrafas perfeitamente embaladas, todas "&amp;"seladas. Mas, as garrafas de tinta estão 1/4 vazias, embora as garrafas sejam grandes e de grande diâmetro, então acho que contém 135 ml de tinta. A boca da garrafa é grande e uma seringa de 10 ml entra facilmente. Usei essa tinta para reabastecer meus ca"&amp;"rtuchos Canon PG47. Estou surpresa com a qualidade de impressão e a contagem de impressões. A mesma cor preta profunda como o cartucho PG47 original., Quase 1/4 da garrafa está vazio")</f>
        <v>Eu o comprei há 6 meses para o meu hp inktank419. está funcionando melhor que o local. Amazonas. Também foi entregue em tempo recorde., Bom para a impressão perfeita, a tinta está faltando 20%. Caso contrário, é um produto genuíno. Impressão muito boa e nenhum problema. No entanto, como eu disse, está preenchido apenas 80% ou 75%, todos compram produtos originais para manter seu produto seguro, agradável, a qualidade da tinta é muito boa, produto original. Eu tenho garrafas perfeitamente embaladas, todas seladas. Mas, as garrafas de tinta estão 1/4 vazias, embora as garrafas sejam grandes e de grande diâmetro, então acho que contém 135 ml de tinta. A boca da garrafa é grande e uma seringa de 10 ml entra facilmente. Usei essa tinta para reabastecer meus cartuchos Canon PG47. Estou surpresa com a qualidade de impressão e a contagem de impressões. A mesma cor preta profunda como o cartucho PG47 original., Quase 1/4 da garrafa está vazio</v>
      </c>
    </row>
    <row r="912">
      <c r="A912" s="9" t="s">
        <v>3611</v>
      </c>
      <c r="B912" s="29" t="str">
        <f>VLOOKUP(dados!A912, reviews!A:G, 5, FALSE)</f>
        <v>Budget friendly watch,Good product at this price range,Ok,Satisfied,Watch ⌚️ Review,Nice,Display touch was good but screen bazales is too much,Nice watch under 2000</v>
      </c>
      <c r="C912" s="29" t="str">
        <f>VLOOKUP(dados!A912, reviews!A:G, 6, FALSE)</f>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v>
      </c>
      <c r="D912" s="29" t="str">
        <f>IFERROR(__xludf.DUMMYFUNCTION("GOOGLETRANSLATE(B912, ""en"", ""pt-br"")"),"Relógio amigável ao orçamento, bom produto a essa faixa de preço, OK, satisfeito, relatar ⌚️ Revisão, bom, o Display Touch foi bom, mas a tela Bazales é demais, bom relógio com menos de 2000")</f>
        <v>Relógio amigável ao orçamento, bom produto a essa faixa de preço, OK, satisfeito, relatar ⌚️ Revisão, bom, o Display Touch foi bom, mas a tela Bazales é demais, bom relógio com menos de 2000</v>
      </c>
      <c r="E912" s="29" t="str">
        <f>IFERROR(__xludf.DUMMYFUNCTION("GOOGLETRANSLATE(C912, ""en"", ""pt-br"")"),"Gostei do relógio, a bateria deste relógio é tão boa que, antes de usar, carreguei este relógio e já faz duas semanas e este relógio ainda tem 25% de bateria. E o lado nagativo é que eu pedi relógio Black Strap e recebi um relógio de cinta cinza e isso é "&amp;"um erro de vendedores, tentei devolver isso e liguei para a Amazon Help Line e depois ouvi meu problema e veja on -line que eu entendi errado e depois eles Digamos que eles me conectarão a outra pessoa que resolverá isso e então ninguém escolhe a chamada "&amp;"para o anel continua a tocar e depois de 5 minutos, pensei que ninguém iria escolher a ligação e eu desconectei e começo a usá -lo. Assista tem alguns futuros básicos e eu gosto., Um dos melhores produtos nessa faixa de preço. Estou usando isso há um ano "&amp;"e não tenho queixas. A qualidade construída é boa. A contagem de etapas não é muito precisa e podemos dizer que o software não tem precisão de várias maneiras quando comparado a outras grandes marcas (Apple/Fossil). Mas eu já vi o pior. O toque é muito su"&amp;"ave e os alertas de notificação funcionam conforme o esperado. Isso é resistente à água e natação. Não tenho certeza se possui classificação IP67/8, mas acredito que isso também é à prova de poeira, já que eu a uso há quase um ano. não ser feito. Deve ser"&amp;" automaticamente., Bom produto, os molduras são grandes, mas não há problema para essa faixa de preço e estou satisfeito com o produto., O relógio é bonito e até marcar, apenas um golpe neste relógio, você não pode atender a chamada e Reverter você só pod"&amp;"e reverter por mensagens, nice, https: //m.media-amazon.com/images/i/71zee6pwaal._sy88.jpg,")</f>
        <v>Gostei do relógio, a bateria deste relógio é tão boa que, antes de usar, carreguei este relógio e já faz duas semanas e este relógio ainda tem 25% de bateria. E o lado nagativo é que eu pedi relógio Black Strap e recebi um relógio de cinta cinza e isso é um erro de vendedores, tentei devolver isso e liguei para a Amazon Help Line e depois ouvi meu problema e veja on -line que eu entendi errado e depois eles Digamos que eles me conectarão a outra pessoa que resolverá isso e então ninguém escolhe a chamada para o anel continua a tocar e depois de 5 minutos, pensei que ninguém iria escolher a ligação e eu desconectei e começo a usá -lo. Assista tem alguns futuros básicos e eu gosto., Um dos melhores produtos nessa faixa de preço. Estou usando isso há um ano e não tenho queixas. A qualidade construída é boa. A contagem de etapas não é muito precisa e podemos dizer que o software não tem precisão de várias maneiras quando comparado a outras grandes marcas (Apple/Fossil). Mas eu já vi o pior. O toque é muito suave e os alertas de notificação funcionam conforme o esperado. Isso é resistente à água e natação. Não tenho certeza se possui classificação IP67/8, mas acredito que isso também é à prova de poeira, já que eu a uso há quase um ano. não ser feito. Deve ser automaticamente., Bom produto, os molduras são grandes, mas não há problema para essa faixa de preço e estou satisfeito com o produto., O relógio é bonito e até marcar, apenas um golpe neste relógio, você não pode atender a chamada e Reverter você só pode reverter por mensagens, nice, https: //m.media-amazon.com/images/i/71zee6pwaal._sy88.jpg,</v>
      </c>
    </row>
    <row r="913">
      <c r="A913" s="9" t="s">
        <v>3615</v>
      </c>
      <c r="B913" s="29" t="str">
        <f>VLOOKUP(dados!A913, reviews!A:G, 5, FALSE)</f>
        <v>Value for Money product,I didn't receive adaptor with my speakers..I'm disappointed,Sound,I can't AUX mode service,Good,Sound best Quality.,Very good,So sweet sound but subwoofer not good</v>
      </c>
      <c r="C913" s="29" t="str">
        <f>VLOOKUP(dados!A913, reviews!A:G, 6, FALSE)</f>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😁,Best,Nice prodect,Remote playback so best mujhe to acha laga #tag zebronic</v>
      </c>
      <c r="D913" s="29" t="str">
        <f>IFERROR(__xludf.DUMMYFUNCTION("GOOGLETRANSLATE(B913, ""en"", ""pt-br"")"),"Produto de valor para dinheiro, não recebi adaptador com meus alto -falantes ... estou decepcionado, som, não posso auxiliar o serviço, bom, parecer melhor qualidade., Muito bom, tão doce som, mas o subwoofer não é bom")</f>
        <v>Produto de valor para dinheiro, não recebi adaptador com meus alto -falantes ... estou decepcionado, som, não posso auxiliar o serviço, bom, parecer melhor qualidade., Muito bom, tão doce som, mas o subwoofer não é bom</v>
      </c>
      <c r="E913" s="29" t="str">
        <f>IFERROR(__xludf.DUMMYFUNCTION("GOOGLETRANSLATE(C913, ""en"", ""pt-br"")"),"Curta revisão - a qualidade do produto e do som muito boa é muito agradável. Bom para salas de estar com cerca de 12x12 pés ou ainda maior espaço. Eu o instalei e conectei à TV usando cabo coaxial. Volume, clareza, baixo, tudo é perfeito. Revisão geral do"&amp;" valor do dinheiro. Long Review - Eu tenho experiência em outros palestrantes da empresa como JBL e Sony e decidi comprá -los, mas este é semelhante em qualidade de som. Treble é agradável e nítido. Os vocais soam bem, mesmo em volumes mais altos. O baixo"&amp;" é incrível - enche a sala inteira com esse som de boom. Assistir filmes e ouvir música está muito melhor agora com esses alto-falantes. Usado por cerca de 7 dias e a experiência geral é boa.- Barra de som (não subwoofer)- o tamanho é grande, considerando"&amp;" que isso é 80W, mas para mim esse é o tamanho perfeito Como corresponde à minha comprimento de TV e parece bom .-- Subwoofer- unidade pequena e compacta. O baixo é incrível. Dá esse efeito de boom nas cenas de ação e ao ouvir música.- remoto remoto- míni"&amp;"mo, mas funcional. Possui todos os recursos necessários em um único clique .-- Conectividade- não possui SPDIF óptico, mas tudo bem, pois a opção coaxial está disponível e principalmente todas as TVs têm apenas conectividade coaxial. Veja abaixo a conecti"&amp;"vidade Bluetooth. O Bluetooth em geral funciona muito bem, exceto quando você conecta determinados dispositivos com hardware mais recente. Tenho uma unidade menor instalada em outra sala e sempre usada para assistir filmes nessa unidade de alto -falante. "&amp;"Mas depois de ouvir este, sinto o som e o baixo dessa outra unidade é muito baixa. Este realmente soa bem e faz assistir filmes e ouvir uma boa experiência. tem um pequeno problema. Não muito, mas ainda assim você pode ouvi -lo em algumas situações que ag"&amp;"udos, e os vocais não estão claros. Este não é um problema quando você usa seu celular para se conectar usando o Bluetooth. Eu queria um som cristalino claro, então me conectei usando a qualidade coaxial de cabos e som é incrível sobre a conexão com fio. "&amp;"._Sy88.jpg, tudo de bom, mas o modo aux")</f>
        <v>Curta revisão - a qualidade do produto e do som muito boa é muito agradável. Bom para salas de estar com cerca de 12x12 pés ou ainda maior espaço. Eu o instalei e conectei à TV usando cabo coaxial. Volume, clareza, baixo, tudo é perfeito. Revisão geral do valor do dinheiro. Long Review - Eu tenho experiência em outros palestrantes da empresa como JBL e Sony e decidi comprá -los, mas este é semelhante em qualidade de som. Treble é agradável e nítido. Os vocais soam bem, mesmo em volumes mais altos. O baixo é incrível - enche a sala inteira com esse som de boom. Assistir filmes e ouvir música está muito melhor agora com esses alto-falantes. Usado por cerca de 7 dias e a experiência geral é boa.- Barra de som (não subwoofer)- o tamanho é grande, considerando que isso é 80W, mas para mim esse é o tamanho perfeito Como corresponde à minha comprimento de TV e parece bom .-- Subwoofer- unidade pequena e compacta. O baixo é incrível. Dá esse efeito de boom nas cenas de ação e ao ouvir música.- remoto remoto- mínimo, mas funcional. Possui todos os recursos necessários em um único clique .-- Conectividade- não possui SPDIF óptico, mas tudo bem, pois a opção coaxial está disponível e principalmente todas as TVs têm apenas conectividade coaxial. Veja abaixo a conectividade Bluetooth. O Bluetooth em geral funciona muito bem, exceto quando você conecta determinados dispositivos com hardware mais recente. Tenho uma unidade menor instalada em outra sala e sempre usada para assistir filmes nessa unidade de alto -falante. Mas depois de ouvir este, sinto o som e o baixo dessa outra unidade é muito baixa. Este realmente soa bem e faz assistir filmes e ouvir uma boa experiência. tem um pequeno problema. Não muito, mas ainda assim você pode ouvi -lo em algumas situações que agudos, e os vocais não estão claros. Este não é um problema quando você usa seu celular para se conectar usando o Bluetooth. Eu queria um som cristalino claro, então me conectei usando a qualidade coaxial de cabos e som é incrível sobre a conexão com fio. ._Sy88.jpg, tudo de bom, mas o modo aux</v>
      </c>
    </row>
    <row r="914">
      <c r="A914" s="9" t="s">
        <v>3621</v>
      </c>
      <c r="B914" s="29" t="str">
        <f>VLOOKUP(dados!A914, reviews!A:G, 5, FALSE)</f>
        <v>Sound and Bass,It's very nice,Good quality earphones,Best 👍,Super,Good,Good quality at that price,Sounds good and looks good</v>
      </c>
      <c r="C914" s="29" t="str">
        <f>VLOOKUP(dados!A914, reviews!A:G, 6, FALSE)</f>
        <v>The Sound quality is Great 👍🏻..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v>
      </c>
      <c r="D914" s="29" t="str">
        <f>IFERROR(__xludf.DUMMYFUNCTION("GOOGLETRANSLATE(B914, ""en"", ""pt-br"")"),"Som e baixo, é muito bom, fones de ouvido de boa qualidade, melhor 👍, super, boa, boa qualidade a esse preço, parece bom e parece bom")</f>
        <v>Som e baixo, é muito bom, fones de ouvido de boa qualidade, melhor 👍, super, boa, boa qualidade a esse preço, parece bom e parece bom</v>
      </c>
      <c r="E914" s="29" t="str">
        <f>IFERROR(__xludf.DUMMYFUNCTION("GOOGLETRANSLATE(C914, ""en"", ""pt-br"")"),"A qualidade do som é ótima 👍🏻 .. Todos os agudos e médios são ótimos, mas o baixo está meio bem ..., eu o comprei duas vezes. Eu gosto deste. Eu o uso desde janeiro de 2021, fones de ouvido e baixo de boa qualidade, sim, o baixo também é o melhor, é inc"&amp;"rível, como isso, bom, o som é como outros erapanes de barco que eu tentei, um pouco pesado não tão equilibrado quanto você Esperava de marcas mais caras, a maioria das pessoas gostaria que seja. A cor azul/roxa parece muito boa.")</f>
        <v>A qualidade do som é ótima 👍🏻 .. Todos os agudos e médios são ótimos, mas o baixo está meio bem ..., eu o comprei duas vezes. Eu gosto deste. Eu o uso desde janeiro de 2021, fones de ouvido e baixo de boa qualidade, sim, o baixo também é o melhor, é incrível, como isso, bom, o som é como outros erapanes de barco que eu tentei, um pouco pesado não tão equilibrado quanto você Esperava de marcas mais caras, a maioria das pessoas gostaria que seja. A cor azul/roxa parece muito boa.</v>
      </c>
    </row>
    <row r="915">
      <c r="A915" s="9" t="s">
        <v>3625</v>
      </c>
      <c r="B915" s="29" t="str">
        <f>VLOOKUP(dados!A915, reviews!A:G, 5, FALSE)</f>
        <v>Good product 👌,5 bati,Charge seems to be very low.,Good batteries.,working fine with my car remote,Original Duracell,Great,SANTOSH PRASAD</v>
      </c>
      <c r="C915" s="29" t="str">
        <f>VLOOKUP(dados!A915, reviews!A:G, 6, FALSE)</f>
        <v>👌,1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v>
      </c>
      <c r="D915" s="29" t="str">
        <f>IFERROR(__xludf.DUMMYFUNCTION("GOOGLETRANSLATE(B915, ""en"", ""pt-br"")"),"Bom produto 👌, 5 bati, carga parece ser muito baixa., Boas baterias., Trabalhando bem com meu carro remoto, duracell original, ótimo, santosh prasad")</f>
        <v>Bom produto 👌, 5 bati, carga parece ser muito baixa., Boas baterias., Trabalhando bem com meu carro remoto, duracell original, ótimo, santosh prasad</v>
      </c>
      <c r="E915" s="29" t="str">
        <f>IFERROR(__xludf.DUMMYFUNCTION("GOOGLETRANSLATE(C915, ""en"", ""pt-br"")"),"👌, 1 bati, 5 bati, tensão e desempenho não estão a par de outras marcas., Baterias de boa qualidade., Essas células são uma boa substituição, essas são baterias originais de Duracell. Minha chave de carro pede um único CR2032, então, em vez disso, coloqu"&amp;"ei dois CR2016 um em detrimento de outro como um sanduíche. Funciona como normal. Mas você não tenta esse hack. Eu precisava do CR2016 para o meu relógio FastTrack, então pedi -os, mas tentei o hack acima das chaves do meu carro e funcionou. Não tente iss"&amp;"o em casa. LOL.TIP- Ao manusear qualquer tipo de baterias, certifique -se de não tocar em ambos - VE e +VE ao mesmo tempo. Ele descarrega a bateria mais cedo. Lidar com uma pinça de plástico ou com luvas de silicone., Melhores células de íons de lítio. Pa"&amp;"ra chaves do carro, etc.")</f>
        <v>👌, 1 bati, 5 bati, tensão e desempenho não estão a par de outras marcas., Baterias de boa qualidade., Essas células são uma boa substituição, essas são baterias originais de Duracell. Minha chave de carro pede um único CR2032, então, em vez disso, coloquei dois CR2016 um em detrimento de outro como um sanduíche. Funciona como normal. Mas você não tenta esse hack. Eu precisava do CR2016 para o meu relógio FastTrack, então pedi -os, mas tentei o hack acima das chaves do meu carro e funcionou. Não tente isso em casa. LOL.TIP- Ao manusear qualquer tipo de baterias, certifique -se de não tocar em ambos - VE e +VE ao mesmo tempo. Ele descarrega a bateria mais cedo. Lidar com uma pinça de plástico ou com luvas de silicone., Melhores células de íons de lítio. Para chaves do carro, etc.</v>
      </c>
    </row>
    <row r="916">
      <c r="A916" s="9" t="s">
        <v>3629</v>
      </c>
      <c r="B916" s="29" t="str">
        <f>VLOOKUP(dados!A916, reviews!A:G, 5, FALSE)</f>
        <v>Pathetic amazon delivery service,Decent Indoor Security Camera,Camera used by me,Other than initial hiccups, some (Mi Home app) software bugs, it is good for monitoring!,Works well,Nice camera but motion censor doesn't work,Good,Not up to mark</v>
      </c>
      <c r="C916" s="29" t="str">
        <f>VLOOKUP(dados!A916, reviews!A:G, 6, FALSE)</f>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v>
      </c>
      <c r="D916" s="29" t="str">
        <f>IFERROR(__xludf.DUMMYFUNCTION("GOOGLETRANSLATE(B916, ""en"", ""pt-br"")"),"Serviço patético de entrega da Amazon, câmera de segurança interna decente, câmera usada por mim, exceto os soluços iniciais, alguns bugs de software (Mi Home App), é bom para monitorar!, Funciona bem, boa câmera, mas o censor de movimento não funciona, b"&amp;"om , Não está pronto para marcar")</f>
        <v>Serviço patético de entrega da Amazon, câmera de segurança interna decente, câmera usada por mim, exceto os soluços iniciais, alguns bugs de software (Mi Home App), é bom para monitorar!, Funciona bem, boa câmera, mas o censor de movimento não funciona, bom , Não está pronto para marcar</v>
      </c>
      <c r="E916" s="29" t="str">
        <f>IFERROR(__xludf.DUMMYFUNCTION("GOOGLETRANSLATE(C916, ""en"", ""pt-br"")"),"Eu pedi essa câmera Mi recebi o produto, mas estava com defeito não funcionando corretamente, então liguei para o atendimento ao cliente e fiz o pedido de substituição que o pedido de substituição deveria ser entregue até 26 de dezembro de 2022, mas hoje "&amp;"é 3 de janeiro de 2023, ainda não foi entregue Disse que o pacote foi perdido, você devolve o produto defeituoso e você receberá o reembolso. Depois de esperar tanto tempo, o produto não é entregue e eu receberei o reembolso muito ruim da Amazon, a visão "&amp;"noturna é boa, às vezes a notificação de pessoa detectada será adiada E a detecção de movimento às vezes não funciona além de tudo ser bom, a câmera suporta 64 GB de cartão de memória, enquanto o armazenamento on -line, conforme mencionado nos detalhes da"&amp;" rolagem de 7 dias na Índia, está faltando. Lembre -se ... nada é perfeito. A Xiaomi já lançou câmeras de segurança doméstica usando outras marcas como Yi. E o mercado de câmeras de segurança doméstica ainda não foi adaptado em grande parte. Portanto, voc"&amp;"ê pode esperar muito mal -entendido sobre como tudo funciona juntos em uma câmera de segurança em casa em geral. Configuração inicial: é uma brisa para alguns, mas dor para outros. Veja as classificações de 1 estrela se você quiser provas. Eu tive problem"&amp;"as para que esta câmera reconhecesse por seu próprio aplicativo (MI Home). Demorou cerca de 1 hora para reconhecer depois de tentar com diferentes condições de iluminação. A câmera foi desconectada do aplicativo, depois que eu mudei o SSID do roteador. En"&amp;"tão, eu tive que emparelhá -lo novamente. Desta vez, levou mais de um dia (!) De tentativa e erro. Eu tive que manter a câmera sob luz solar brilhante para ser reconhecida pelo MI Home App. Lição aprendida de maneira difícil. Requisito de largura da banda"&amp;": Esta câmera requer conectividade 24x7 com conexão sólida à Internet e com boa largura de banda de upload. Mesmo se você tiver uma conexão de 100 Mbps, esta câmera só poderá ser conectada via sem fio. Portanto, mais a distância do roteador, menor a largu"&amp;"ra de banda. Esta câmera desliga, se não tiver largura de banda suficiente. Se você adicionar armazenamento NAS, precisará de ainda mais largura de banda entre a câmera e o roteador. A câmera é muito sensível. Se você configurar alguma configuração confli"&amp;"tante, ela apenas penduraria e não gravaria nada, mesmo no armazenamento de cartão SD a bordo. Se a câmera pendurar por um motivo específico, você deve reiniciá -la. É uma dor de solucionar as coisas quando você está a quilômetros de casa em outra cidade."&amp;" O aplicativo doméstico do MI exige quase todas as permissões do seu telefone. Mas pude desativar a maioria das permissões, exceto localização e armazenamento. O que mais! Você obtém anúncios no aplicativo logo após abri -lo (no painel onde vê a lista de "&amp;"dispositivos) desde a versão 5.4.43 (lançado em 26 de dezembro de 2018). Eu gostaria que a Xiaomi divulgasse um aplicativo dedicado para câmeras de segurança doméstica, como outras empresas fizeram. A assistência do Google não é compatível com esta câmera"&amp;", se você gosta desse tipo de coisa. Algumas outras câmeras de Xiaomi (não lançadas na Índia) são suportadas, mas emparelhadas com o aplicativo e depois de ter a configuração perfeita (com NAS e boa largura de banda sem fio para / para a câmera), você pod"&amp;"e se tornar viciado em usá -lo em Diferentes condições, como na escuridão total. Se você estiver com um orçamento limitado e se não quiser gastar muito tempo em coisas técnicas, então, a câmera de segurança para casa Xiaomi Mi é a melhor câmera de monitor"&amp;"amento doméstico que você pode obter!, Bom o suficiente! Funciona como mostrado, câmera agradável e fácil de instalar. Somente Issus é o censor de movimento não funciona, é bom, mas o preço é alto e, às vezes, não está funcionando tão bem, não pode recebe"&amp;"r uma gravação de movimentos., Não estão prontos para marcar")</f>
        <v>Eu pedi essa câmera Mi recebi o produto, mas estava com defeito não funcionando corretamente, então liguei para o atendimento ao cliente e fiz o pedido de substituição que o pedido de substituição deveria ser entregue até 26 de dezembro de 2022, mas hoje é 3 de janeiro de 2023, ainda não foi entregue Disse que o pacote foi perdido, você devolve o produto defeituoso e você receberá o reembolso. Depois de esperar tanto tempo, o produto não é entregue e eu receberei o reembolso muito ruim da Amazon, a visão noturna é boa, às vezes a notificação de pessoa detectada será adiada E a detecção de movimento às vezes não funciona além de tudo ser bom, a câmera suporta 64 GB de cartão de memória, enquanto o armazenamento on -line, conforme mencionado nos detalhes da rolagem de 7 dias na Índia, está faltando. Lembre -se ... nada é perfeito. A Xiaomi já lançou câmeras de segurança doméstica usando outras marcas como Yi. E o mercado de câmeras de segurança doméstica ainda não foi adaptado em grande parte. Portanto, você pode esperar muito mal -entendido sobre como tudo funciona juntos em uma câmera de segurança em casa em geral. Configuração inicial: é uma brisa para alguns, mas dor para outros. Veja as classificações de 1 estrela se você quiser provas. Eu tive problemas para que esta câmera reconhecesse por seu próprio aplicativo (MI Home). Demorou cerca de 1 hora para reconhecer depois de tentar com diferentes condições de iluminação. A câmera foi desconectada do aplicativo, depois que eu mudei o SSID do roteador. Então, eu tive que emparelhá -lo novamente. Desta vez, levou mais de um dia (!) De tentativa e erro. Eu tive que manter a câmera sob luz solar brilhante para ser reconhecida pelo MI Home App. Lição aprendida de maneira difícil. Requisito de largura da banda: Esta câmera requer conectividade 24x7 com conexão sólida à Internet e com boa largura de banda de upload. Mesmo se você tiver uma conexão de 100 Mbps, esta câmera só poderá ser conectada via sem fio. Portanto, mais a distância do roteador, menor a largura de banda. Esta câmera desliga, se não tiver largura de banda suficiente. Se você adicionar armazenamento NAS, precisará de ainda mais largura de banda entre a câmera e o roteador. A câmera é muito sensível. Se você configurar alguma configuração conflitante, ela apenas penduraria e não gravaria nada, mesmo no armazenamento de cartão SD a bordo. Se a câmera pendurar por um motivo específico, você deve reiniciá -la. É uma dor de solucionar as coisas quando você está a quilômetros de casa em outra cidade. O aplicativo doméstico do MI exige quase todas as permissões do seu telefone. Mas pude desativar a maioria das permissões, exceto localização e armazenamento. O que mais! Você obtém anúncios no aplicativo logo após abri -lo (no painel onde vê a lista de dispositivos) desde a versão 5.4.43 (lançado em 26 de dezembro de 2018). Eu gostaria que a Xiaomi divulgasse um aplicativo dedicado para câmeras de segurança doméstica, como outras empresas fizeram. A assistência do Google não é compatível com esta câmera, se você gosta desse tipo de coisa. Algumas outras câmeras de Xiaomi (não lançadas na Índia) são suportadas, mas emparelhadas com o aplicativo e depois de ter a configuração perfeita (com NAS e boa largura de banda sem fio para / para a câmera), você pode se tornar viciado em usá -lo em Diferentes condições, como na escuridão total. Se você estiver com um orçamento limitado e se não quiser gastar muito tempo em coisas técnicas, então, a câmera de segurança para casa Xiaomi Mi é a melhor câmera de monitoramento doméstico que você pode obter!, Bom o suficiente! Funciona como mostrado, câmera agradável e fácil de instalar. Somente Issus é o censor de movimento não funciona, é bom, mas o preço é alto e, às vezes, não está funcionando tão bem, não pode receber uma gravação de movimentos., Não estão prontos para marcar</v>
      </c>
    </row>
    <row r="917">
      <c r="A917" s="9" t="s">
        <v>3633</v>
      </c>
      <c r="B917" s="29" t="str">
        <f>VLOOKUP(dados!A917, reviews!A:G, 5, FALSE)</f>
        <v>Good,Quality and compatibility are justified the price,Okay product,Zeb 100 4ports,Not used at all,Value for money,Good,Worth full</v>
      </c>
      <c r="C917" s="29" t="str">
        <f>VLOOKUP(dados!A917, reviews!A:G, 6, FALSE)</f>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v>
      </c>
      <c r="D917" s="29" t="str">
        <f>IFERROR(__xludf.DUMMYFUNCTION("GOOGLETRANSLATE(B917, ""en"", ""pt-br"")"),"Boa, qualidade e compatibilidade são justificadas o preço, ok, produto, ZEB 100 4Ports, não usado, valor ao dinheiro, bom, vale a pena cheio")</f>
        <v>Boa, qualidade e compatibilidade são justificadas o preço, ok, produto, ZEB 100 4Ports, não usado, valor ao dinheiro, bom, vale a pena cheio</v>
      </c>
      <c r="E917" s="29" t="str">
        <f>IFERROR(__xludf.DUMMYFUNCTION("GOOGLETRANSLATE(C917, ""en"", ""pt-br"")"),"Bom, excelente para mouse, teclado e P.D., eu o trouxe para a TV Mi, funciona bem com o laptop, enquanto a conexão com a TV, o disco rígido não é detectado., ANA PORTURAÇÃO DO TEMPO NICE NICELA poder externo. Mas o adaptador não está facilmente disponível"&amp;". O objetivo não é preenchimento completo., Bom produto e útil para laptops com menor número de portas., Bom, gostei deste produto. É valor. Muito obrigado pela Amazon por isso.")</f>
        <v>Bom, excelente para mouse, teclado e P.D., eu o trouxe para a TV Mi, funciona bem com o laptop, enquanto a conexão com a TV, o disco rígido não é detectado., ANA PORTURAÇÃO DO TEMPO NICE NICELA poder externo. Mas o adaptador não está facilmente disponível. O objetivo não é preenchimento completo., Bom produto e útil para laptops com menor número de portas., Bom, gostei deste produto. É valor. Muito obrigado pela Amazon por isso.</v>
      </c>
    </row>
    <row r="918">
      <c r="A918" s="9" t="s">
        <v>3637</v>
      </c>
      <c r="B918" s="29" t="str">
        <f>VLOOKUP(dados!A918, reviews!A:G, 5, FALSE)</f>
        <v>Waste of money,Best in this price range,Detailed Review &amp; Pros and Cons !!!,badhiya,Best Wired Headphones For Watching Movies And Online Classes,Very noise,Average quality,Nice experience in this headphone</v>
      </c>
      <c r="C918" s="29" t="str">
        <f>VLOOKUP(dados!A918, reviews!A:G, 6, FALSE)</f>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v>
      </c>
      <c r="D918" s="29" t="str">
        <f>IFERROR(__xludf.DUMMYFUNCTION("GOOGLETRANSLATE(B918, ""en"", ""pt-br"")"),"Desperdício de dinheiro, melhor nessa faixa de preço, revisão detalhada e prós e contras !!!, badhiya, melhores fones de ouvido com fio para assistir filmes e aulas on -line, muito barulho, qualidade média, boa experiência neste fone de ouvido")</f>
        <v>Desperdício de dinheiro, melhor nessa faixa de preço, revisão detalhada e prós e contras !!!, badhiya, melhores fones de ouvido com fio para assistir filmes e aulas on -line, muito barulho, qualidade média, boa experiência neste fone de ouvido</v>
      </c>
      <c r="E918" s="29" t="str">
        <f>IFERROR(__xludf.DUMMYFUNCTION("GOOGLETRANSLATE(C918, ""en"", ""pt-br"")"),"Parou de trabalhar após um mês de uso. Não desperdice seu dinheiro com este produto, tudo é melhor, mas a qualidade de construção é AVG, vamos entrar diretamente nos prós e contras: -Sry será uma longa revisão porque a revisão deve ser útil para todos que"&amp;" planejam comprar isso .Pros:-* O preço, dado a esse suporte de preço, é o melhor que posso sugerir da qualidade construída até a qualidade do áudio é superior ao preço 499/- (eu recebi esse preço)* Então o conforto, todo mundo reclamando dos earpads, não"&amp;" sei por que, se você está indo para o tipo de ouvido, você deve saber que você não pode usá -lo o dia todo, os produtos mais caros também tendem a aquecer seus ouvidos e ficar um pouco desconfortáveis, por isso Preferido, você pode optar por fones de ouv"&amp;"ido ou fones de ouvido. Enquanto comprei vários fones de ouvido, haverá um pano aguado como textura que irritará seus ouvidos, mas este tem almofada suave como material, estou realmente confortável com este. -Earear fones de ouvido Então eu conheço a qual"&amp;"idade dos graves e a qualidade vocal, então reservei isso sem nem pensar duas vezes, e ele entregou o que pode. A melhor parte é realmente confortável neste que meus fones de ouvido, o som é ainda melhor e você não obtém níveis de alto volume, como os pro"&amp;"dutos baratos locais nos mercados. Mas o baixo e a clareza lhe darão uma sensação extra, especialmente o baixo ... é realmente envolvente, se você é um amante do baixo. Ponto eu era um pouco cético em relação à qualidade da construção antes da entrega e m"&amp;"e surpreendeu, não acho que a qualidade da construção seja extraordinária como Sennheiser ou Sony porque você não está pagando tanto por isso, por isso é tão bom, ainda melhor do que o barco fones de ouvido que são um pouco altos no preço. Agora contras:-"&amp;"* Pouco cético em relação à garantia, porque quando eu fui registrar isso e ambos enquanto estava registrado meus fones de ouvido na orelha, eles não pediram deslizamentos de fatura e sem série O número é perguntado, como eles podem proceder se pedirmos a"&amp;"s reivindicações de garantia? ... mas espero que eu ache que isso durará muito tempo para ver a qualidade.* Em seguida é a qualidade do cabo, eu não reclamei disso, mas eles mencionaram em Amazon como um cabo kevlar, então eu esperava um lott, mas é um ca"&amp;"bo normal, mas é resistente o suficiente. Eu não sei como a qualidade. Para ajudar vocês, eu me metem todos os aspectos de maneira detalhada, para que possa ser útil para pessoas que gastam seu dinheiro valioso (porque todas as rupias contam) .. Tenha uma"&amp;" compra agradável e segura. Bye☺️, produto Achhi Ele recebeu o produto entregue ileso em 6 dias.Eu obtive -o por ₹ 499. Este é o melhor produto de marca nessa faixa de preço. A qualidade do tom é muito boa, considerando que o preço. Bass é bom, mas o volu"&amp;"me é Um pouco baixo, você precisa ouvi -los acima do nível 50 do seu celular. A esclaridade é muito boa. Comprei -as para palestras on -line e elas funcionaram muito bem para o propósito. Os copos são confortáveis ​​e reduz muito ruído de fundo, além de e"&amp;"les não T conhecido pelo cancelamento de ruído passivo. O fio preso aos copos da orelha é um pouco delicado e pode quebrar se for puxado com força, para que você tenha que lidar com cuidado. Comprados por ₹ 999 em 2018 e eles duraram uma duração muito lon"&amp;"ga de 4 anos. O Boult Audio Q2 parece um pouco delicado em comparação com o barco Rockerz, mas não se esqueça que há uma diferença de preço duplo entre eles. vai .... resumindo este é o melhor produto neste segmento de preços (₹ 500). Basta seguir em fren"&amp;"te se você obtiver o mesmo. O nível de ruído é tão alto que eu não conseguia ouvir mais de 5 minutos. Então, eu gosto de escolher outra marca, por favor, reembolsar este produto, qualidade não como o nível esperado, eu uso este produto para principalmente"&amp;" em jogos e músicas de escuta, mas não há microfone nele")</f>
        <v>Parou de trabalhar após um mês de uso. Não desperdice seu dinheiro com este produto, tudo é melhor, mas a qualidade de construção é AVG, vamos entrar diretamente nos prós e contras: -Sry será uma longa revisão porque a revisão deve ser útil para todos que planejam comprar isso .Pros:-* O preço, dado a esse suporte de preço, é o melhor que posso sugerir da qualidade construída até a qualidade do áudio é superior ao preço 499/- (eu recebi esse preço)* Então o conforto, todo mundo reclamando dos earpads, não sei por que, se você está indo para o tipo de ouvido, você deve saber que você não pode usá -lo o dia todo, os produtos mais caros também tendem a aquecer seus ouvidos e ficar um pouco desconfortáveis, por isso Preferido, você pode optar por fones de ouvido ou fones de ouvido. Enquanto comprei vários fones de ouvido, haverá um pano aguado como textura que irritará seus ouvidos, mas este tem almofada suave como material, estou realmente confortável com este. -Earear fones de ouvido Então eu conheço a qualidade dos graves e a qualidade vocal, então reservei isso sem nem pensar duas vezes, e ele entregou o que pode. A melhor parte é realmente confortável neste que meus fones de ouvido, o som é ainda melhor e você não obtém níveis de alto volume, como os produtos baratos locais nos mercados. Mas o baixo e a clareza lhe darão uma sensação extra, especialmente o baixo ... é realmente envolvente, se você é um amante do baixo. Ponto eu era um pouco cético em relação à qualidade da construção antes da entrega e me surpreendeu, não acho que a qualidade da construção seja extraordinária como Sennheiser ou Sony porque você não está pagando tanto por isso, por isso é tão bom, ainda melhor do que o barco fones de ouvido que são um pouco altos no preço. Agora contras:-* Pouco cético em relação à garantia, porque quando eu fui registrar isso e ambos enquanto estava registrado meus fones de ouvido na orelha, eles não pediram deslizamentos de fatura e sem série O número é perguntado, como eles podem proceder se pedirmos as reivindicações de garantia? ... mas espero que eu ache que isso durará muito tempo para ver a qualidade.* Em seguida é a qualidade do cabo, eu não reclamei disso, mas eles mencionaram em Amazon como um cabo kevlar, então eu esperava um lott, mas é um cabo normal, mas é resistente o suficiente. Eu não sei como a qualidade. Para ajudar vocês, eu me metem todos os aspectos de maneira detalhada, para que possa ser útil para pessoas que gastam seu dinheiro valioso (porque todas as rupias contam) .. Tenha uma compra agradável e segura. Bye☺️, produto Achhi Ele recebeu o produto entregue ileso em 6 dias.Eu obtive -o por ₹ 499. Este é o melhor produto de marca nessa faixa de preço. A qualidade do tom é muito boa, considerando que o preço. Bass é bom, mas o volume é Um pouco baixo, você precisa ouvi -los acima do nível 50 do seu celular. A esclaridade é muito boa. Comprei -as para palestras on -line e elas funcionaram muito bem para o propósito. Os copos são confortáveis ​​e reduz muito ruído de fundo, além de eles não T conhecido pelo cancelamento de ruído passivo. O fio preso aos copos da orelha é um pouco delicado e pode quebrar se for puxado com força, para que você tenha que lidar com cuidado. Comprados por ₹ 999 em 2018 e eles duraram uma duração muito longa de 4 anos. O Boult Audio Q2 parece um pouco delicado em comparação com o barco Rockerz, mas não se esqueça que há uma diferença de preço duplo entre eles. vai .... resumindo este é o melhor produto neste segmento de preços (₹ 500). Basta seguir em frente se você obtiver o mesmo. O nível de ruído é tão alto que eu não conseguia ouvir mais de 5 minutos. Então, eu gosto de escolher outra marca, por favor, reembolsar este produto, qualidade não como o nível esperado, eu uso este produto para principalmente em jogos e músicas de escuta, mas não há microfone nele</v>
      </c>
    </row>
    <row r="919">
      <c r="A919" s="9" t="s">
        <v>3641</v>
      </c>
      <c r="B919" s="29" t="str">
        <f>VLOOKUP(dados!A919, reviews!A:G, 5, FALSE)</f>
        <v>Good product, set quickly on screen.,Go for it,Quality is Awesome,Seems okay,Good product,fingerprint magnet, great value for money though,Good,Simple to install and you get 2 of them, making it affordable price</v>
      </c>
      <c r="C919" s="29" t="str">
        <f>VLOOKUP(dados!A919, reviews!A:G, 6, FALSE)</f>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bubbles,👍🏻✅,I ended up wasting one tempered glass because of air bubbles that wouldn’t go away. I skipped wiping with micro fibre cloth which may have led to the problem. However the other glass worked fine, I had to take off my iPad cover to enable the application, the previous one wouldn’t align with the cover in place. Adhesion of the first one gave up as soon as I tried to lift and reapply, again might be attributable to the fact that I didn’t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fast…application is very easy but take care there is no dust on the ipad because if a bubble’s formed you CANNOT correct it,Good,</v>
      </c>
      <c r="D919" s="29" t="str">
        <f>IFERROR(__xludf.DUMMYFUNCTION("GOOGLETRANSLATE(B919, ""en"", ""pt-br"")"),"Bom produto, definido rapidamente na tela., Vá em frente, a qualidade é incrível, parece bem, bom produto, ímã de impressão digital, ótima relação custo")</f>
        <v>Bom produto, definido rapidamente na tela., Vá em frente, a qualidade é incrível, parece bem, bom produto, ímã de impressão digital, ótima relação custo</v>
      </c>
      <c r="E919" s="29" t="str">
        <f>IFERROR(__xludf.DUMMYFUNCTION("GOOGLETRANSLATE(C919, ""en"", ""pt-br"")"),"É bom e frágil, simplesmente afixado na tela. Havia um pouco de dificuldades, pois a estrutura de guia fornecida não é 100% de acordo com o Glass, mas de alguma forma como eu a corrigi com sucesso. E obrigado ao Seller por fornecer um par de protetores de"&amp;" tela. A embalagem também foi boa., É realmente de boa qualidade, li problemas como o Apple Pencil não funciona depois de aplicar esse protetor, mas sinceramente não senti nenhum atraso. Avaliei 4 porque um dos protetores criou uma bolha em uma área espec"&amp;"ífica e não saí nem depois de tentar tanto e seguir todas as instruções corretamente, e tive que usar outra que foi aplicada corretamente sem criar bolhas, 👍 🏻✅, acabei desperdiçando um vidro temperado por causa de bolhas de ar que não desapareceriam. E"&amp;"u pulei a limpeza com um pano de micro fibra, o que pode ter levado ao problema. No entanto, o outro vidro funcionou bem, eu tive que tirar a capa do meu iPad para permitir o aplicativo, o anterior não se alinhava com a tampa no lugar. A adesão do primeir"&amp;"o desistiu assim que eu tentei levantar e reaplicar, novamente pode ser atribuível ao fato de não me livrar das partículas de poeira como deveria ter. O que eu apliquei com sucesso, funciona bem .,Bom produto. Alinhamento decente., Ótimo produto, não há t"&amp;"al coisa anti -brilho, também não é muito bom para usar a Apple lápis, quero dizer que a superfície não é papel como é por que, mais uma coisa que recebe impressões digitais muito rápido ... a aplicação é muito fácil, mas tome cuidado Não há poeira no iPa"&amp;"d, porque se uma bolha é formada, você não pode corrigi -lo, bom,")</f>
        <v>É bom e frágil, simplesmente afixado na tela. Havia um pouco de dificuldades, pois a estrutura de guia fornecida não é 100% de acordo com o Glass, mas de alguma forma como eu a corrigi com sucesso. E obrigado ao Seller por fornecer um par de protetores de tela. A embalagem também foi boa., É realmente de boa qualidade, li problemas como o Apple Pencil não funciona depois de aplicar esse protetor, mas sinceramente não senti nenhum atraso. Avaliei 4 porque um dos protetores criou uma bolha em uma área específica e não saí nem depois de tentar tanto e seguir todas as instruções corretamente, e tive que usar outra que foi aplicada corretamente sem criar bolhas, 👍 🏻✅, acabei desperdiçando um vidro temperado por causa de bolhas de ar que não desapareceriam. Eu pulei a limpeza com um pano de micro fibra, o que pode ter levado ao problema. No entanto, o outro vidro funcionou bem, eu tive que tirar a capa do meu iPad para permitir o aplicativo, o anterior não se alinhava com a tampa no lugar. A adesão do primeiro desistiu assim que eu tentei levantar e reaplicar, novamente pode ser atribuível ao fato de não me livrar das partículas de poeira como deveria ter. O que eu apliquei com sucesso, funciona bem .,Bom produto. Alinhamento decente., Ótimo produto, não há tal coisa anti -brilho, também não é muito bom para usar a Apple lápis, quero dizer que a superfície não é papel como é por que, mais uma coisa que recebe impressões digitais muito rápido ... a aplicação é muito fácil, mas tome cuidado Não há poeira no iPad, porque se uma bolha é formada, você não pode corrigi -lo, bom,</v>
      </c>
    </row>
    <row r="920">
      <c r="A920" s="9" t="s">
        <v>2140</v>
      </c>
      <c r="B920" s="29" t="str">
        <f>VLOOKUP(dados!A920, reviews!A:G, 5, FALSE)</f>
        <v>Worth Every Square Inch.,VFM, Plastic build. Must buy,3 years of extensive usage , delivered the perfomance to its price,Still working after 2 years,Low in price but sound was high,Super head phone under 1300 rs,Wow nice this headphone Just like fall in love🥰 ye kuchh jyada hi ho gya😜,Good quality</v>
      </c>
      <c r="C920" s="29" t="str">
        <f>VLOOKUP(dados!A920, reviews!A:G, 6, FALSE)</f>
        <v>-------------------------------------------------UPDATE:20/01/2018-------------------------------------------------It's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jhakas😜Sound quality is very good and bass is also  good but I was expecting more like theatre bass but not like that, hhh laalach karna buri chijh h🤩🤩, hum sudhrenge nhi kabhi😂😂I think u r bored sum of this headphone  mast hai😂😂 enjoying,Good quality, easily connected my lg 4k smart tv</v>
      </c>
      <c r="D920" s="29" t="str">
        <f>IFERROR(__xludf.DUMMYFUNCTION("GOOGLETRANSLATE(B920, ""en"", ""pt-br"")"),"Vale a cada polegada quadrada., VFM, construção de plástico. Deve comprar, 3 anos de uso extensivo, entregou o perfoma ao seu preço, ainda trabalhando após 2 anos, baixo preço, mas o som era alto, super telefone com menos de 1300 Rs, uau, bom que o fone d"&amp;"e ouvido, como Fall in Love🥰 Ye Kuchh Jyada oi ho gya😜, boa qualidade")</f>
        <v>Vale a cada polegada quadrada., VFM, construção de plástico. Deve comprar, 3 anos de uso extensivo, entregou o perfoma ao seu preço, ainda trabalhando após 2 anos, baixo preço, mas o som era alto, super telefone com menos de 1300 Rs, uau, bom que o fone de ouvido, como Fall in Love🥰 Ye Kuchh Jyada oi ho gya😜, boa qualidade</v>
      </c>
      <c r="E920" s="29" t="str">
        <f>IFERROR(__xludf.DUMMYFUNCTION("GOOGLETRANSLATE(C920, ""en"", ""pt-br"")"),"-------------------------------------------------ATUALIZAR : 20/01/2018 -------------------------------------------- ----- Já se passaram 5 meses desde que recebi o Boat Rockerz 400. Alguns dos desgostos que mencionei anteriormente na minha resenha não sã"&amp;"o mais desgostos. Eu disse que o som está mais ou menos de um lado mais plano, mas estou acostumado e ""estou adorando"" .. :) O segundo ponto é que eu disse se você é um audiófilo, então você pode não gostar, mas Eu estava errado. Você pode perguntar por"&amp;" que ... aqui está o porquê: Depois de uma longa lacuna, visitei meu pai que é um audiófilo. Ele tem numerosos fones de ouvido de última geração, mas, infelizmente, chamou a atenção do meu fone de ouvido e só queria experimentá-lo. Eu disse que sim (eu me"&amp;" arrependo :() ele combinou com o dispositivo e tocou uma música. Garo Fui forçado a comprar outro. Alguns dias atrás, recebi outro: (uma coisa que notei em dois da minha compra é o cabo de áudio não é bom. Ambos os meus cabos de áudio tiveram o mesmo pro"&amp;"blema .------- -------------------------------------------------------- -------------------- Então a moral da história é: Esconda-a do seu pai ou irmão audiófilo. Eles irão arrebatá-lo sem cerimônia. Não posso dar errado com esta compra. Vale a pena cada "&amp;"polegada quadrada. -------------------------- Eu recebi este produto há 3 dias e eu o recebi por Rs. REVISÃO imparcial tendo em mente o preço do produto: três dias podem não ser um tempo suficiente para revisar este produto, mas desculpe não posso ajudar "&amp;"a emoção ...---------------- ---------------------------------------- LIGHES: 1&gt; boa qualidade construída ------ - 4/5it é resistente, pelo preço que a qualidade de construção é ótima. Não é frágil. As almofadas da orelha são boas o suficiente .----------"&amp;"---------------------------------- ----------- 2&gt; Qualidade do som ------ 3.5/5 Se você for um audiófilo, isso não é para você. O baixo é decente não para exagerar (como notado em outras críticas). O baixo é profundo o suficiente para o preço .-----------"&amp;"------------------------------ ----------------- 3&gt; Conectividade: O emparelhamento é fácil se conecta como uma brisa .----- 4/5 -------------- -------------------------------------------- 4&gt; Modo duplo e sem fio: o barco Rockerz 400 vem com um cabo auxil"&amp;"iar. Se você ficar sem carga, você sempre pode conectar o cabo auxiliar e usá -lo como um fone de ouvido com fio. (Eu não consegui encontrar uma diferença substancial na qualidade da música entre Wired e Wireless :)) Adorei esse recurso. ------ 5/5 ------"&amp;"--------------------------------- -------------------- Backup da bateria: Estou impressionado com o backup da bateria desta besta. Eu o uso há 3 dias por 2-3 horas por dia ainda está correndo. Então, acho que o backup de 8 horas por cobrança não é um truq"&amp;"ue de marketing, presumo que seja verdade. Até agora tudo bem. irá atualizá-lo após o uso de um mês .------------------------------------------- ------------------ Não gosta: 1&gt; A qualidade do som está mais do lado mais plano. Quando você o compara com fo"&amp;"nes de ouvido com fio orçamentário como a Sennheiser CX 180 Street II, o baixo não é muito profundo. Você não vai conseguir esse ambiente. O site de Boat diz: ""Não seja alto, seja alto e claro"", não ... desculpe, eu tenho que decepcioná -lo com isso. Qu"&amp;"ando está alto, não está claro. Muitas distorções estão lá quando você está alto .------------------------------------------ -------------------- 2&gt; Conforto: Acredite, não é nada confortável para uso prolongado. Sua orelha implorará que você o tire após "&amp;"30-45 minutos. Super-humano ...------------------------------------------- ------------- 3&gt; RANGE: Os barcos dizem 10 metros de alcance ... Na minha experiência, se você for além de 5-6 metros, a voz quebrará. Você nunca receberá 10 Mtrs Range, confie em "&amp;"mim. E estou experimentando intervalos ocasionais no streaming de nada intrusivo até agora, mas não sei se será um problema na linha. Vai deixar vocês saber sobre isso mais tarde se for um problema .------------------------------------------ -------------"&amp;"------------- 4&gt; Flimsy Aux Cable: Não posso reclamar muito sobre o cabo auxiliar, tendo o preço em mente. Lembre -se de que paguei apenas 1299 por isso. Mas, com certos dispositivos, o AUX não estava funcionando corretamente. O MI Note 3 teve problemas, "&amp;"o MI 4 também teve problemas com o AUX. Não tenho certeza se é o problema do meu dispositivo. Mas funcionou perfeitamente no meu laptop .------------------------------------------- ---------------------- 5&gt; Centros de serviço finos de wafer: O barco ofere"&amp;"ce uma garantia de 1 ano, mas de que é o bem se você não conseguir encontrar centros de serviço perto de você. Este é um hit ou senhorita caras ...--------------------------------------- ----------------------- 6&gt; Cancelamento de voz: não achei isso efica"&amp;"z. Talvez seja só eu, não tenho certeza .----------------------------------------- ---------------------- 7&gt; O microfone é praticamente inútil. Você não pode fazer ligações com este fone de ouvido .----------------------------------------- ---------------"&amp;"---------- , Eu comparo com eles porque o barco Rockerz vem com um cabo auxiliar e, se você está procurando uma alternativa, independentemente de fio ou sem fio, pode ser de alguma utilidade para você) 1&gt; Sennheiser CX 180 Street II: Eu não acho que O bar"&amp;"co pode superar a qualidade dessa pessoa. O som é incomparável- a base é profunda, boa fidelidade, um ambiente agradável e, por um preço de 799, esse é o fone de ouvido com orçamento imbatível. Eu possuo 2 dessa beleza. Valor total pelo dinheiro. Se você "&amp;"é um audiófilo e está com um orçamento apertado, não posso uma alternativa melhor que isso.2&gt; SOLTMAGIC E10C IN-EAR CABÉS Fones de ouvido na orelha -------------------------------------------------- ------------------------ Não compre: 1&gt; Se você é um aud"&amp;"iófilo (obviamente os audiófilos irão apenas para fones de ouvido com fio: D) 2&gt; Se Você pretende usá-lo por longas horas .-------------------------------------------- ------------------------------- Compre: 1&gt; Se você estiver procurando um fone de ouvido"&amp;" sem fio com orçamento com qualidade e desempenho decentes. 2&gt; Se você precisar de um pacote com fio e sem fio em um ..------------------------------------- --------------------------- estão dentro do orçamento e você deseja desfrutar de um fone de ouvido"&amp;" Bluetooth sem complicações com bom desempenho e fechar os olhos e comprar esta besta, confie em mim, você não se arrependerá de não ficar decepcionado. Nesta faixa de preço, não consegui encontrar outro fone de ouvido com esse desempenho. Não temos muita"&amp;"s opções .... não é? : P: PTHE O preço real é Rs. 2999 e a Amazon afirmam que estão dando 57% de desconto. Por favor, não se apaixona por isso. Eu não recomendaria pagar mais de 1700 rúpias para este fone de ouvido .---------------------------------------"&amp;"--- --------------------------------------- Nota: Eu não sou um especialista neste campo. Esta é apenas uma revisão de um leigo. Obrigado por ler a revisão e espero que isso ajude você com sua decisão de compra., Meu barco com fio de ouvidos estava dando "&amp;"após o uso duro e eu queria um novo par de fones de ouvido e eu queria para estar sobre os tipos de cabeça como este. Eu também queria um com opções Aux e Bluetooth, pois eu o usaria para a TV, laptop e meu telefone. Eu me atrapalhei com esse estrato do m"&amp;"ercado de fones de ouvido anteriormente e, depois de comprar bem para nada da Motorola, acabei com isso. bom negócio, é difícil deixar de lado meus fones de ouvido, comprei isso em 2019 por um preço de 1k à venda, o Bluetooth estava funcionando bem, mas s"&amp;"aiu depois de um ano, eu sei que isso aconteceria, e é quando o lendário auxiliar Cable entra, eu o uso com o cabo AUX há quase 2 anos novamente, mas mais tarde a banda de fone de ouvido superior quebrou, usei um fevista para enfiar e usei, eu o estiquei "&amp;"ainda mais, mas quebrou novamente, Mas não há diferença na qualidade sonora do que quer que seja até agora, tem sido um soldado 3 anos desde o uso deste produto, ainda tentando esticá -lo ainda mais, se não funcionar, posso dizer bem a este besta de um pr"&amp;"oduto , e é triste notar que os produtos atuais de barcos oferecidos não oferecem essa qualidade robusta, eles se tornaram a empresa que se concentra na quantidade em relação à qualidade hoje em dia, evoluções de lado, tenho que respeitar este produto pel"&amp;"o que ele me deu até agora ., Eu realmente revisei após 2 anos e ainda está funcionando, mas uma vez que a tira da cabeça estava quebrada, eu a corrigi usando o vídeo do YouTube em geral, é uma compra muito boa para mim., Não pense nas especificações que "&amp;"você pode comprar cegamente porque vale a pena, eu Recentemente comprou os fones de ouvido Bluetooth Rockerz 400. Eles têm uma ótima qualidade de som e as almofadas de orelha acolchoadas macias são muito confortáveis. A duração da bateria também é impress"&amp;"ionante, com até 8 horas de reprodução. No geral, estou muito feliz com minha compra e os recomendaria a quem procura um bom par de fones de ouvido Bluetooth., Menores de 1300 Rs É o melhor telefone ... Peso do produto não pesado., fone de fone de ouvido "&amp;"bom, NHI, Bole para a qualidade de Jhakas😜Sound é muito bom e o baixo também é bom, mas eu esperava mais como o baixo do teatro, mas não assim, hhh laalach karna buri chijh h🤩🤩, hum sudhrenge nhi Kabhi😂😂i acho que você está entediado na soma deste ma"&amp;"stro de fone de ouvido, desfrutando, de boa qualidade, conectado facilmente minha TV inteligente LG 4K")</f>
        <v>-------------------------------------------------ATUALIZAR : 20/01/2018 -------------------------------------------- ----- Já se passaram 5 meses desde que recebi o Boat Rockerz 400. Alguns dos desgostos que mencionei anteriormente na minha resenha não são mais desgostos. Eu disse que o som está mais ou menos de um lado mais plano, mas estou acostumado e "estou adorando" .. :) O segundo ponto é que eu disse se você é um audiófilo, então você pode não gostar, mas Eu estava errado. Você pode perguntar por que ... aqui está o porquê: Depois de uma longa lacuna, visitei meu pai que é um audiófilo. Ele tem numerosos fones de ouvido de última geração, mas, infelizmente, chamou a atenção do meu fone de ouvido e só queria experimentá-lo. Eu disse que sim (eu me arrependo :() ele combinou com o dispositivo e tocou uma música. Garo Fui forçado a comprar outro. Alguns dias atrás, recebi outro: (uma coisa que notei em dois da minha compra é o cabo de áudio não é bom. Ambos os meus cabos de áudio tiveram o mesmo problema .------- -------------------------------------------------------- -------------------- Então a moral da história é: Esconda-a do seu pai ou irmão audiófilo. Eles irão arrebatá-lo sem cerimônia. Não posso dar errado com esta compra. Vale a pena cada polegada quadrada. -------------------------- Eu recebi este produto há 3 dias e eu o recebi por Rs. REVISÃO imparcial tendo em mente o preço do produto: três dias podem não ser um tempo suficiente para revisar este produto, mas desculpe não posso ajudar a emoção ...---------------- ---------------------------------------- LIGHES: 1&gt; boa qualidade construída ------ - 4/5it é resistente, pelo preço que a qualidade de construção é ótima. Não é frágil. As almofadas da orelha são boas o suficiente .-------------------------------------------- ----------- 2&gt; Qualidade do som ------ 3.5/5 Se você for um audiófilo, isso não é para você. O baixo é decente não para exagerar (como notado em outras críticas). O baixo é profundo o suficiente para o preço .----------------------------------------- ----------------- 3&gt; Conectividade: O emparelhamento é fácil se conecta como uma brisa .----- 4/5 -------------- -------------------------------------------- 4&gt; Modo duplo e sem fio: o barco Rockerz 400 vem com um cabo auxiliar. Se você ficar sem carga, você sempre pode conectar o cabo auxiliar e usá -lo como um fone de ouvido com fio. (Eu não consegui encontrar uma diferença substancial na qualidade da música entre Wired e Wireless :)) Adorei esse recurso. ------ 5/5 --------------------------------------- -------------------- Backup da bateria: Estou impressionado com o backup da bateria desta besta. Eu o uso há 3 dias por 2-3 horas por dia ainda está correndo. Então, acho que o backup de 8 horas por cobrança não é um truque de marketing, presumo que seja verdade. Até agora tudo bem. irá atualizá-lo após o uso de um mês .------------------------------------------- ------------------ Não gosta: 1&gt; A qualidade do som está mais do lado mais plano. Quando você o compara com fones de ouvido com fio orçamentário como a Sennheiser CX 180 Street II, o baixo não é muito profundo. Você não vai conseguir esse ambiente. O site de Boat diz: "Não seja alto, seja alto e claro", não ... desculpe, eu tenho que decepcioná -lo com isso. Quando está alto, não está claro. Muitas distorções estão lá quando você está alto .------------------------------------------ -------------------- 2&gt; Conforto: Acredite, não é nada confortável para uso prolongado. Sua orelha implorará que você o tire após 30-45 minutos. Super-humano ...------------------------------------------- ------------- 3&gt; RANGE: Os barcos dizem 10 metros de alcance ... Na minha experiência, se você for além de 5-6 metros, a voz quebrará. Você nunca receberá 10 Mtrs Range, confie em mim. E estou experimentando intervalos ocasionais no streaming de nada intrusivo até agora, mas não sei se será um problema na linha. Vai deixar vocês saber sobre isso mais tarde se for um problema .------------------------------------------ -------------------------- 4&gt; Flimsy Aux Cable: Não posso reclamar muito sobre o cabo auxiliar, tendo o preço em mente. Lembre -se de que paguei apenas 1299 por isso. Mas, com certos dispositivos, o AUX não estava funcionando corretamente. O MI Note 3 teve problemas, o MI 4 também teve problemas com o AUX. Não tenho certeza se é o problema do meu dispositivo. Mas funcionou perfeitamente no meu laptop .------------------------------------------- ---------------------- 5&gt; Centros de serviço finos de wafer: O barco oferece uma garantia de 1 ano, mas de que é o bem se você não conseguir encontrar centros de serviço perto de você. Este é um hit ou senhorita caras ...--------------------------------------- ----------------------- 6&gt; Cancelamento de voz: não achei isso eficaz. Talvez seja só eu, não tenho certeza .----------------------------------------- ---------------------- 7&gt; O microfone é praticamente inútil. Você não pode fazer ligações com este fone de ouvido .----------------------------------------- ------------------------- , Eu comparo com eles porque o barco Rockerz vem com um cabo auxiliar e, se você está procurando uma alternativa, independentemente de fio ou sem fio, pode ser de alguma utilidade para você) 1&gt; Sennheiser CX 180 Street II: Eu não acho que O barco pode superar a qualidade dessa pessoa. O som é incomparável- a base é profunda, boa fidelidade, um ambiente agradável e, por um preço de 799, esse é o fone de ouvido com orçamento imbatível. Eu possuo 2 dessa beleza. Valor total pelo dinheiro. Se você é um audiófilo e está com um orçamento apertado, não posso uma alternativa melhor que isso.2&gt; SOLTMAGIC E10C IN-EAR CABÉS Fones de ouvido na orelha -------------------------------------------------- ------------------------ Não compre: 1&gt; Se você é um audiófilo (obviamente os audiófilos irão apenas para fones de ouvido com fio: D) 2&gt; Se Você pretende usá-lo por longas horas .-------------------------------------------- ------------------------------- Compre: 1&gt; Se você estiver procurando um fone de ouvido sem fio com orçamento com qualidade e desempenho decentes. 2&gt; Se você precisar de um pacote com fio e sem fio em um ..------------------------------------- --------------------------- estão dentro do orçamento e você deseja desfrutar de um fone de ouvido Bluetooth sem complicações com bom desempenho e fechar os olhos e comprar esta besta, confie em mim, você não se arrependerá de não ficar decepcionado. Nesta faixa de preço, não consegui encontrar outro fone de ouvido com esse desempenho. Não temos muitas opções .... não é? : P: PTHE O preço real é Rs. 2999 e a Amazon afirmam que estão dando 57% de desconto. Por favor, não se apaixona por isso. Eu não recomendaria pagar mais de 1700 rúpias para este fone de ouvido .------------------------------------------ --------------------------------------- Nota: Eu não sou um especialista neste campo. Esta é apenas uma revisão de um leigo. Obrigado por ler a revisão e espero que isso ajude você com sua decisão de compra., Meu barco com fio de ouvidos estava dando após o uso duro e eu queria um novo par de fones de ouvido e eu queria para estar sobre os tipos de cabeça como este. Eu também queria um com opções Aux e Bluetooth, pois eu o usaria para a TV, laptop e meu telefone. Eu me atrapalhei com esse estrato do mercado de fones de ouvido anteriormente e, depois de comprar bem para nada da Motorola, acabei com isso. bom negócio, é difícil deixar de lado meus fones de ouvido, comprei isso em 2019 por um preço de 1k à venda, o Bluetooth estava funcionando bem, mas saiu depois de um ano, eu sei que isso aconteceria, e é quando o lendário auxiliar Cable entra, eu o uso com o cabo AUX há quase 2 anos novamente, mas mais tarde a banda de fone de ouvido superior quebrou, usei um fevista para enfiar e usei, eu o estiquei ainda mais, mas quebrou novamente, Mas não há diferença na qualidade sonora do que quer que seja até agora, tem sido um soldado 3 anos desde o uso deste produto, ainda tentando esticá -lo ainda mais, se não funcionar, posso dizer bem a este besta de um produto , e é triste notar que os produtos atuais de barcos oferecidos não oferecem essa qualidade robusta, eles se tornaram a empresa que se concentra na quantidade em relação à qualidade hoje em dia, evoluções de lado, tenho que respeitar este produto pelo que ele me deu até agora ., Eu realmente revisei após 2 anos e ainda está funcionando, mas uma vez que a tira da cabeça estava quebrada, eu a corrigi usando o vídeo do YouTube em geral, é uma compra muito boa para mim., Não pense nas especificações que você pode comprar cegamente porque vale a pena, eu Recentemente comprou os fones de ouvido Bluetooth Rockerz 400. Eles têm uma ótima qualidade de som e as almofadas de orelha acolchoadas macias são muito confortáveis. A duração da bateria também é impressionante, com até 8 horas de reprodução. No geral, estou muito feliz com minha compra e os recomendaria a quem procura um bom par de fones de ouvido Bluetooth., Menores de 1300 Rs É o melhor telefone ... Peso do produto não pesado., fone de fone de ouvido bom, NHI, Bole para a qualidade de Jhakas😜Sound é muito bom e o baixo também é bom, mas eu esperava mais como o baixo do teatro, mas não assim, hhh laalach karna buri chijh h🤩🤩, hum sudhrenge nhi Kabhi😂😂i acho que você está entediado na soma deste mastro de fone de ouvido, desfrutando, de boa qualidade, conectado facilmente minha TV inteligente LG 4K</v>
      </c>
    </row>
    <row r="921">
      <c r="A921" s="9" t="s">
        <v>3646</v>
      </c>
      <c r="B921" s="29" t="str">
        <f>VLOOKUP(dados!A921, reviews!A:G, 5, FALSE)</f>
        <v>Ok,Like all other ball pens,Regular pen over priced,Nice,It is fine.,Awful blue ink,Nice and my Favorite Pen,Reasonable price</v>
      </c>
      <c r="C921" s="29" t="str">
        <f>VLOOKUP(dados!A921, reviews!A:G, 6, FALSE)</f>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v>
      </c>
      <c r="D921" s="29" t="str">
        <f>IFERROR(__xludf.DUMMYFUNCTION("GOOGLETRANSLATE(B921, ""en"", ""pt-br"")"),"OK, como todas as outras canetas de bola, caneta comum acima do preço, bom, está bom., Tinta azul horrível, agradável e minha caneta favorita, preço razoável")</f>
        <v>OK, como todas as outras canetas de bola, caneta comum acima do preço, bom, está bom., Tinta azul horrível, agradável e minha caneta favorita, preço razoável</v>
      </c>
      <c r="E921" s="29" t="str">
        <f>IFERROR(__xludf.DUMMYFUNCTION("GOOGLETRANSLATE(C921, ""en"", ""pt-br"")"),"Pode comprar, mas apenas quando o preço é menor, não é o que se sente escrever ... considerando o nome Parker ... é como se o pensador de bola comum possa dizer que a tinta é muito monótona em comparação com outras bola de bola de dinheiro retirado sob o "&amp;"nome Parkerit's O valor de 20/, eu pensei que Parker seria bom em comparação com a caneta ruim. É desconfortável. Eu não uso nada., Moneywise bom, eu uso a caneta Parker porque funciona bem., A caneta tem um corpo preto, mas o azul de jotter reabasteça. O"&amp;" Jotter Blue escreve terrivelmente, o fluxo de tinta reduziu com o tempo., Estou usando isso nos últimos 3 anos. Estou feliz com o produto., Bom embalagem, qualidade, olhe")</f>
        <v>Pode comprar, mas apenas quando o preço é menor, não é o que se sente escrever ... considerando o nome Parker ... é como se o pensador de bola comum possa dizer que a tinta é muito monótona em comparação com outras bola de bola de dinheiro retirado sob o nome Parkerit's O valor de 20/, eu pensei que Parker seria bom em comparação com a caneta ruim. É desconfortável. Eu não uso nada., Moneywise bom, eu uso a caneta Parker porque funciona bem., A caneta tem um corpo preto, mas o azul de jotter reabasteça. O Jotter Blue escreve terrivelmente, o fluxo de tinta reduziu com o tempo., Estou usando isso nos últimos 3 anos. Estou feliz com o produto., Bom embalagem, qualidade, olhe</v>
      </c>
    </row>
    <row r="922">
      <c r="A922" s="9" t="s">
        <v>3650</v>
      </c>
      <c r="B922" s="29" t="str">
        <f>VLOOKUP(dados!A922, reviews!A:G, 5, FALSE)</f>
        <v>If this is M what is S,Only Better for neckband, earphones not for TWSs!,Nice value for money,Snug fit for Oppo Enco M31,Restored my old Jabra Headset with this new caps,Does what's intended,Gets The Job Done!!,Value for money.</v>
      </c>
      <c r="C922" s="29" t="str">
        <f>VLOOKUP(dados!A922, reviews!A:G, 6, FALSE)</f>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v>
      </c>
      <c r="D922" s="29" t="str">
        <f>IFERROR(__xludf.DUMMYFUNCTION("GOOGLETRANSLATE(B922, ""en"", ""pt-br"")"),"Se é isso que é o S, apenas melhor para a banda pescada, os fones de ouvido não para o TWSS!, Bom valor pelo dinheiro, confortável para o Oppo EncO M31, restaurou meu antigo fone de ouvido Jabra com esse novo boné, faz o que se destina, faz o trabalho faz"&amp;"er! !,Custo-benefício.")</f>
        <v>Se é isso que é o S, apenas melhor para a banda pescada, os fones de ouvido não para o TWSS!, Bom valor pelo dinheiro, confortável para o Oppo EncO M31, restaurou meu antigo fone de ouvido Jabra com esse novo boné, faz o que se destina, faz o trabalho fazer! !,Custo-benefício.</v>
      </c>
      <c r="E922" s="29" t="str">
        <f>IFERROR(__xludf.DUMMYFUNCTION("GOOGLETRANSLATE(C922, ""en"", ""pt-br"")"),"As dicas estão bem, mas são pequenas. Quer saber se eles fizeram uma referência de criança. Eles se encaixam muito bem, mas perderam o cancelamento de ruído, pois são muito pequenos., Sim, não é adequado para o TWSS ... eu comprei para o meu TWS (Realme B"&amp;"uds Air 2), mas não está em forma, quero dizer que não vai Fechar completamente, estou falando sobre o meu caso TWS!, Bom produto, eu gosto, ajuste perfeito para o meu Oppo EncO M31 (verde). Levou alguns segundos para colocá -lo e permanece como o broto o"&amp;"riginal. A qualidade é decente por seu preço. É um pacote de 5., é bom e confortável, um pouco difícil de colocar fones de ouvido Z sem fio, pois o tamanho pode estar um pouco fora. Mas, uma vez, eles não caem e se sentem bastante confortáveis ​​em ouvido"&amp;"., Confortável e apertado se encaixa na maioria dos fones de ouvido, e você não se sente desconfortável durante longas horas de conteúdo de streaming, valor pelo dinheiro. Qualidade muito boa.")</f>
        <v>As dicas estão bem, mas são pequenas. Quer saber se eles fizeram uma referência de criança. Eles se encaixam muito bem, mas perderam o cancelamento de ruído, pois são muito pequenos., Sim, não é adequado para o TWSS ... eu comprei para o meu TWS (Realme Buds Air 2), mas não está em forma, quero dizer que não vai Fechar completamente, estou falando sobre o meu caso TWS!, Bom produto, eu gosto, ajuste perfeito para o meu Oppo EncO M31 (verde). Levou alguns segundos para colocá -lo e permanece como o broto original. A qualidade é decente por seu preço. É um pacote de 5., é bom e confortável, um pouco difícil de colocar fones de ouvido Z sem fio, pois o tamanho pode estar um pouco fora. Mas, uma vez, eles não caem e se sentem bastante confortáveis ​​em ouvido., Confortável e apertado se encaixa na maioria dos fones de ouvido, e você não se sente desconfortável durante longas horas de conteúdo de streaming, valor pelo dinheiro. Qualidade muito boa.</v>
      </c>
    </row>
    <row r="923">
      <c r="A923" s="9" t="s">
        <v>3656</v>
      </c>
      <c r="B923" s="29" t="str">
        <f>VLOOKUP(dados!A923, reviews!A:G, 5, FALSE)</f>
        <v>not sure if this is a new product or a used one that was delivered to me,Good product,Ink issue,Overall good product , need to wait and watch on the ink consumption rate,Very Nice 🙂👍,Good,Printer is good, but inkjets become dry too fast,Good product</v>
      </c>
      <c r="C923" s="29" t="str">
        <f>VLOOKUP(dados!A923, reviews!A:G, 6, FALSE)</f>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v>
      </c>
      <c r="D923" s="29" t="str">
        <f>IFERROR(__xludf.DUMMYFUNCTION("GOOGLETRANSLATE(B923, ""en"", ""pt-br"")"),"Não tenho certeza se este é um novo produto ou um usado que foi entregue a mim, bom produto, problema de tinta, bom produto geral, precisa esperar e assistir na taxa de consumo de tinta, muito bom 🙂👍, bom, impressora é boa, Mas jatos de tinta ficam seco"&amp;"s demais, bom produto")</f>
        <v>Não tenho certeza se este é um novo produto ou um usado que foi entregue a mim, bom produto, problema de tinta, bom produto geral, precisa esperar e assistir na taxa de consumo de tinta, muito bom 🙂👍, bom, impressora é boa, Mas jatos de tinta ficam secos demais, bom produto</v>
      </c>
      <c r="E923" s="29" t="str">
        <f>IFERROR(__xludf.DUMMYFUNCTION("GOOGLETRANSLATE(C923, ""en"", ""pt-br"")"),"Os níveis de tinta do cartucho colorido foram baixos durante a configuração da impressora. A embalagem foi rasgada e danificada. Leva -me a questionar se esse foi um produto reformado que foi entregue a mim, a qualidade da impressão é boa., A tinta termin"&amp;"a depois de algumas impressões, o produto foi entregue no dia seguinte do pedido, o pack estava intacto. Muitos reclamaram na tinta da impressora, Eles embalam os tanques de tinta 's' para que não possamos esperar mais impressões, eu acredito, precisamos "&amp;"esperar e assistir ao uso. A qualidade da impressão foi boa, bom scanner. Had Turny TurMo ao instalá -lo no Windows 11, pois acaba dizendo "" A impressora não conectada ""tentou alcançar a linha de suporte e disse que é uma carry em Warrnty e compartilhou"&amp;" o número do agente local para andar e consertar. Gerenciado para instalar o motorista manualmente e capaz de adicionar a impressora. Precisamos escolher o USB ( Claro que terá uma palavra de canhão), por padrão, ele escolheu LTP para mim e eu não consegu"&amp;"i me conectar à impressora, depois de alterar o USB e escolher a conexão correta, a impressora começou a funcionar sem nenhum problema. Atualizará a jornada. ........., produto muito bom, bom, provavelmente é para uso regular, não para residencial com pou"&amp;"cos usos. Os jatos de tinta ficam secos demais, tornando -o muito caro para manter, bom")</f>
        <v>Os níveis de tinta do cartucho colorido foram baixos durante a configuração da impressora. A embalagem foi rasgada e danificada. Leva -me a questionar se esse foi um produto reformado que foi entregue a mim, a qualidade da impressão é boa., A tinta termina depois de algumas impressões, o produto foi entregue no dia seguinte do pedido, o pack estava intacto. Muitos reclamaram na tinta da impressora, Eles embalam os tanques de tinta 's' para que não possamos esperar mais impressões, eu acredito, precisamos esperar e assistir ao uso. A qualidade da impressão foi boa, bom scanner. Had Turny TurMo ao instalá -lo no Windows 11, pois acaba dizendo " A impressora não conectada "tentou alcançar a linha de suporte e disse que é uma carry em Warrnty e compartilhou o número do agente local para andar e consertar. Gerenciado para instalar o motorista manualmente e capaz de adicionar a impressora. Precisamos escolher o USB ( Claro que terá uma palavra de canhão), por padrão, ele escolheu LTP para mim e eu não consegui me conectar à impressora, depois de alterar o USB e escolher a conexão correta, a impressora começou a funcionar sem nenhum problema. Atualizará a jornada. ........., produto muito bom, bom, provavelmente é para uso regular, não para residencial com poucos usos. Os jatos de tinta ficam secos demais, tornando -o muito caro para manter, bom</v>
      </c>
    </row>
    <row r="924">
      <c r="A924" s="9" t="s">
        <v>3662</v>
      </c>
      <c r="B924" s="29" t="str">
        <f>VLOOKUP(dados!A924, reviews!A:G, 5, FALSE)</f>
        <v>Good one,, bright!,Great product altogether,Good but there are better options,Good monitor but bad build quality with some dumb design choices,Very nice👌👌👌👌👌,Overall good. Value for money,Good,Perfect monitor for editing and casual gaming</v>
      </c>
      <c r="C924" s="29" t="str">
        <f>VLOOKUP(dados!A924, reviews!A:G, 6, FALSE)</f>
        <v>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v>
      </c>
      <c r="D924" s="29" t="str">
        <f>IFERROR(__xludf.DUMMYFUNCTION("GOOGLETRANSLATE(B924, ""en"", ""pt-br"")"),"Bom, brilhante!, Ótimo produto, bom, bom, mas há melhores opções, um bom monitor, mas a má qualidade de construção com algumas opções de design idiota, muito agradável👌👌👌👌👌, em geral. Valor por dinheiro, monitor bom e perfeito para edição e jogos cas"&amp;"uais")</f>
        <v>Bom, brilhante!, Ótimo produto, bom, bom, mas há melhores opções, um bom monitor, mas a má qualidade de construção com algumas opções de design idiota, muito agradável👌👌👌👌👌, em geral. Valor por dinheiro, monitor bom e perfeito para edição e jogos casuais</v>
      </c>
      <c r="E924" s="29" t="str">
        <f>IFERROR(__xludf.DUMMYFUNCTION("GOOGLETRANSLATE(C924, ""en"", ""pt-br"")"),"Eu tinha um monitor LG 27 ""e o quebrei duas vezes enquanto limpava o pano. Não conseguia nem levar a pressão do meu anel. Primeira vez que o reparei com um custo enorme, mas a segunda vez teve que jogá -lo .. Então eu comprei este, Um pouco menor, pois e"&amp;"u tinha medo de não pagar muito. LG tinha um alto-falante embutido, mas este não. coberto. O brilho é demais a 100%, mas posso reduzi -lo para 40%, o que é bom o suficiente para mim. O monitor inclui acorde de energia e cabo HDMI. Ele tem um bom suporte r"&amp;"obusto. A qualidade de construção é boa. Os ângulos de visualização também são bons, sem brilho da iluminação da sala. No geral, a qualidade da imagem é muito boa. O monitor também possui configurações de atendimento ocular. Há alguns parafusos separados "&amp;"fornecidos em uma tampa de plástico; portanto, tenha cuidado ao descompactar. Não tive parafusos ausentes Problema., Eu tenho usado para meu trabalho pessoal e de escritório. É um bom produto quando você gosta de dividir a tela e trabalhar simultaneamente"&amp;" em duas janelas diferentes. A experiência é muito ótima, veio com o pacote OEM com fatura, mas O produto era SafePros1. Os pixels de tela de 24 polegadas são pequenos o suficiente, você pode vê -lo se você tentar, mas não Bad2. O sangramento do IPS não e"&amp;"stá lá, mas definitivamente há brilho IPS, mas não tão ruim 3,75 Hz, mas meh não posso dizer a diferença, mas novamente tenho telefone de 120 Hz, então não faz sentido comprá -lo por 75 Hz4.Colors são bons filmes e Os jogos aparecem bem5. Vem com um cabo "&amp;"HDMI que é arrumado6. Construa -o de bom e o ângulo do monitor pode ser movido oscons1, tem uma leve tonalidade amarela, exatamente como o telefone Redmi, mas você pode se acostumar com o IT2. 75 Hz é um truque3. Nenhuma porta de exibição que tão ruim4. I"&amp;"PS GLOW ESTÁ LÁ muito, mas coisas sombrias parecerão Grey. Para os 75Hz, não vale a pena, eu estaria analisando o monitor BenQ e LG ou ficaria grande e obter um monitor de taxa de atualização mais alta, eu não diria que isso era um desperdício de dinheiro"&amp;", mas isso definitivamente caro para o que está oferecendo, prós: 1. Boa exibição de qualidade2. ?? Esse é o fim dos Proscons: 1. Por que na Terra Verde de Deus não há conector de áudio?!? !!!! Qual é o uso da porta HDMI se o usuário não conseguir obter v"&amp;"ídeo e áudio ambos? Se alguém estiver investindo 10k em um monitor, por que em 2022 alguém precisará de uma porta VGA ?? 3. A qualidade da construção é questionável, a construção inteira é feita de plástico, o que é bom, mas para mim o monitor sempre foi "&amp;"um pouco inclinado, por mais difícil que eu estraguei o suporte, ainda era o mesmo.4. A AMD FreeSync não é muito afetiva, você ainda pode ver a tela da tela. O movimento do suporte é muito rígido, quase senti que o quebrei. Apenas má qualidade de construç"&amp;"ão. Se você só usará a porta HDMI e encontrar uma solução alternativa para o áudio, então tudo bem, mas para quem se aproxima no PC e console, isso não é bom o suficiente. Se você estiver disposto a sacrificar um pouco de qualidade visual e 15Hz de taxa d"&amp;"e atualização, que não é perceptível, vá para Benq, mesmo preço, mas menos aborrecimento. Orbetter aumenta seu orçamento, vá para LG 24mk600m, que custa 13k ou menos, mas vale a pena, pode ter mais uma porta HDMI, https : //m.media-amazon.com/images/i/61v"&amp;"mbxznwhl._sy88.jpg,perfect monitor para edição e jogos casuais")</f>
        <v>Eu tinha um monitor LG 27 "e o quebrei duas vezes enquanto limpava o pano. Não conseguia nem levar a pressão do meu anel. Primeira vez que o reparei com um custo enorme, mas a segunda vez teve que jogá -lo .. Então eu comprei este, Um pouco menor, pois eu tinha medo de não pagar muito. LG tinha um alto-falante embutido, mas este não. coberto. O brilho é demais a 100%, mas posso reduzi -lo para 40%, o que é bom o suficiente para mim. O monitor inclui acorde de energia e cabo HDMI. Ele tem um bom suporte robusto. A qualidade de construção é boa. Os ângulos de visualização também são bons, sem brilho da iluminação da sala. No geral, a qualidade da imagem é muito boa. O monitor também possui configurações de atendimento ocular. Há alguns parafusos separados fornecidos em uma tampa de plástico; portanto, tenha cuidado ao descompactar. Não tive parafusos ausentes Problema., Eu tenho usado para meu trabalho pessoal e de escritório. É um bom produto quando você gosta de dividir a tela e trabalhar simultaneamente em duas janelas diferentes. A experiência é muito ótima, veio com o pacote OEM com fatura, mas O produto era SafePros1. Os pixels de tela de 24 polegadas são pequenos o suficiente, você pode vê -lo se você tentar, mas não Bad2. O sangramento do IPS não está lá, mas definitivamente há brilho IPS, mas não tão ruim 3,75 Hz, mas meh não posso dizer a diferença, mas novamente tenho telefone de 120 Hz, então não faz sentido comprá -lo por 75 Hz4.Colors são bons filmes e Os jogos aparecem bem5. Vem com um cabo HDMI que é arrumado6. Construa -o de bom e o ângulo do monitor pode ser movido oscons1, tem uma leve tonalidade amarela, exatamente como o telefone Redmi, mas você pode se acostumar com o IT2. 75 Hz é um truque3. Nenhuma porta de exibição que tão ruim4. IPS GLOW ESTÁ LÁ muito, mas coisas sombrias parecerão Grey. Para os 75Hz, não vale a pena, eu estaria analisando o monitor BenQ e LG ou ficaria grande e obter um monitor de taxa de atualização mais alta, eu não diria que isso era um desperdício de dinheiro, mas isso definitivamente caro para o que está oferecendo, prós: 1. Boa exibição de qualidade2. ?? Esse é o fim dos Proscons: 1. Por que na Terra Verde de Deus não há conector de áudio?!? !!!! Qual é o uso da porta HDMI se o usuário não conseguir obter vídeo e áudio ambos? Se alguém estiver investindo 10k em um monitor, por que em 2022 alguém precisará de uma porta VGA ?? 3. A qualidade da construção é questionável, a construção inteira é feita de plástico, o que é bom, mas para mim o monitor sempre foi um pouco inclinado, por mais difícil que eu estraguei o suporte, ainda era o mesmo.4. A AMD FreeSync não é muito afetiva, você ainda pode ver a tela da tela. O movimento do suporte é muito rígido, quase senti que o quebrei. Apenas má qualidade de construção. Se você só usará a porta HDMI e encontrar uma solução alternativa para o áudio, então tudo bem, mas para quem se aproxima no PC e console, isso não é bom o suficiente. Se você estiver disposto a sacrificar um pouco de qualidade visual e 15Hz de taxa de atualização, que não é perceptível, vá para Benq, mesmo preço, mas menos aborrecimento. Orbetter aumenta seu orçamento, vá para LG 24mk600m, que custa 13k ou menos, mas vale a pena, pode ter mais uma porta HDMI, https : //m.media-amazon.com/images/i/61vmbxznwhl._sy88.jpg,perfect monitor para edição e jogos casuais</v>
      </c>
    </row>
    <row r="925">
      <c r="A925" s="9" t="s">
        <v>3666</v>
      </c>
      <c r="B925" s="29" t="str">
        <f>VLOOKUP(dados!A925, reviews!A:G, 5, FALSE)</f>
        <v>Quality is too good,My laptop feels protected 🤣,Quality is Good but should cheaper as per matirial,Nice color and material, confirm the fit you want,Good product,AWESOME PRODUCT AT 2H,Warning - This sleeve is NOT WATERPROOF!!,Good choice under 400</v>
      </c>
      <c r="C925" s="29" t="str">
        <f>VLOOKUP(dados!A925, reviews!A:G, 6, FALSE)</f>
        <v>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v>
      </c>
      <c r="D925" s="29" t="str">
        <f>IFERROR(__xludf.DUMMYFUNCTION("GOOGLETRANSLATE(B925, ""en"", ""pt-br"")"),"A qualidade é boa demais, meu laptop parece protegido 🤣, a qualidade é boa, mas deve mais barato conforme matirial, bela cor e material, confirmar o ajuste que você deseja, bom produto, produto incrível na 2H, aviso - esta manga não é à prova d'água !!, "&amp;"Boa escolha abaixo de 400")</f>
        <v>A qualidade é boa demais, meu laptop parece protegido 🤣, a qualidade é boa, mas deve mais barato conforme matirial, bela cor e material, confirmar o ajuste que você deseja, bom produto, produto incrível na 2H, aviso - esta manga não é à prova d'água !!, Boa escolha abaixo de 400</v>
      </c>
      <c r="E925" s="29" t="str">
        <f>IFERROR(__xludf.DUMMYFUNCTION("GOOGLETRANSLATE(C925, ""en"", ""pt-br"")"),"Bom. Você pode ir em frente., É um produto muito bom em todo tipo, mas acho que o tamanho é bastante solto. Mas se esse é o tamanho real do laptop de 14 "", fico feliz em tê -lo. ,, Prós: Coloroft Material da Cushions Good of Zipcons: o material não parec"&amp;"e resistente à água. 14 ""HP Envy e esta luva de laptop de 14"" mantém algum espaço em ambas as dimensões. Você pode manter o carregador se for pequeno o suficiente, mas não deve, pois atrai arranhões no laptop. Veja fotos para obter mais idéia no ajuste."&amp;" Descobri que 13 ""A manga do laptop se encaixa mais na minha preferência. Tente uma vez. . Pode ser que o forro proteja de respingos, mas em um cenário em que você é pego na chuva, a água definitivamente chega ao estojo e encharca o laptop. Eu acredito q"&amp;"ue o zíper é o ponto de entrada fraco. Além disso, fornece amplo amortecimento e parece bom. Mas sim, não é impermeável., Uma necessidade de um pouco de melhoria")</f>
        <v>Bom. Você pode ir em frente., É um produto muito bom em todo tipo, mas acho que o tamanho é bastante solto. Mas se esse é o tamanho real do laptop de 14 ", fico feliz em tê -lo. ,, Prós: Coloroft Material da Cushions Good of Zipcons: o material não parece resistente à água. 14 "HP Envy e esta luva de laptop de 14" mantém algum espaço em ambas as dimensões. Você pode manter o carregador se for pequeno o suficiente, mas não deve, pois atrai arranhões no laptop. Veja fotos para obter mais idéia no ajuste. Descobri que 13 "A manga do laptop se encaixa mais na minha preferência. Tente uma vez. . Pode ser que o forro proteja de respingos, mas em um cenário em que você é pego na chuva, a água definitivamente chega ao estojo e encharca o laptop. Eu acredito que o zíper é o ponto de entrada fraco. Além disso, fornece amplo amortecimento e parece bom. Mas sim, não é impermeável., Uma necessidade de um pouco de melhoria</v>
      </c>
    </row>
    <row r="926">
      <c r="A926" s="9" t="s">
        <v>3670</v>
      </c>
      <c r="B926" s="29" t="str">
        <f>VLOOKUP(dados!A926, reviews!A:G, 5, FALSE)</f>
        <v>As this was my 2nd order for same product.2nd time jo product aaya uski packing bahut hi kharab thi.,Looks cool and variety of colors.,Good product,very colourfull,Budget friendly,Good one,The are easy to use and are comfortable,Good buy during sale</v>
      </c>
      <c r="C926" s="29" t="str">
        <f>VLOOKUP(dados!A926, reviews!A:G, 6, FALSE)</f>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v>
      </c>
      <c r="D926" s="29" t="str">
        <f>IFERROR(__xludf.DUMMYFUNCTION("GOOGLETRANSLATE(B926, ""en"", ""pt-br"")"),"Como essa foi minha segunda ordem para o mesmo produto. confortável, boa compra durante a venda")</f>
        <v>Como essa foi minha segunda ordem para o mesmo produto. confortável, boa compra durante a venda</v>
      </c>
      <c r="E926" s="29" t="str">
        <f>IFERROR(__xludf.DUMMYFUNCTION("GOOGLETRANSLATE(C926, ""en"", ""pt-br"")"),"PA de embalagem rasgada.Dekhne Me Product Usou LG RHA THA, comprei este conjunto de caneta colorido pela primeira vez e adorei. O que eu mais gosto é o quão fácil é manter por causa do conector. As opções de cores são bem largas, e eu gosto. Eu diria que,"&amp;" embora não seja muito suave de você o usa para recheio de cores, ele recebe mancha se você cobri -lo duas vezes. Então, aí você deve ter cuidado e também não pode pedir apenas um, deve ser o mínimo de dois conjuntos a serem entregues. Essa é a desvantage"&amp;"m. Caso contrário, é bom no geral., Eays usar para crianças acima de 6 anos, simplesmente bom, os conectores forneceram ajuda para manter todas as canetas juntas. Estas são canetas com ponta fina e, portanto, podem ser usadas para projetos de mandala. Lem"&amp;"bre -se de não se sobrepor e colorir, pois isso pode deixar uma mancha. ., Boa compra pelo preço durante o desconto. Ainda não o usou como é para minha sobrinha.")</f>
        <v>PA de embalagem rasgada.Dekhne Me Product Usou LG RHA THA, comprei este conjunto de caneta colorido pela primeira vez e adorei. O que eu mais gosto é o quão fácil é manter por causa do conector. As opções de cores são bem largas, e eu gosto. Eu diria que, embora não seja muito suave de você o usa para recheio de cores, ele recebe mancha se você cobri -lo duas vezes. Então, aí você deve ter cuidado e também não pode pedir apenas um, deve ser o mínimo de dois conjuntos a serem entregues. Essa é a desvantagem. Caso contrário, é bom no geral., Eays usar para crianças acima de 6 anos, simplesmente bom, os conectores forneceram ajuda para manter todas as canetas juntas. Estas são canetas com ponta fina e, portanto, podem ser usadas para projetos de mandala. Lembre -se de não se sobrepor e colorir, pois isso pode deixar uma mancha. ., Boa compra pelo preço durante o desconto. Ainda não o usou como é para minha sobrinha.</v>
      </c>
    </row>
    <row r="927">
      <c r="A927" s="9" t="s">
        <v>269</v>
      </c>
      <c r="B927" s="29" t="str">
        <f>VLOOKUP(dados!A927, reviews!A:G, 5, FALSE)</f>
        <v>Nice,Awesome,Quick not charger🤏,Expensive at this price,Multiple mobile can’t be charged at a time,THIS IS FAST CHARGING ON BOTH MY SAMSUNG PHONES AND IPHONE TOO. Go for it !!,Excellent quality!,CHARGING CABLE</v>
      </c>
      <c r="C927" s="29" t="str">
        <f>VLOOKUP(dados!A927, reviews!A:G, 6, FALSE)</f>
        <v>Good,Got a nice product,Quick not charger🤏,Cable is very good and looks durable but the pins quality are not good, infact iPhone pin keep coming out even with small movement, You can drive and charge simultaneously. Type C is good and the other pin is very hard to insert but workable.,This not a fast charger and can’t be used for data transfer. Multiple mobile can’t be charged at a time,This works as expected. It is working for both my Samsung phones and the lightning cable also works perfectly..,I loved this product for my car. It's long and quite valuable for charging three mobiles together in one go.,GOOD PRODUCT.</v>
      </c>
      <c r="D927" s="29" t="str">
        <f>IFERROR(__xludf.DUMMYFUNCTION("GOOGLETRANSLATE(B927, ""en"", ""pt-br"")"),"Bom, incrível, rápido, não carregador, caro a esse preço, vários celulares não podem ser cobrados de cada vez, isso também é um carregamento rápido nos meus telefones Samsung e iPhone. Vá em frente !!, excelente qualidade!, Cabo de carregamento")</f>
        <v>Bom, incrível, rápido, não carregador, caro a esse preço, vários celulares não podem ser cobrados de cada vez, isso também é um carregamento rápido nos meus telefones Samsung e iPhone. Vá em frente !!, excelente qualidade!, Cabo de carregamento</v>
      </c>
      <c r="E927" s="29" t="str">
        <f>IFERROR(__xludf.DUMMYFUNCTION("GOOGLETRANSLATE(C927, ""en"", ""pt-br"")"),"Bom, tenho um bom produto, rápido e não carregador, o cabo é muito bom e parece durável, mas a qualidade dos pinos não é boa, de fato, o pino do iPhone continua saindo mesmo com um pequeno movimento, você pode dirigir e carregar simultaneamente. O tipo C "&amp;"é bom e o outro pino é muito difícil de inserir, mas viável., Este não é um carregador rápido e não pode ser usado para transferência de dados. Múltiplo Mobile não pode ser cobrado de cada vez, isso funciona conforme o esperado. Ele está funcionando para "&amp;"os meus telefones Samsung e o cabo Lightning também funciona perfeitamente. Adorei este produto para o meu carro. É longo e bastante valioso para cobrar três celulares de uma só vez., Bom produto.")</f>
        <v>Bom, tenho um bom produto, rápido e não carregador, o cabo é muito bom e parece durável, mas a qualidade dos pinos não é boa, de fato, o pino do iPhone continua saindo mesmo com um pequeno movimento, você pode dirigir e carregar simultaneamente. O tipo C é bom e o outro pino é muito difícil de inserir, mas viável., Este não é um carregador rápido e não pode ser usado para transferência de dados. Múltiplo Mobile não pode ser cobrado de cada vez, isso funciona conforme o esperado. Ele está funcionando para os meus telefones Samsung e o cabo Lightning também funciona perfeitamente. Adorei este produto para o meu carro. É longo e bastante valioso para cobrar três celulares de uma só vez., Bom produto.</v>
      </c>
    </row>
    <row r="928">
      <c r="A928" s="9" t="s">
        <v>3680</v>
      </c>
      <c r="B928" s="29" t="str">
        <f>VLOOKUP(dados!A928, reviews!A:G, 5, FALSE)</f>
        <v>not perfect,Impressed,1 Major Problem,Good one.,Value for money product for short power cutoffs,Good products,Review,Great choice if you want a wi-fi UPS with good battery backup</v>
      </c>
      <c r="C928" s="29" t="str">
        <f>VLOOKUP(dados!A928, reviews!A:G, 6, FALSE)</f>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v>
      </c>
      <c r="D928" s="29" t="str">
        <f>IFERROR(__xludf.DUMMYFUNCTION("GOOGLETRANSLATE(B928, ""en"", ""pt-br"")"),"Não perfeito, impressionado, 1 grande problema, bom., Produto de valor para dinheiro para corte de energia curto, bons produtos, revisão, ótima opção se você quiser um Wi-Fi Ups com bom backup de bateria")</f>
        <v>Não perfeito, impressionado, 1 grande problema, bom., Produto de valor para dinheiro para corte de energia curto, bons produtos, revisão, ótima opção se você quiser um Wi-Fi Ups com bom backup de bateria</v>
      </c>
      <c r="E928" s="29" t="str">
        <f>IFERROR(__xludf.DUMMYFUNCTION("GOOGLETRANSLATE(C928, ""en"", ""pt-br"")"),"Está dando um bom backup. Estou usando-o para o backup do roteador Wi-Fi, mas em algum momento do PowerCut, ele rapidamente não dá poder ao wifi-Router. Então, o wifi é desligado por algum tempo, conversando com este produto que fiquei confuso para ir com"&amp;" um Marca bem conhecida ou essa marca, pois era quase metade da taxa. Eu impressionei com a embalagem N Conteúdo da caixa, eles são USPNext vem a qualidade plástica que também é uma boa instalação também foi fácil, seguindo o manual. Link para vídeo seria"&amp;" mais útil Em algum momento, problema de conexão que é aleatório ... o que pode ser o motivo pelo qual isso tem preços razoáveis. A versão em que o não deve melhorar esse descanso feliz com a compra, oferece excelente backup por mais de 4 horas, mas duran"&amp;"te o corte de energia, o roteador reinicia mais uma vez, o que criou a interrupção no Conexões da Internet por alguns minutos ... No geral, um produto incrível, eu testei e está funcionando para o backup de energia de até 2 horas ..., perfeito para o uso "&amp;"de Wi-Fi até 3 horas de backup de energia fornecido. Fácil de instalar e usar, bons produtos, atualização 2 ... 1. O item é executado 1hr 14m @1a dando 15.465wh, executa 48m @1.5a dando 14,82wh, enquanto é classificado em 22,2hw e desde o seu abril de 21,"&amp;" eu diria que a bateria está com defeito e não vou durar muito tempo, o pedido pedido.2. A substituição é executada 1h 32m @1a dando 19,39wh, 1h 1m @1.5a dando 18.452Wh e sendo feita em novembro de 20, acho que essa batalha está bem. Estou mantendo a subs"&amp;"tituição e encerrando minha revisão, a menos que o item falhe catastroficamente. ======= Atualização ... 1. É isso que ""Make in India"" se tornou uma infinidade de empresas registradas indianas batendo seu logotipo e vendendo itens chineses na Índia, par"&amp;"a dinheiro em sentimentos indianos. Este é um item genérico vendido por nomes de marcas diff, como ZinQ, Quantum (disponível aqui na Amazon) e prolly mais. Até as caixas são exatamente iguais ... lol.2. A taxa de recarga é terrivelmente lenta @0.5a, então"&amp;" 2.2ah levará 4,4 horas, considerando as perdas 4,5 horas. É por isso que frequente o corte de energia ppl r reclamando em torno de 1 hora de espera. Portanto, é basicamente para pessoas com cortes de energia ocasionais (como eu com gerador comunitário) ."&amp;"3. A UPS deve ser ativada para recarregar ... O quê? por que? muito ruim! Essa é outra razão pela qual as pessoas reclamam sobre a questão do carregamento e, como o item é genérico, o zinq prolly nem sabe ... lol ... uma coisa tão idiota deve ser impressa"&amp;" no centro da caixa em si. Eu mesmo fui enganado por 6 horas pensando que está cobrando, mas ficou frio, então verificado com o medidor de energia e uau! Não cobrou um pouco. Se eu fosse mais jovem com o tempo livre de Lotza, eu poderia ter feito um por ₹"&amp;" 80+80+80+150+50 para 1,8ah um ... foi naqueles dias divertidos! Então, estou mantendo -o por ₹ 1001. ** Se Any1 estiver lendo minha revisão, o YouTube Pesquisa por ""Ups do roteador"" e Lotza Young Ppl com tempo livre fez tanto DIY. ============== === ca"&amp;"ramba, essa coisa pode gerar mais de 35watts de energia @12V. Pela primeira vez, algo venceu meu testador de carga de 35W.Pros-1. Pode gerar 3a ou mais, que eu poderia testar. Ótimo para aumento repentino de carga. Saída muito estável 12-12.1V em 0-35W.3."&amp;" Construído sólido, quase todos os conectores possíveis fornecidos, comutação perfeita de CA para bateria (obviamente), fácil de usar.cons-1. Nenhuma opção de alteração de polaridade para entrada/saída. Alguns itens/carregadores têm um centro negativo, po"&amp;"is tenho que fazer meu próprio cabo. Como foi 3a ou superior, não acho que haja nenhuma proteção contra sobrecarga/curto -circuito.3. O item ficou muito quente quando executado a 12V 2a por 15 minutos. Espero que haja proteção térmica. O item está fechado"&amp;". Qualquer reparo ou mudança futura da bateria será destrutiva., Funciona como pretendido e oferece backup de bateria de 4 a 5 horas para Wi-Fi.")</f>
        <v>Está dando um bom backup. Estou usando-o para o backup do roteador Wi-Fi, mas em algum momento do PowerCut, ele rapidamente não dá poder ao wifi-Router. Então, o wifi é desligado por algum tempo, conversando com este produto que fiquei confuso para ir com um Marca bem conhecida ou essa marca, pois era quase metade da taxa. Eu impressionei com a embalagem N Conteúdo da caixa, eles são USPNext vem a qualidade plástica que também é uma boa instalação também foi fácil, seguindo o manual. Link para vídeo seria mais útil Em algum momento, problema de conexão que é aleatório ... o que pode ser o motivo pelo qual isso tem preços razoáveis. A versão em que o não deve melhorar esse descanso feliz com a compra, oferece excelente backup por mais de 4 horas, mas durante o corte de energia, o roteador reinicia mais uma vez, o que criou a interrupção no Conexões da Internet por alguns minutos ... No geral, um produto incrível, eu testei e está funcionando para o backup de energia de até 2 horas ..., perfeito para o uso de Wi-Fi até 3 horas de backup de energia fornecido. Fácil de instalar e usar, bons produtos, atualização 2 ... 1. O item é executado 1hr 14m @1a dando 15.465wh, executa 48m @1.5a dando 14,82wh, enquanto é classificado em 22,2hw e desde o seu abril de 21, eu diria que a bateria está com defeito e não vou durar muito tempo, o pedido pedido.2. A substituição é executada 1h 32m @1a dando 19,39wh, 1h 1m @1.5a dando 18.452Wh e sendo feita em novembro de 20, acho que essa batalha está bem. Estou mantendo a substituição e encerrando minha revisão, a menos que o item falhe catastroficamente. ======= Atualização ... 1. É isso que "Make in India" se tornou uma infinidade de empresas registradas indianas batendo seu logotipo e vendendo itens chineses na Índia, para dinheiro em sentimentos indianos. Este é um item genérico vendido por nomes de marcas diff, como ZinQ, Quantum (disponível aqui na Amazon) e prolly mais. Até as caixas são exatamente iguais ... lol.2. A taxa de recarga é terrivelmente lenta @0.5a, então 2.2ah levará 4,4 horas, considerando as perdas 4,5 horas. É por isso que frequente o corte de energia ppl r reclamando em torno de 1 hora de espera. Portanto, é basicamente para pessoas com cortes de energia ocasionais (como eu com gerador comunitário) .3. A UPS deve ser ativada para recarregar ... O quê? por que? muito ruim! Essa é outra razão pela qual as pessoas reclamam sobre a questão do carregamento e, como o item é genérico, o zinq prolly nem sabe ... lol ... uma coisa tão idiota deve ser impressa no centro da caixa em si. Eu mesmo fui enganado por 6 horas pensando que está cobrando, mas ficou frio, então verificado com o medidor de energia e uau! Não cobrou um pouco. Se eu fosse mais jovem com o tempo livre de Lotza, eu poderia ter feito um por ₹ 80+80+80+150+50 para 1,8ah um ... foi naqueles dias divertidos! Então, estou mantendo -o por ₹ 1001. ** Se Any1 estiver lendo minha revisão, o YouTube Pesquisa por "Ups do roteador" e Lotza Young Ppl com tempo livre fez tanto DIY. ============== === caramba, essa coisa pode gerar mais de 35watts de energia @12V. Pela primeira vez, algo venceu meu testador de carga de 35W.Pros-1. Pode gerar 3a ou mais, que eu poderia testar. Ótimo para aumento repentino de carga. Saída muito estável 12-12.1V em 0-35W.3. Construído sólido, quase todos os conectores possíveis fornecidos, comutação perfeita de CA para bateria (obviamente), fácil de usar.cons-1. Nenhuma opção de alteração de polaridade para entrada/saída. Alguns itens/carregadores têm um centro negativo, pois tenho que fazer meu próprio cabo. Como foi 3a ou superior, não acho que haja nenhuma proteção contra sobrecarga/curto -circuito.3. O item ficou muito quente quando executado a 12V 2a por 15 minutos. Espero que haja proteção térmica. O item está fechado. Qualquer reparo ou mudança futura da bateria será destrutiva., Funciona como pretendido e oferece backup de bateria de 4 a 5 horas para Wi-Fi.</v>
      </c>
    </row>
    <row r="929">
      <c r="A929" s="9" t="s">
        <v>3684</v>
      </c>
      <c r="B929" s="29" t="str">
        <f>VLOOKUP(dados!A929, reviews!A:G, 5, FALSE)</f>
        <v>Good at this price,Good product to organize your things,HOLDING CAPACITY,Not a lot of volume inside. Only for cables and tiny objects,Pretty good product for the price (under ₹500),It does it's job , worth the buy at this price,It served my purpose,Quality is not good</v>
      </c>
      <c r="C929" s="29" t="str">
        <f>VLOOKUP(dados!A929, reviews!A:G, 6, FALSE)</f>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v>
      </c>
      <c r="D929" s="29" t="str">
        <f>IFERROR(__xludf.DUMMYFUNCTION("GOOGLETRANSLATE(B929, ""en"", ""pt-br"")"),"Bom nesse preço, bom produto para organizar suas coisas, com capacidade para manter, não muito volume dentro. Somente para cabos e objetos minúsculos, produto muito bom pelo preço (sob ₹ 500), faz o trabalho, vale a pena comprar a esse preço, serviu meu o"&amp;"bjetivo, a qualidade não é boa")</f>
        <v>Bom nesse preço, bom produto para organizar suas coisas, com capacidade para manter, não muito volume dentro. Somente para cabos e objetos minúsculos, produto muito bom pelo preço (sob ₹ 500), faz o trabalho, vale a pena comprar a esse preço, serviu meu objetivo, a qualidade não é boa</v>
      </c>
      <c r="E929" s="29" t="str">
        <f>IFERROR(__xludf.DUMMYFUNCTION("GOOGLETRANSLATE(C929, ""en"", ""pt-br"")"),"O produto não parece premium. Eu diria que é um bom produto, dado o preço., Capaz de manter todos os seus fios e disco rígido, etc., ficar muito apertado se o carregador móvel e o banco de carregamento forem colocados, mantenho meus pequenos gadgets e cab"&amp;"os organizados dentro da minha bolsa. Pode ser melhor se tivesse mais espaço para pelo menos pequenas caixas, adaptadores etc., bom produto !! Tem alguns compartimentos e pode manter muitas coisas. Possui suportes reajustáveis ​​em uma das seções onde os "&amp;"itens (dos tamanhos de varrying) podem ser armazenados. Tem bolsos suficientes para transportar várias unidades de caneta e carregadores. O estofamento interno é levemente espumoso, por isso fornece proteção decente de queda. Se você estiver com o orçamen"&amp;"to apertado, vá em frente., Faz o que se destina, todos os seus carregadores de fios estão em um só lugar, você pode ir em frente! Não é tão luxuoso, mas por esse preço, definitivamente vale a pena tê -lo do que perder seus fios, boa, qualidade de mareria"&amp;"l")</f>
        <v>O produto não parece premium. Eu diria que é um bom produto, dado o preço., Capaz de manter todos os seus fios e disco rígido, etc., ficar muito apertado se o carregador móvel e o banco de carregamento forem colocados, mantenho meus pequenos gadgets e cabos organizados dentro da minha bolsa. Pode ser melhor se tivesse mais espaço para pelo menos pequenas caixas, adaptadores etc., bom produto !! Tem alguns compartimentos e pode manter muitas coisas. Possui suportes reajustáveis ​​em uma das seções onde os itens (dos tamanhos de varrying) podem ser armazenados. Tem bolsos suficientes para transportar várias unidades de caneta e carregadores. O estofamento interno é levemente espumoso, por isso fornece proteção decente de queda. Se você estiver com o orçamento apertado, vá em frente., Faz o que se destina, todos os seus carregadores de fios estão em um só lugar, você pode ir em frente! Não é tão luxuoso, mas por esse preço, definitivamente vale a pena tê -lo do que perder seus fios, boa, qualidade de marerial</v>
      </c>
    </row>
    <row r="930">
      <c r="A930" s="9" t="s">
        <v>273</v>
      </c>
      <c r="B930" s="29" t="str">
        <f>VLOOKUP(dados!A930, reviews!A:G, 5, FALSE)</f>
        <v>It's working,It's gud 😳,Cable quality is good.,Durable and Works Well,Good data cable same as shown in pic,Portronics knonnect L 1.2 mtr Micro USB cable,Ok,Great quality</v>
      </c>
      <c r="C930" s="29" t="str">
        <f>VLOOKUP(dados!A930, reviews!A:G, 6, FALSE)</f>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product...👌👌👌,Better,Seems to fast charge at 2A , not tried anything higher, but its a very sturdy cable should last for a long time</v>
      </c>
      <c r="D930" s="29" t="str">
        <f>IFERROR(__xludf.DUMMYFUNCTION("GOOGLETRANSLATE(B930, ""en"", ""pt-br"")"),"Está funcionando, é Gud 😳, a qualidade do cabo é boa., Durável e funciona bem, bom cabo de dados igual, como mostrado na foto, Knenect Knenect L 1.2 Mtr Micro USB Cable, OK, ótima qualidade")</f>
        <v>Está funcionando, é Gud 😳, a qualidade do cabo é boa., Durável e funciona bem, bom cabo de dados igual, como mostrado na foto, Knenect Knenect L 1.2 Mtr Micro USB Cable, OK, ótima qualidade</v>
      </c>
      <c r="E930" s="29" t="str">
        <f>IFERROR(__xludf.DUMMYFUNCTION("GOOGLETRANSLATE(C930, ""en"", ""pt-br"")"),"Trabalhando bem, muito bom esse cabo de dados, o desempenho deste produto é bom o suficiente., O usa desde um poço. Está fazendo um excelente trabalho. Você também pode aproveitar a garantia apenas mensando com o número de série no WhatsApp. Super feliz c"&amp;"om o desempenho geral., Bom cabo de dados igual, como mostrado na foto. Eu trouxe isso para a minha transferência de fotos da Nikon D5600 para o sistema., Produto excelente ... 👌👌👌, melhor, parece rápido em 2A, não tentei nada mais alto, mas é um cabo "&amp;"muito robusto deve durar muito tempo")</f>
        <v>Trabalhando bem, muito bom esse cabo de dados, o desempenho deste produto é bom o suficiente., O usa desde um poço. Está fazendo um excelente trabalho. Você também pode aproveitar a garantia apenas mensando com o número de série no WhatsApp. Super feliz com o desempenho geral., Bom cabo de dados igual, como mostrado na foto. Eu trouxe isso para a minha transferência de fotos da Nikon D5600 para o sistema., Produto excelente ... 👌👌👌, melhor, parece rápido em 2A, não tentei nada mais alto, mas é um cabo muito robusto deve durar muito tempo</v>
      </c>
    </row>
    <row r="931">
      <c r="A931" s="9" t="s">
        <v>3689</v>
      </c>
      <c r="B931" s="29" t="str">
        <f>VLOOKUP(dados!A931, reviews!A:G, 5, FALSE)</f>
        <v>Overall it's good. But some keys are hard to press,Good product in this price range,The start button of the controller and select button became defective and stopped working,Decent,Good,Just what I needed!,Great but.,Best controller under 1000</v>
      </c>
      <c r="C931" s="29" t="str">
        <f>VLOOKUP(dados!A931, reviews!A:G, 6, FALSE)</f>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v>
      </c>
      <c r="D931" s="29" t="str">
        <f>IFERROR(__xludf.DUMMYFUNCTION("GOOGLETRANSLATE(B931, ""en"", ""pt-br"")"),"No geral, é bom. Mas algumas chaves são difíceis de pressionar, um bom produto nessa faixa de preço, o botão de início do controlador e o botão de seleção se tornou defeituoso e parou de funcionar, decente, bom, exatamente o que eu precisava!, Ótimo, mas."&amp;", Melhor controlador abaixo de 1000")</f>
        <v>No geral, é bom. Mas algumas chaves são difíceis de pressionar, um bom produto nessa faixa de preço, o botão de início do controlador e o botão de seleção se tornou defeituoso e parou de funcionar, decente, bom, exatamente o que eu precisava!, Ótimo, mas., Melhor controlador abaixo de 1000</v>
      </c>
      <c r="E931" s="29" t="str">
        <f>IFERROR(__xludf.DUMMYFUNCTION("GOOGLETRANSLATE(C931, ""en"", ""pt-br"")"),"Algumas chaves podem ser melhores, mas neste orçamento é bom o suficiente para jogar GTA 5 e FIFA e alguns jogos de corrida de carros que são tão bons e a vibração é tão boa nesse orçamento, bom para esse orçamento, o produto funcionou bem por 6 meses, ma"&amp;"s depois Isso, o botão Iniciar e selecionar o botão do controlador entraram e ele se tornou com defeito e parou de funcionar. Então, tive que esperar semanas para que os botões voltassem e que funcionem novamente. Como esses dois botões não são cruciais p"&amp;"ara jogar o jogo, era administrável até certo ponto., Tbh é bom ... se você é um jogador amador, está completamente bom com esse preço ... mas se você for o nível de gamer pro hardcore Então eu sugiro que você pague um pouco mais e faça um melhor, porque "&amp;"às vezes sem motivo de nenhum motivo alguns movimentos não funcionam ... quando eu jogo críquete repentinamente no meio da partida, uma seleção de um tiro não funciona e Isso interrompe o momento ...... ainda é um produto decente ... não posso dizer sobre"&amp;" durabilidade agora será atualizado alguns meses depois., Menos peso em comparação com outros sticksthe L2 e R2 é um pouco difícil, mas ainda assim o backup de battery de reprodução é bom A porta de carregamento é B, isso não é uma coisa boa, porque todos"&amp;" estamos usando o C Port Chargersal, embora por esse preço esteja tudo bem, eu uso isso há três semanas e não vi falhas com este. Os L2 e R2 são um pouco apertados, mas fora isso sem problemas! Eu usei muito quando tocar e isso é muito durável (embora não"&amp;" tenha marcas para aderência), a aderência também é boa. Este não precisava de instalações extras e é um plug and play. Exatamente o que eu precisava!, Não suporta o tempo todo no Windows 11. O dispositivo não é reconhecível na maioria dos tempos de TGE e"&amp;" você só precisa conectar e desconectar a coisa continuamente.,")</f>
        <v>Algumas chaves podem ser melhores, mas neste orçamento é bom o suficiente para jogar GTA 5 e FIFA e alguns jogos de corrida de carros que são tão bons e a vibração é tão boa nesse orçamento, bom para esse orçamento, o produto funcionou bem por 6 meses, mas depois Isso, o botão Iniciar e selecionar o botão do controlador entraram e ele se tornou com defeito e parou de funcionar. Então, tive que esperar semanas para que os botões voltassem e que funcionem novamente. Como esses dois botões não são cruciais para jogar o jogo, era administrável até certo ponto., Tbh é bom ... se você é um jogador amador, está completamente bom com esse preço ... mas se você for o nível de gamer pro hardcore Então eu sugiro que você pague um pouco mais e faça um melhor, porque às vezes sem motivo de nenhum motivo alguns movimentos não funcionam ... quando eu jogo críquete repentinamente no meio da partida, uma seleção de um tiro não funciona e Isso interrompe o momento ...... ainda é um produto decente ... não posso dizer sobre durabilidade agora será atualizado alguns meses depois., Menos peso em comparação com outros sticksthe L2 e R2 é um pouco difícil, mas ainda assim o backup de battery de reprodução é bom A porta de carregamento é B, isso não é uma coisa boa, porque todos estamos usando o C Port Chargersal, embora por esse preço esteja tudo bem, eu uso isso há três semanas e não vi falhas com este. Os L2 e R2 são um pouco apertados, mas fora isso sem problemas! Eu usei muito quando tocar e isso é muito durável (embora não tenha marcas para aderência), a aderência também é boa. Este não precisava de instalações extras e é um plug and play. Exatamente o que eu precisava!, Não suporta o tempo todo no Windows 11. O dispositivo não é reconhecível na maioria dos tempos de TGE e você só precisa conectar e desconectar a coisa continuamente.,</v>
      </c>
    </row>
    <row r="932">
      <c r="A932" s="9" t="s">
        <v>3693</v>
      </c>
      <c r="B932" s="29" t="str">
        <f>VLOOKUP(dados!A932, reviews!A:G, 5, FALSE)</f>
        <v>Original review 👍realme buds🎧,Please Read The Whole Review For All the Details &amp; Decide Yourself...,Good,Ful HIGHHHHHHHHHHHHHHHH BASE,Amazing,Good</v>
      </c>
      <c r="C932" s="29" t="str">
        <f>VLOOKUP(dados!A932, reviews!A:G, 6, FALSE)</f>
        <v>(Realme Buds Wireless design and  specifications)Truly wireless earphones are becoming very popular, and we could very well see Realme get into that space in the coming months. However, for now, the company has taken on wireless headphones in an affordable form —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 the double-bass, in particular —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 with unwavering consistency, and we like it for that.Pros⚫1  Looks good🔥2  Light and comfortable3  Detailed, rich sound for the priceCons⚫1  Magnetic power switch is troublesome2  Inconsistent performance on voice callsRatings (out of 5)Design/ comfort: 4.0Audio quality: 3.8Battery life: 4.5Value for money: 4.8Overall: 4.0Go and purchased🙂👍,First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v>
      </c>
      <c r="D932" s="29" t="str">
        <f>IFERROR(__xludf.DUMMYFUNCTION("GOOGLETRANSLATE(B932, ""en"", ""pt-br"")"),"Revisão original 👍Realme buds🎧, por favor, leia toda a resenha para todos os detalhes e decida a si mesmo ..., bom, ful highhhhhhhhhhhhhhh base, incrível, bom")</f>
        <v>Revisão original 👍Realme buds🎧, por favor, leia toda a resenha para todos os detalhes e decida a si mesmo ..., bom, ful highhhhhhhhhhhhhhh base, incrível, bom</v>
      </c>
      <c r="E932" s="29" t="str">
        <f>IFERROR(__xludf.DUMMYFUNCTION("GOOGLETRANSLATE(C932, ""en"", ""pt-br"")"),"(Realme Buds Design e especificações sem fio) Os fones de ouvido verdadeiramente sem fio estão se tornando muito populares, e poderíamos muito bem ver o Realme entrar nesse espaço nos próximos meses. No entanto, por enquanto, a empresa assumiu fones de ou"&amp;"vido sem fio de uma forma acessível-fones de ouvido no estilo da banda de pescoço. O fone de ouvido possui uma faixa de pescoço flexível com módulos de metal nas extremidades, cabos curtos que levam aos fones de ouvido e aos próprios fones de ouvido de pl"&amp;"ástico. Gostamos bastante do esquema de cores amarelo e preto da nossa unidade de revisão. O design é simples e a qualidade de construção é decente. O dispositivo é leve a apenas 30g e confortável de usar e usar por longas horas em um alongamento. Como os"&amp;" fones de ouvido Realme anteriores, os brotos reais sem fio têm ímãs em cada fone de ouvido. Embora eles não atendam a nenhum propósito nos modelos com fio, além de manter os dois fones de ouvido, o grampo magnético serve como interruptor de energia para "&amp;"os brotos do Realme sem fio. A separação dos brotos liga o fone de ouvido, enquanto o prende o derruba; Não há botão liga / desliga, então essa é a única maneira de controlar a energia no fone de ouvido. Na teoria, isso soa bem, mas os ímãs fracos signifi"&amp;"cavam que os fones de ouvido se separavam facilmente quando colocados em um saco ou bolso. Isso ligaria os fones de ouvido e se conectaria automaticamente com nosso smartphone emparelhado, mesmo quando não queríamos, o que era incômodo. As chamadas seriam"&amp;" automaticamente desviadas para longe do fone de ouvido do smartphone sem sabermos, a bateria escorreria e o telefone não se conecta automaticamente a outros dispositivos, como um sistema de áudio de carro Bluetooth. O que você obtém no pacote de vendas s"&amp;"ão três pares de pontas de orelha de silicone, asas da orelha pré-ajustadas para os fones de ouvido e um cabo micro-USB para carregamento. A porta de carregamento está na parte inferior do módulo certo, que também possui os controles de reprodução, chamad"&amp;"as e volume. Os fones de ouvido sem fio de brotos do Realme são alimentados por drivers de 11,2 mm, com Bluetooth 5 e suporte para os codecs SBC e AAC. Os fones de ouvido têm uma vida útil reivindicada de 12 horas com uma única carga, e diz-se que oferece"&amp;" 100 minutos de tempo de audição com uma carga de 10 minutos quando a bateria é drenada. Conseguimos obter cerca de 9 horas de uso em nossos testes, enquanto uma carga completa do fone de ouvido levou um pouco menos de 3 horas para ser concluída.🤩🤩🤩🔥 "&amp;"(Realme Buds Wireless Performance) Os brotos reais sem fio trazem uma mudança refrescante para o Segmento de orçamento, oferecendo uma ótima combinação de design e qualidade de som pelo preço. Além disso, os fãs de música eletrônica ficarão felizes em sab"&amp;"er que o The Realme Buds Wireless foi sintonizado com entradas do popular DJ Alan Walker, e o som aparece como voltado para esse gênero. Os fones de ouvido sem fio com codecs AAC Bluetooth AAC. Ouvimos músicas transmitidas da música Spotify e YouTube, bem"&amp;" como nossa coleção de faixas de alta resolução.🎧🎛️🎶 iniciando com Take Five pelo quarteto Dave Brubeck, notamos imediatamente que o palco sonoro era consideravelmente mais largo e mais detalhado do que o que nós 'Normalmente costumava ouvir os produto"&amp;"s nessa faixa de preço. Alguns dos instrumentos de percussão pareciam nítidos e bem definidos, embora os elementos mais profundos no meio da faixa-o Bass duplo, em particular-fosse um pouco macio e não tão distinto quanto gostaríamos. Ainda assim, descobr"&amp;"imos que o som é detalhado e rico em todo. Além de alguma agressão gentil na extremidade baixa, também gostamos bastante da natureza inofensiva dos médios e do máximo, como demonstrado com os vocais familiares da faixa. O som do The Realme Buds Wireless é"&amp;" ajustado para conforto e apelo quase universal, e cumpre esse resumo. Ouvimos quase tantos detalhes e clareza quanto poderíamos ter esperado de um par de fones de ouvido sem fio que custam menos de Rs. 2.000. O Realme Boms Wireless como um fone de ouvido"&amp;" sem mãos para chamadas de voz e os resultados foram misturados. Em alguns casos, descobrimos que as vozes do outro lado da chamada eram macias, e nossos chamadores relataram muito ruído de fundo - um corvo atingindo a cerca de 6 metros de distância soou "&amp;"como se fosse vindo de si mesmo ao nosso outro final. Em outras ocasiões, nenhum problema foi relatado, portanto, a qualidade da chamada parece ser amplamente dependente do ambiente e, possivelmente, da força do seu sinal celular. (Veredicto) Pares de fon"&amp;"es de ouvido mais caros, como o OnePlus Bullets Wireless 2 e 1More, elegante dinâmico dinâmico dinâmico pode oferecer muito mais por meio de qualidade de som, mas o The Realme Buds Wireless faz um trabalho capaz por apenas Rs. 1.799. Este é um produto que"&amp;" vale a pena considerar simplesmente porque é tudo o que você precisa para o preço. Este fone de ouvido é bem construído, tem duração decente da bateria e é muito confortável de usar. O único problema significativo para nós foi o interruptor de energia ma"&amp;"gnética, que geralmente levava aos fones de ouvido automaticamente ligando em momentos desajeitados. Além disso, os brotos reais sem fio são um par de fones de ouvido que faz exatamente o que deveria - não mais nem menos - com consistência inabalável, e g"&amp;"ostamos disso. Som para os PriceCons⚫1 Switch de energia magnética é problemático2 Performance inconsistente em chamadas de voz (de 5) Projeto/ conforto: 4.0audio Qualidade: 3.8battery vida: 4.5Value for Money: 4.8 Overall: 4.0go e comprado, primeiro de T"&amp;"udo se você é um tipo de gênero eletrônico/dança e quadril/hop entusiasta do que sua busca por um fone de ouvido de boa qualidade """" Still continua "", não é como se esses fones de ouvido fossem inúteis para esses gêneros e não podem ser ouvidos neles, "&amp;"certamente você pode Ouça e aproveite, mas você simplesmente não conseguiu as vibrações que obtém enquanto ouve aqueles em fones de ouvido da base profunda. Da minha experiência de audição musical de 8 anos, posso dizer que a profundidade e que o efeito d"&amp;"e base surround vibratória+ não está nisso (certamente Tem algum baixo esbelto que é necessário para o equilíbrio perfeito em todos os gêneros), mas devido à falta dessa base profunda, você definitivamente se arrependerá da sua compra se for um amante de "&amp;"Hip/Hop &amp; EDM (os tons médios da música são um pouco baixos nisso Fone de ouvido que também arruina um pouco a experiência da experiência de audição de música desse gênero). Isso quer que me faça pensar que toda vez é Alan Walker realmente sintonizou isso"&amp;" ?? Porque eu também estou usando um fone de ouvido com fio a saber, Mi Ear Earphones Pro (1799 Rs), que é excelente e produz um som muito bom para todo gênero e definitivamente tem esse efeito básico profundo !! Em vez da música desse gênero, esses fones"&amp;" de ouvido são realmente bons para todos os outros GENROS !!! Se você está bem com as desvantagens listadas acima, então siga apenas para a revisão detalhada !! ::::::: Upsides :::::::: 1. A qualidade do material é boa, seu plástico, mas parece que uma ca"&amp;"mada macia de silício é aplicada sobre sua camada superior (tanto na faixa do pescoço quanto nos fios dos tampões para os ouvidos) .2. Estes são extremamente leves e não parecem uma carga extra no pescoço. O cancelamento de ruído é realmente muito bom, es"&amp;"tou realmente impressionado. A qualidade do microfone também é a melhor que pode ser oferecida em 2000 (sem reclamações) 5. Os tampões para os ouvidos em forma são bons (mas eu aconselho você a remover esses remendos angulares removíveis para mais ajuste)"&amp;" e o conforto é bom (mas pode ser mais melhor, pois meus com fio são realmente mais confortáveis ​​e se você também experimentou algo mais confortável do que isso , Então você também pode reclamar do conforto para uso longo) .6. A faixa BluTooth é realmen"&amp;"te boa (ainda funciona se 2 quartos estiverem no meio) 7. O controle magnético On/Off é como cereja no bolo e funciona como charme! (Quando você os separa, leva de 3 a 4 segundos para se conectar ao seu telefone se já emparelhado antes e se os telefones e"&amp;"stão ligados, e se você os conectar Vá para o modo de espera e saia se não for aberto novamente em 5 minutos, é muito bom que você esteja recebendo essa função magnética nesse preço !!) 8. O som pode ficar muito alto, mas eu prefiro usá-lo em 60-70 %9. Ca"&amp;"bo micro USB + 2 pares de ouvido extras (pequenos e grandes) são fornecidos na caixa (o meio é pré-aplicado e é perfeito quase para todos) 10. O backup da bateria é bom (espere 8 horas de reprodução contínua no volume de 70%) 11. A velocidade de carregame"&amp;"nto também é boa, você pode facilmente obter 1 hora de reprodução em 1 minuto de carga!, E pode carregá-lo em cerca de 90-100 minutos se totalmente vazio.12. Não consegui experimentar sua propriedade de retenção de respingos. A cobertura externa dos fones"&amp;" de ouvido é de plástico (boa qualidade), mas eles teriam dado quadro de alumínio nesse preço. Os fios também devem ser dados como trançados (para uso difícil e longo) 3. Nenhuma marca no Realme (permanente) em qualquer lugar do fone de ouvido nos confund"&amp;"e, mas há tags no pescoço4. A tampa na porta de carregamento deveria ter dado para impedir a entrada de poeira. Deveria ter sido dada uma pequena caixa de transporte ou bolsa para torná -lo amigável de viagens6. Quando conectado ao dispositivo, quando há "&amp;"uma chamada de entrada, não recita o número de chamadas, e às vezes não notifica nada ... ** Mas nenhum grande golpe está lá ** ::::::::::::::: :::::::::::::::: Os vocais são realmente incríveis e agora eu definitivamente entendo as letras das músicas pop"&amp;" 😆.2. Os mínimos e altos das músicas são realmente ótimos, mas os médios são pouco suprimidos e você definitivamente sentiria falta disso nas músicas EDM e hip-hop (como os detalhes baixos do Every não são necessários nas canções de dança, os Mids &amp; High"&amp;"s são mais importantes) 3 . A base é adequada e mantém a música viva, mas não produz uma base tão profunda e surround que o amor desse jovem, mas definitivamente tem essa quantidade de base necessária em qualquer música para sentir, eu também sou mais jov"&amp;"em e estou bem com Como eu o comprei como um fone de ouvido secundário para assistir filmes e séries na TV silenciosamente, sem perturbar minha família, para que isso cumpra meu objetivo.4. A batida e o som produzidas parecem naturais e claras como fones "&amp;"de ouvido de alta qualidade e, nesse aspecto, Alan Walker e Realme Team certamente fizeram um ótimo trabalho.5. Com base em tipos de amantes da música, eu recomendaria isso:-Pop, Indie-Pop, Acoustic, R&amp;B, Rock and Soft Rock, Trap/Hard Dance e quase todos "&amp;"os tipos de gêneros, exceto EDM e hip-hop ... como eu ' Eu o comprei como um fone de ouvido secundário, para que eu não tive grandes expectativas e certamente posso dizer que excedeu minhas expectativas e estou muito feliz com minha compra .... Leia toda "&amp;"a revisão, certamente o ajudará a decidir mais Claramente. Ter uma boa experiência de compra, Thakyou para ler !!!, Melhor mas pouco preço alto. Você não pode ouvir por muito tempo, você terá dor na orelha após 1 hora. Quem gosta de base Highhhhhhhh, eles"&amp;" podem escolher e soar qualidade OK. Qualidade é boa, melhor produto, bom produto 👍👍")</f>
        <v>(Realme Buds Design e especificações sem fio) Os fones de ouvido verdadeiramente sem fio estão se tornando muito populares, e poderíamos muito bem ver o Realme entrar nesse espaço nos próximos meses. No entanto, por enquanto, a empresa assumiu fones de ouvido sem fio de uma forma acessível-fones de ouvido no estilo da banda de pescoço. O fone de ouvido possui uma faixa de pescoço flexível com módulos de metal nas extremidades, cabos curtos que levam aos fones de ouvido e aos próprios fones de ouvido de plástico. Gostamos bastante do esquema de cores amarelo e preto da nossa unidade de revisão. O design é simples e a qualidade de construção é decente. O dispositivo é leve a apenas 30g e confortável de usar e usar por longas horas em um alongamento. Como os fones de ouvido Realme anteriores, os brotos reais sem fio têm ímãs em cada fone de ouvido. Embora eles não atendam a nenhum propósito nos modelos com fio, além de manter os dois fones de ouvido, o grampo magnético serve como interruptor de energia para os brotos do Realme sem fio. A separação dos brotos liga o fone de ouvido, enquanto o prende o derruba; Não há botão liga / desliga, então essa é a única maneira de controlar a energia no fone de ouvido. Na teoria, isso soa bem, mas os ímãs fracos significavam que os fones de ouvido se separavam facilmente quando colocados em um saco ou bolso. Isso ligaria os fones de ouvido e se conectaria automaticamente com nosso smartphone emparelhado, mesmo quando não queríamos, o que era incômodo. As chamadas seriam automaticamente desviadas para longe do fone de ouvido do smartphone sem sabermos, a bateria escorreria e o telefone não se conecta automaticamente a outros dispositivos, como um sistema de áudio de carro Bluetooth. O que você obtém no pacote de vendas são três pares de pontas de orelha de silicone, asas da orelha pré-ajustadas para os fones de ouvido e um cabo micro-USB para carregamento. A porta de carregamento está na parte inferior do módulo certo, que também possui os controles de reprodução, chamadas e volume. Os fones de ouvido sem fio de brotos do Realme são alimentados por drivers de 11,2 mm, com Bluetooth 5 e suporte para os codecs SBC e AAC. Os fones de ouvido têm uma vida útil reivindicada de 12 horas com uma única carga, e diz-se que oferece 100 minutos de tempo de audição com uma carga de 10 minutos quando a bateria é drenada. Conseguimos obter cerca de 9 horas de uso em nossos testes, enquanto uma carga completa do fone de ouvido levou um pouco menos de 3 horas para ser concluída.🤩🤩🤩🔥 (Realme Buds Wireless Performance) Os brotos reais sem fio trazem uma mudança refrescante para o Segmento de orçamento, oferecendo uma ótima combinação de design e qualidade de som pelo preço. Além disso, os fãs de música eletrônica ficarão felizes em saber que o The Realme Buds Wireless foi sintonizado com entradas do popular DJ Alan Walker, e o som aparece como voltado para esse gênero. Os fones de ouvido sem fio com codecs AAC Bluetooth AAC. Ouvimos músicas transmitidas da música Spotify e YouTube, bem como nossa coleção de faixas de alta resolução.🎧🎛️🎶 iniciando com Take Five pelo quarteto Dave Brubeck, notamos imediatamente que o palco sonoro era consideravelmente mais largo e mais detalhado do que o que nós 'Normalmente costumava ouvir os produtos nessa faixa de preço. Alguns dos instrumentos de percussão pareciam nítidos e bem definidos, embora os elementos mais profundos no meio da faixa-o Bass duplo, em particular-fosse um pouco macio e não tão distinto quanto gostaríamos. Ainda assim, descobrimos que o som é detalhado e rico em todo. Além de alguma agressão gentil na extremidade baixa, também gostamos bastante da natureza inofensiva dos médios e do máximo, como demonstrado com os vocais familiares da faixa. O som do The Realme Buds Wireless é ajustado para conforto e apelo quase universal, e cumpre esse resumo. Ouvimos quase tantos detalhes e clareza quanto poderíamos ter esperado de um par de fones de ouvido sem fio que custam menos de Rs. 2.000. O Realme Boms Wireless como um fone de ouvido sem mãos para chamadas de voz e os resultados foram misturados. Em alguns casos, descobrimos que as vozes do outro lado da chamada eram macias, e nossos chamadores relataram muito ruído de fundo - um corvo atingindo a cerca de 6 metros de distância soou como se fosse vindo de si mesmo ao nosso outro final. Em outras ocasiões, nenhum problema foi relatado, portanto, a qualidade da chamada parece ser amplamente dependente do ambiente e, possivelmente, da força do seu sinal celular. (Veredicto) Pares de fones de ouvido mais caros, como o OnePlus Bullets Wireless 2 e 1More, elegante dinâmico dinâmico dinâmico pode oferecer muito mais por meio de qualidade de som, mas o The Realme Buds Wireless faz um trabalho capaz por apenas Rs. 1.799. Este é um produto que vale a pena considerar simplesmente porque é tudo o que você precisa para o preço. Este fone de ouvido é bem construído, tem duração decente da bateria e é muito confortável de usar. O único problema significativo para nós foi o interruptor de energia magnética, que geralmente levava aos fones de ouvido automaticamente ligando em momentos desajeitados. Além disso, os brotos reais sem fio são um par de fones de ouvido que faz exatamente o que deveria - não mais nem menos - com consistência inabalável, e gostamos disso. Som para os PriceCons⚫1 Switch de energia magnética é problemático2 Performance inconsistente em chamadas de voz (de 5) Projeto/ conforto: 4.0audio Qualidade: 3.8battery vida: 4.5Value for Money: 4.8 Overall: 4.0go e comprado, primeiro de Tudo se você é um tipo de gênero eletrônico/dança e quadril/hop entusiasta do que sua busca por um fone de ouvido de boa qualidade "" Still continua ", não é como se esses fones de ouvido fossem inúteis para esses gêneros e não podem ser ouvidos neles, certamente você pode Ouça e aproveite, mas você simplesmente não conseguiu as vibrações que obtém enquanto ouve aqueles em fones de ouvido da base profunda. Da minha experiência de audição musical de 8 anos, posso dizer que a profundidade e que o efeito de base surround vibratória+ não está nisso (certamente Tem algum baixo esbelto que é necessário para o equilíbrio perfeito em todos os gêneros), mas devido à falta dessa base profunda, você definitivamente se arrependerá da sua compra se for um amante de Hip/Hop &amp; EDM (os tons médios da música são um pouco baixos nisso Fone de ouvido que também arruina um pouco a experiência da experiência de audição de música desse gênero). Isso quer que me faça pensar que toda vez é Alan Walker realmente sintonizou isso ?? Porque eu também estou usando um fone de ouvido com fio a saber, Mi Ear Earphones Pro (1799 Rs), que é excelente e produz um som muito bom para todo gênero e definitivamente tem esse efeito básico profundo !! Em vez da música desse gênero, esses fones de ouvido são realmente bons para todos os outros GENROS !!! Se você está bem com as desvantagens listadas acima, então siga apenas para a revisão detalhada !! ::::::: Upsides :::::::: 1. A qualidade do material é boa, seu plástico, mas parece que uma camada macia de silício é aplicada sobre sua camada superior (tanto na faixa do pescoço quanto nos fios dos tampões para os ouvidos) .2. Estes são extremamente leves e não parecem uma carga extra no pescoço. O cancelamento de ruído é realmente muito bom, estou realmente impressionado. A qualidade do microfone também é a melhor que pode ser oferecida em 2000 (sem reclamações) 5. Os tampões para os ouvidos em forma são bons (mas eu aconselho você a remover esses remendos angulares removíveis para mais ajuste) e o conforto é bom (mas pode ser mais melhor, pois meus com fio são realmente mais confortáveis ​​e se você também experimentou algo mais confortável do que isso , Então você também pode reclamar do conforto para uso longo) .6. A faixa BluTooth é realmente boa (ainda funciona se 2 quartos estiverem no meio) 7. O controle magnético On/Off é como cereja no bolo e funciona como charme! (Quando você os separa, leva de 3 a 4 segundos para se conectar ao seu telefone se já emparelhado antes e se os telefones estão ligados, e se você os conectar Vá para o modo de espera e saia se não for aberto novamente em 5 minutos, é muito bom que você esteja recebendo essa função magnética nesse preço !!) 8. O som pode ficar muito alto, mas eu prefiro usá-lo em 60-70 %9. Cabo micro USB + 2 pares de ouvido extras (pequenos e grandes) são fornecidos na caixa (o meio é pré-aplicado e é perfeito quase para todos) 10. O backup da bateria é bom (espere 8 horas de reprodução contínua no volume de 70%) 11. A velocidade de carregamento também é boa, você pode facilmente obter 1 hora de reprodução em 1 minuto de carga!, E pode carregá-lo em cerca de 90-100 minutos se totalmente vazio.12. Não consegui experimentar sua propriedade de retenção de respingos. A cobertura externa dos fones de ouvido é de plástico (boa qualidade), mas eles teriam dado quadro de alumínio nesse preço. Os fios também devem ser dados como trançados (para uso difícil e longo) 3. Nenhuma marca no Realme (permanente) em qualquer lugar do fone de ouvido nos confunde, mas há tags no pescoço4. A tampa na porta de carregamento deveria ter dado para impedir a entrada de poeira. Deveria ter sido dada uma pequena caixa de transporte ou bolsa para torná -lo amigável de viagens6. Quando conectado ao dispositivo, quando há uma chamada de entrada, não recita o número de chamadas, e às vezes não notifica nada ... ** Mas nenhum grande golpe está lá ** ::::::::::::::: :::::::::::::::: Os vocais são realmente incríveis e agora eu definitivamente entendo as letras das músicas pop 😆.2. Os mínimos e altos das músicas são realmente ótimos, mas os médios são pouco suprimidos e você definitivamente sentiria falta disso nas músicas EDM e hip-hop (como os detalhes baixos do Every não são necessários nas canções de dança, os Mids &amp; Highs são mais importantes) 3 . A base é adequada e mantém a música viva, mas não produz uma base tão profunda e surround que o amor desse jovem, mas definitivamente tem essa quantidade de base necessária em qualquer música para sentir, eu também sou mais jovem e estou bem com Como eu o comprei como um fone de ouvido secundário para assistir filmes e séries na TV silenciosamente, sem perturbar minha família, para que isso cumpra meu objetivo.4. A batida e o som produzidas parecem naturais e claras como fones de ouvido de alta qualidade e, nesse aspecto, Alan Walker e Realme Team certamente fizeram um ótimo trabalho.5. Com base em tipos de amantes da música, eu recomendaria isso:-Pop, Indie-Pop, Acoustic, R&amp;B, Rock and Soft Rock, Trap/Hard Dance e quase todos os tipos de gêneros, exceto EDM e hip-hop ... como eu ' Eu o comprei como um fone de ouvido secundário, para que eu não tive grandes expectativas e certamente posso dizer que excedeu minhas expectativas e estou muito feliz com minha compra .... Leia toda a revisão, certamente o ajudará a decidir mais Claramente. Ter uma boa experiência de compra, Thakyou para ler !!!, Melhor mas pouco preço alto. Você não pode ouvir por muito tempo, você terá dor na orelha após 1 hora. Quem gosta de base Highhhhhhhh, eles podem escolher e soar qualidade OK. Qualidade é boa, melhor produto, bom produto 👍👍</v>
      </c>
    </row>
    <row r="933">
      <c r="A933" s="9" t="s">
        <v>3697</v>
      </c>
      <c r="B933" s="29" t="str">
        <f>VLOOKUP(dados!A933, reviews!A:G, 5, FALSE)</f>
        <v>A good buy!,Good item fun to play , Brightness is good if used in proper light,very useful,Average,Good product at this price 👌,Nice,Good quality product,Very good product</v>
      </c>
      <c r="C933" s="29" t="str">
        <f>VLOOKUP(dados!A933, reviews!A:G, 6, FALSE)</f>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v>
      </c>
      <c r="D933" s="29" t="str">
        <f>IFERROR(__xludf.DUMMYFUNCTION("GOOGLETRANSLATE(B933, ""en"", ""pt-br"")"),"Uma boa compra!, Bom item divertido de jogar, o brilho é bom se usado sob luz adequada, muito útil, média, bom produto a esse preço 👌, bom, boa, produto de boa qualidade, produto muito bom")</f>
        <v>Uma boa compra!, Bom item divertido de jogar, o brilho é bom se usado sob luz adequada, muito útil, média, bom produto a esse preço 👌, bom, boa, produto de boa qualidade, produto muito bom</v>
      </c>
      <c r="E933" s="29" t="str">
        <f>IFERROR(__xludf.DUMMYFUNCTION("GOOGLETRANSLATE(C933, ""en"", ""pt-br"")"),"Uma boa distração para manter as crianças longe dos dispositivos ... no geral, uma boa compra !!!!, bom item divertido de tocar, tipo, um bloco de escrita média., O brilho pode ser melhorado e a forma da caneta também pode ser alterada., Nice . Muito bom "&amp;"para crianças. Fácil de aprender e bastante educativo., Valor por dinheiro e produto de boa qualidade, muito agradável e suave fácil de usar e o brilho não é muito baixo e bom produto para as crianças usarem ....")</f>
        <v>Uma boa distração para manter as crianças longe dos dispositivos ... no geral, uma boa compra !!!!, bom item divertido de tocar, tipo, um bloco de escrita média., O brilho pode ser melhorado e a forma da caneta também pode ser alterada., Nice . Muito bom para crianças. Fácil de aprender e bastante educativo., Valor por dinheiro e produto de boa qualidade, muito agradável e suave fácil de usar e o brilho não é muito baixo e bom produto para as crianças usarem ....</v>
      </c>
    </row>
    <row r="934">
      <c r="A934" s="9" t="s">
        <v>3701</v>
      </c>
      <c r="B934" s="29" t="str">
        <f>VLOOKUP(dados!A934, reviews!A:G, 5, FALSE)</f>
        <v>U should really go for it if are using for gaming or songs but for calls it not that good,Best in the range,ENC missing.,Vry Vry nice. ..👍,Nice product. It is very nice product in this price range 😊. I like it:),Battery backup is too good sounds quality is Very deep base,Best at this range,No review</v>
      </c>
      <c r="C934" s="29" t="str">
        <f>VLOOKUP(dados!A934, reviews!A:G, 6, FALSE)</f>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v>
      </c>
      <c r="D934" s="29" t="str">
        <f>IFERROR(__xludf.DUMMYFUNCTION("GOOGLETRANSLATE(B934, ""en"", ""pt-br"")"),"Você realmente deve fazer isso se estiver usando para jogos ou músicas, mas para chamadas não é tão bom, melhor no intervalo, faltando. ..👍, bom produto. É um produto muito bom nessa faixa de preço 😊. Eu gosto :), o backup da bateria é muito bom, a qual"&amp;"idade é uma base muito profunda, melhor nesse intervalo, sem revisão")</f>
        <v>Você realmente deve fazer isso se estiver usando para jogos ou músicas, mas para chamadas não é tão bom, melhor no intervalo, faltando. ..👍, bom produto. É um produto muito bom nessa faixa de preço 😊. Eu gosto :), o backup da bateria é muito bom, a qualidade é uma base muito profunda, melhor nesse intervalo, sem revisão</v>
      </c>
      <c r="E934" s="29" t="str">
        <f>IFERROR(__xludf.DUMMYFUNCTION("GOOGLETRANSLATE(C934, ""en"", ""pt-br"")"),"1. A qualidade da construção é muito boa2. A qualidade do solo é bom3.com Feltable de desgastar4. É bom para chamadas, mas outra pessoa ouvirá sua voz muito pesada e soa como rádio antigo ou algo assim. Encontre melhor do que isso com menos de 1 kbest nes"&amp;"sa faixa de preço !! ,, Vry Nice um desse intervalo .., em todos os melhores fones de ouvido. Nesta faixa de preço :) Estou muito feliz 😊, adoro este produto, este produto é realmente bom quanto ao dinheiro, o sensor é bom, as luzes parecem legais, o bai"&amp;"xo é bom, o backup da bateria também é bom. A melhor coisa é sua conectividade Bluetooth, que é super rápida. A única limitação é que ele se conecta a apenas 1 dispositivo por vez. Altamente recomendado.,")</f>
        <v>1. A qualidade da construção é muito boa2. A qualidade do solo é bom3.com Feltable de desgastar4. É bom para chamadas, mas outra pessoa ouvirá sua voz muito pesada e soa como rádio antigo ou algo assim. Encontre melhor do que isso com menos de 1 kbest nessa faixa de preço !! ,, Vry Nice um desse intervalo .., em todos os melhores fones de ouvido. Nesta faixa de preço :) Estou muito feliz 😊, adoro este produto, este produto é realmente bom quanto ao dinheiro, o sensor é bom, as luzes parecem legais, o baixo é bom, o backup da bateria também é bom. A melhor coisa é sua conectividade Bluetooth, que é super rápida. A única limitação é que ele se conecta a apenas 1 dispositivo por vez. Altamente recomendado.,</v>
      </c>
    </row>
    <row r="935">
      <c r="A935" s="9" t="s">
        <v>3707</v>
      </c>
      <c r="B935" s="29" t="str">
        <f>VLOOKUP(dados!A935, reviews!A:G, 5, FALSE)</f>
        <v>Fantastic,Spen works, will protect the screen.,Good,Not smudge proof at all!! But apart from that it's good.,Smooth surface, good protection, easy application.,Good,Goodbye for the tablet but not for the s pen stylus.,1 year of use</v>
      </c>
      <c r="C935" s="29" t="str">
        <f>VLOOKUP(dados!A935, reviews!A:G, 6, FALSE)</f>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v>
      </c>
      <c r="D935" s="29" t="str">
        <f>IFERROR(__xludf.DUMMYFUNCTION("GOOGLETRANSLATE(B935, ""en"", ""pt-br"")"),"Fantástica, Spen Works, protegerá a tela., Bom, não é uma prova de manchas !! Mas, além disso, é bom., Superfície lisa, boa proteção, aplicação fácil., Bom, adeus para o tablet, mas não para a caneta S Pen., 1 ano de uso")</f>
        <v>Fantástica, Spen Works, protegerá a tela., Bom, não é uma prova de manchas !! Mas, além disso, é bom., Superfície lisa, boa proteção, aplicação fácil., Bom, adeus para o tablet, mas não para a caneta S Pen., 1 ano de uso</v>
      </c>
      <c r="E935" s="29" t="str">
        <f>IFERROR(__xludf.DUMMYFUNCTION("GOOGLETRANSLATE(C935, ""en"", ""pt-br"")"),"Gostei de tudo como a qualidade do produto, a embalagem era tão premiumo uma coisa que eu não gostei é que você pode obter uma impressão digital facilmente, cobertura padrão pelo preço. Precisa de um pouco de senso comum para aplicar, pode usar a ajuda de"&amp;" suas lojas locais. Produto decente, pode ser um pouco mais barato. Spen trabalha após se inscrever., Bom produto, embora um pouco caro., NÃO PROVA DE SMUDE !! Mas, além disso, o vidro se encaixa perfeitamente ao redor da tela. É completamente transparent"&amp;"e e não tem bordas pretas. O recorte para a câmera frontal também é perfeito., Muito fácil de instalar, a proteção da tela é de boa qualidade, mas às vezes cria problemas ao escrever com o S Pen. Não é um problema, mas apenas para as informações. Geral de"&amp;" bom e valor pelo dinheiro., O vendedor está basicamente mentindo dizendo à prova de anti -arranhas e manchas, pois claramente não é. PROS - durável, não rachaduras durante 1 ano de uso. aparecer com uso regular.")</f>
        <v>Gostei de tudo como a qualidade do produto, a embalagem era tão premiumo uma coisa que eu não gostei é que você pode obter uma impressão digital facilmente, cobertura padrão pelo preço. Precisa de um pouco de senso comum para aplicar, pode usar a ajuda de suas lojas locais. Produto decente, pode ser um pouco mais barato. Spen trabalha após se inscrever., Bom produto, embora um pouco caro., NÃO PROVA DE SMUDE !! Mas, além disso, o vidro se encaixa perfeitamente ao redor da tela. É completamente transparente e não tem bordas pretas. O recorte para a câmera frontal também é perfeito., Muito fácil de instalar, a proteção da tela é de boa qualidade, mas às vezes cria problemas ao escrever com o S Pen. Não é um problema, mas apenas para as informações. Geral de bom e valor pelo dinheiro., O vendedor está basicamente mentindo dizendo à prova de anti -arranhas e manchas, pois claramente não é. PROS - durável, não rachaduras durante 1 ano de uso. aparecer com uso regular.</v>
      </c>
    </row>
    <row r="936">
      <c r="A936" s="9" t="s">
        <v>3711</v>
      </c>
      <c r="B936" s="29" t="str">
        <f>VLOOKUP(dados!A936, reviews!A:G, 5, FALSE)</f>
        <v>awesome,Good product,Product reviews ...,Best in budget,Very good according to price,Nice product data transmission  rate is 80 to 85MB/s,Works well. East to install HDD in this. Will recommend,Very nice product and easy install &amp; use</v>
      </c>
      <c r="C936" s="29" t="str">
        <f>VLOOKUP(dados!A936, reviews!A:G, 6, FALSE)</f>
        <v>good,Good product,Good product ....,Previously I was thinking of buying the Orico one but now I think buying this was a good decision, no cons till now.,* Good build quality* Easy to use* Looks good* Great transfer speed,,Does all it says, Great product for the price.,Nice and value for money</v>
      </c>
      <c r="D936" s="29" t="str">
        <f>IFERROR(__xludf.DUMMYFUNCTION("GOOGLETRANSLATE(B936, ""en"", ""pt-br"")"),"Incrível, bom produto, revisões de produtos ..., o melhor em orçamento, muito bom de acordo com o preço, a taxa de transmissão de dados de produtos agradável é de 80 a 85 MB/s, funciona bem. Leste para instalar o HDD nisso. Recomendará, produto muito bom "&amp;"e instalação e uso fácil")</f>
        <v>Incrível, bom produto, revisões de produtos ..., o melhor em orçamento, muito bom de acordo com o preço, a taxa de transmissão de dados de produtos agradável é de 80 a 85 MB/s, funciona bem. Leste para instalar o HDD nisso. Recomendará, produto muito bom e instalação e uso fácil</v>
      </c>
      <c r="E936" s="29" t="str">
        <f>IFERROR(__xludf.DUMMYFUNCTION("GOOGLETRANSLATE(C936, ""en"", ""pt-br"")"),"Bom, bom produto, bom produto ...., anteriormente eu estava pensando em comprar o orico, mas agora acho que comprar isso foi uma boa decisão, sem contras até agora.,* boa qualidade de construção* fácil de usar* parece bom* Grande velocidade de transferênc"&amp;"ia, faz tudo o que diz, ótimo produto pelo preço., Nice e valor pelo dinheiro")</f>
        <v>Bom, bom produto, bom produto ...., anteriormente eu estava pensando em comprar o orico, mas agora acho que comprar isso foi uma boa decisão, sem contras até agora.,* boa qualidade de construção* fácil de usar* parece bom* Grande velocidade de transferência, faz tudo o que diz, ótimo produto pelo preço., Nice e valor pelo dinheiro</v>
      </c>
    </row>
    <row r="937">
      <c r="A937" s="9" t="s">
        <v>3715</v>
      </c>
      <c r="B937" s="29" t="str">
        <f>VLOOKUP(dados!A937, reviews!A:G, 5, FALSE)</f>
        <v>Awesome speed,Speed in range 7** MBps to 9** MBps on MBP,Handy and fast,Great !,Simply wow,Overprice,very costaly,Speed is fast but....files get corrupt,Does what ot says!</v>
      </c>
      <c r="C937" s="29" t="str">
        <f>VLOOKUP(dados!A937, reviews!A:G, 6, FALSE)</f>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v>
      </c>
      <c r="D937" s="29" t="str">
        <f>IFERROR(__xludf.DUMMYFUNCTION("GOOGLETRANSLATE(B937, ""en"", ""pt-br"")"),"Velocidade impressionante, velocidade no alcance 7 ** Mbps a 9 ** Mbps no MBP, prático e rápido, ótimo!, Simplesmente uau, o excesso de preço, muito costalia, a velocidade é rápida, mas ... os arquivos ficam corruptos, faz o que o OT diz!")</f>
        <v>Velocidade impressionante, velocidade no alcance 7 ** Mbps a 9 ** Mbps no MBP, prático e rápido, ótimo!, Simplesmente uau, o excesso de preço, muito costalia, a velocidade é rápida, mas ... os arquivos ficam corruptos, faz o que o OT diz!</v>
      </c>
      <c r="E937" s="29" t="str">
        <f>IFERROR(__xludf.DUMMYFUNCTION("GOOGLETRANSLATE(C937, ""en"", ""pt-br"")"),"Sandisk 1TB Extreme Pro Portable SSD 2000MB/S R/Configure vencedicamente o disco com o software de disco SAN embutido. A velocidade foi patética e, após alguma depuração, encontrou culpado no formato padrão do EXFAT. Reformatado para APFs (criptografado) "&amp;"para recursos seguros semelhantes sem compreender recursos. Surpreso ao ver um salto drástico no desempenho .Exfat - A gravação de 48 GB falhou após 30 minutos. O MBPS no MBP como Thunderbolt 4 funcionará apenas como o modo 10 Gbps (USB 3.1) em vez de 20 "&amp;"Gbps (USB 3.2), Bom, Sandisk é sempre excelente! Embora esta revisão seja sobre Sandisk Extreme, que funciona de maneira excelente, é doloroso notar que isso não pode ser usado no meu iPad Pro (custando mais do que um rúpias lacas), enquanto essa resposta"&amp;" à minha guia Samsung de Rs.25000 (sem ajuda de ajuda de Computador ou PC) perfeitamente. Vergonha para a Apple!, Estou usando este dispositivo no passado 1 mês e a velocidade de leitura e gravação é alucinante. Gostei especialmente de sua portabilidade, "&amp;"bem como é fácil de transportar e você pode usar este dispositivo no seu celular ou laptop. É à prova d'água e muito robusto. Eu uso este dispositivo para meu uso diário. Obrigado Sandisk por fazer este dispositivo, se chegasse a Rs 5000, a família do mei"&amp;"o seria capaz de comprá -lo facilmente., A velocidade é muito rápida. Mas ele corrompe o arquivo de vídeo. Quando eu baixarei os arquivos de vídeo diretamente neste unidade (da internet), ficam corrompidos., Parceiro de viagem perfeito para não ter espaço"&amp;" na minha bolsa.")</f>
        <v>Sandisk 1TB Extreme Pro Portable SSD 2000MB/S R/Configure vencedicamente o disco com o software de disco SAN embutido. A velocidade foi patética e, após alguma depuração, encontrou culpado no formato padrão do EXFAT. Reformatado para APFs (criptografado) para recursos seguros semelhantes sem compreender recursos. Surpreso ao ver um salto drástico no desempenho .Exfat - A gravação de 48 GB falhou após 30 minutos. O MBPS no MBP como Thunderbolt 4 funcionará apenas como o modo 10 Gbps (USB 3.1) em vez de 20 Gbps (USB 3.2), Bom, Sandisk é sempre excelente! Embora esta revisão seja sobre Sandisk Extreme, que funciona de maneira excelente, é doloroso notar que isso não pode ser usado no meu iPad Pro (custando mais do que um rúpias lacas), enquanto essa resposta à minha guia Samsung de Rs.25000 (sem ajuda de ajuda de Computador ou PC) perfeitamente. Vergonha para a Apple!, Estou usando este dispositivo no passado 1 mês e a velocidade de leitura e gravação é alucinante. Gostei especialmente de sua portabilidade, bem como é fácil de transportar e você pode usar este dispositivo no seu celular ou laptop. É à prova d'água e muito robusto. Eu uso este dispositivo para meu uso diário. Obrigado Sandisk por fazer este dispositivo, se chegasse a Rs 5000, a família do meio seria capaz de comprá -lo facilmente., A velocidade é muito rápida. Mas ele corrompe o arquivo de vídeo. Quando eu baixarei os arquivos de vídeo diretamente neste unidade (da internet), ficam corrompidos., Parceiro de viagem perfeito para não ter espaço na minha bolsa.</v>
      </c>
    </row>
    <row r="938">
      <c r="A938" s="9" t="s">
        <v>3721</v>
      </c>
      <c r="B938" s="29" t="str">
        <f>VLOOKUP(dados!A938, reviews!A:G, 5, FALSE)</f>
        <v>A beautiful experience in your budget. The volume controller was new for me but it works as a charm.,USB speakers,Nice for the price,Worth the money,Good product,No disable light feature,Please improve sound quality and more,Better at Price</v>
      </c>
      <c r="C938" s="29" t="str">
        <f>VLOOKUP(dados!A938, reviews!A:G, 6, FALSE)</f>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v>
      </c>
      <c r="D938" s="29" t="str">
        <f>IFERROR(__xludf.DUMMYFUNCTION("GOOGLETRANSLATE(B938, ""en"", ""pt-br"")"),"Uma bela experiência em seu orçamento. O controlador de volume era novo para mim, mas funciona como um charme., Alto -falantes USB, bom para o preço, vale o dinheiro, bom produto, nenhum recurso de desativar luz, melhorar a qualidade do som e muito mais, "&amp;"melhor no preço")</f>
        <v>Uma bela experiência em seu orçamento. O controlador de volume era novo para mim, mas funciona como um charme., Alto -falantes USB, bom para o preço, vale o dinheiro, bom produto, nenhum recurso de desativar luz, melhorar a qualidade do som e muito mais, melhor no preço</v>
      </c>
      <c r="E938" s="29" t="str">
        <f>IFERROR(__xludf.DUMMYFUNCTION("GOOGLETRANSLATE(C938, ""en"", ""pt-br"")"),"A qualidade do som a esse preço é inacreditável. As luzes que mudam de cor a princípio podem ser perturbadoras, mas você se acostuma e funciona lindamente com o PC e o laptop., Está tudo bem., Pelo preço, essa é uma boa compra., Pequenos e fofos alto -fal"&amp;"antes com boa qualidade de som. , a qualidade do som é realmente boa para essa faixa de preço, ótima qualidade de som, se eles tivessem uma opção para desativar as luzes, fica irritante depois de algum tempo ,,")</f>
        <v>A qualidade do som a esse preço é inacreditável. As luzes que mudam de cor a princípio podem ser perturbadoras, mas você se acostuma e funciona lindamente com o PC e o laptop., Está tudo bem., Pelo preço, essa é uma boa compra., Pequenos e fofos alto -falantes com boa qualidade de som. , a qualidade do som é realmente boa para essa faixa de preço, ótima qualidade de som, se eles tivessem uma opção para desativar as luzes, fica irritante depois de algum tempo ,,</v>
      </c>
    </row>
    <row r="939">
      <c r="A939" s="9" t="s">
        <v>3725</v>
      </c>
      <c r="B939" s="29" t="str">
        <f>VLOOKUP(dados!A939, reviews!A:G, 5, FALSE)</f>
        <v>Easy to use,Working fine - but errors while using USB and Ethernet adapter together.,Speed is just awesome go for it,Best price to buy,Awesome product,Overall good,Drains battery if you use on smartphones,Excellent product but it has 1 major and 1 minor inconvenience</v>
      </c>
      <c r="C939" s="29" t="str">
        <f>VLOOKUP(dados!A939, reviews!A:G, 6, FALSE)</f>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It’s compatible with all. It’s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I’m working at night.2) The cable is flat, which is like a double-edged sword. On one hand, it comes in handy when folding it on itself and redacting into the body. But when it’s not hidden and used with a laptop, with the adapter being visible, the flat cable folded sideways looks ugly.The product would’ve been a perfect 5/5 if TP Link didn’t make these strange design decisions. Hope this helps. Thanks.</v>
      </c>
      <c r="D939" s="29" t="str">
        <f>IFERROR(__xludf.DUMMYFUNCTION("GOOGLETRANSLATE(B939, ""en"", ""pt-br"")"),"Fácil de usar, funcionando bem - mas erros enquanto usa o adaptador USB e Ethernet juntos., A velocidade é simplesmente incrível, vá em frente, o melhor preço de comprar, produto incrível, bom bem, drena a bateria se você usar smartphones, excelente produ"&amp;"to, mas ele tem 1 maior e 1 menor inconveniente")</f>
        <v>Fácil de usar, funcionando bem - mas erros enquanto usa o adaptador USB e Ethernet juntos., A velocidade é simplesmente incrível, vá em frente, o melhor preço de comprar, produto incrível, bom bem, drena a bateria se você usar smartphones, excelente produto, mas ele tem 1 maior e 1 menor inconveniente</v>
      </c>
      <c r="E939" s="29" t="str">
        <f>IFERROR(__xludf.DUMMYFUNCTION("GOOGLETRANSLATE(C939, ""en"", ""pt-br"")"),"Com boa aparência, funcionando bem., Eu trouxe isso principalmente porque meu laptop Lenovo (Windows 11) possui apenas uma porta USB 3, sem slot Ethernet e uma porta C-Connector. Port USB Hub e Adaptador Ethernet Gigabit, usei isso para a conectividade Et"&amp;"hernet à minha rede de escritório. Simultaneamente, eu estava usando as portas USB no hub para conectividade do meu mouse sem fio e uma porta para disco rígido externo. Isso me deu problemas continuamente com a conectividade do mouse ou do HDD. Recebi err"&amp;"os como o dispositivo USB não detectado etc. Por um momento, eu estava tentando devolver o produto, mas desde que entreguei isso em Mumbai no meu escritório e depois voltei para casa em Karnataka, ele se recusou a processar o retorno em uma cidade diferen"&amp;"te. Agora está funcionando bem, está funcionando bem, Como não preciso de Ethernet em casa. A velocidade é mais do que sem fio, não sou usada, pois restrita no meu sistema., Usei -o com o laptop HP e Dell. É compatível com todos. É plug and play e fácil d"&amp;"e usar., Bom produto, funciona perfeitamente, uma marca confiável e confiável, com um design conveniente com um slot para dobrar o cabo. Funciona e funciona bem sempre. É um grande aborrecimento quando estou trabalhando à noite.2) O cabo é plano, o que é "&amp;"como uma faca de dois gumes. Por um lado, é útil ao dobrá -lo em si mesmo e redigir no corpo. Mas quando não está escondido e usado com um laptop, com o adaptador sendo visível, o cabo plano dobrado para o lado parecem feios. O produto seria um 5/5 perfei"&amp;"to se o link TP não fizesse essas decisões estranhas de design. Espero que isto ajude. Obrigado.")</f>
        <v>Com boa aparência, funcionando bem., Eu trouxe isso principalmente porque meu laptop Lenovo (Windows 11) possui apenas uma porta USB 3, sem slot Ethernet e uma porta C-Connector. Port USB Hub e Adaptador Ethernet Gigabit, usei isso para a conectividade Ethernet à minha rede de escritório. Simultaneamente, eu estava usando as portas USB no hub para conectividade do meu mouse sem fio e uma porta para disco rígido externo. Isso me deu problemas continuamente com a conectividade do mouse ou do HDD. Recebi erros como o dispositivo USB não detectado etc. Por um momento, eu estava tentando devolver o produto, mas desde que entreguei isso em Mumbai no meu escritório e depois voltei para casa em Karnataka, ele se recusou a processar o retorno em uma cidade diferente. Agora está funcionando bem, está funcionando bem, Como não preciso de Ethernet em casa. A velocidade é mais do que sem fio, não sou usada, pois restrita no meu sistema., Usei -o com o laptop HP e Dell. É compatível com todos. É plug and play e fácil de usar., Bom produto, funciona perfeitamente, uma marca confiável e confiável, com um design conveniente com um slot para dobrar o cabo. Funciona e funciona bem sempre. É um grande aborrecimento quando estou trabalhando à noite.2) O cabo é plano, o que é como uma faca de dois gumes. Por um lado, é útil ao dobrá -lo em si mesmo e redigir no corpo. Mas quando não está escondido e usado com um laptop, com o adaptador sendo visível, o cabo plano dobrado para o lado parecem feios. O produto seria um 5/5 perfeito se o link TP não fizesse essas decisões estranhas de design. Espero que isto ajude. Obrigado.</v>
      </c>
    </row>
    <row r="940">
      <c r="A940" s="9" t="s">
        <v>285</v>
      </c>
      <c r="B940" s="29" t="str">
        <f>VLOOKUP(dados!A940, reviews!A:G, 5, FALSE)</f>
        <v>A well-priced product.,Lenthy cord.,Product is working as expected.,Lengthy cable, works for car dashcam,Product is okay but they give 50rs for giving 5 stars.,Misleading length (1.2m), rest fine,Good Product,Good</v>
      </c>
      <c r="C940" s="29" t="str">
        <f>VLOOKUP(dados!A940, reviews!A:G, 6, FALSE)</f>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v>
      </c>
      <c r="D940" s="29" t="str">
        <f>IFERROR(__xludf.DUMMYFUNCTION("GOOGLETRANSLATE(B940, ""en"", ""pt-br"")"),"Um produto bem com preços., Lenthy Cord., O produto está funcionando como esperado., Cabo longo, trabalha para o carro, o produto é bom, mas eles dão 50rs para dar 5 estrelas., Comprimento enganoso (1,2m), descanse bem, bom Produto, bom")</f>
        <v>Um produto bem com preços., Lenthy Cord., O produto está funcionando como esperado., Cabo longo, trabalha para o carro, o produto é bom, mas eles dão 50rs para dar 5 estrelas., Comprimento enganoso (1,2m), descanse bem, bom Produto, bom</v>
      </c>
      <c r="E940" s="29" t="str">
        <f>IFERROR(__xludf.DUMMYFUNCTION("GOOGLETRANSLATE(C940, ""en"", ""pt-br"")"),"Estou escrevendo esta resenha após 2 meses, o primeiro cabo teve um corte e teve que ser substituído, o segundo cabo está funcionando bem, sem problemas, usando -o para me cobrar do controlador PS3, funciona bem, a um bom preço, planejando escolher Outro "&amp;"como um sobressalente., Produto OK., Comprei este cabo para carregar meu alto -falante Bluetooth de 10W e seu funcionamento como esperado., É demorado e utilizável para o carro de carro. A qualidade é média e a extremidade micro tipo B fica muito apertada"&amp;". Caso contrário, tudo é bom. Mas continue verificando o preço do Amazon Basics Cable desse tipo, o preço cai muitas vezes. Essa é a melhor qualidade., Este é um dos bons produtos nessa faixa de preço. A qualidade é boa, usá -lo para o meu bloco de refrig"&amp;"eração do laptop. A construção geral parece resistente, mas a longevidade não pode confirmar. Além disso, você não pode conectar 2 PCs usando um USB masculino para masculino. Não é assim que funciona. Pare de escrever críticas negativas depois de usar est"&amp;"e cabo para algo para o qual ele não se destinou. Pode confirmar que é ~ 1,2 m como a maioria dos outros produtos e não 1,5 milhão, como o vendedor reivindica tanto no título quanto em adesivos no produto. esse. Mas eu precisava de um comprimento de 1,5 m"&amp;" para uso perfeito. Tão decepcionado como tenho que girar a almofada de resfriamento e usá -lo (a cabo fica curto em cerca de 15 cm)., Funciona bem. O cabo é macio e flexível. Com toda a probabilidade, também durará muito., Mas a qualidade do pobre")</f>
        <v>Estou escrevendo esta resenha após 2 meses, o primeiro cabo teve um corte e teve que ser substituído, o segundo cabo está funcionando bem, sem problemas, usando -o para me cobrar do controlador PS3, funciona bem, a um bom preço, planejando escolher Outro como um sobressalente., Produto OK., Comprei este cabo para carregar meu alto -falante Bluetooth de 10W e seu funcionamento como esperado., É demorado e utilizável para o carro de carro. A qualidade é média e a extremidade micro tipo B fica muito apertada. Caso contrário, tudo é bom. Mas continue verificando o preço do Amazon Basics Cable desse tipo, o preço cai muitas vezes. Essa é a melhor qualidade., Este é um dos bons produtos nessa faixa de preço. A qualidade é boa, usá -lo para o meu bloco de refrigeração do laptop. A construção geral parece resistente, mas a longevidade não pode confirmar. Além disso, você não pode conectar 2 PCs usando um USB masculino para masculino. Não é assim que funciona. Pare de escrever críticas negativas depois de usar este cabo para algo para o qual ele não se destinou. Pode confirmar que é ~ 1,2 m como a maioria dos outros produtos e não 1,5 milhão, como o vendedor reivindica tanto no título quanto em adesivos no produto. esse. Mas eu precisava de um comprimento de 1,5 m para uso perfeito. Tão decepcionado como tenho que girar a almofada de resfriamento e usá -lo (a cabo fica curto em cerca de 15 cm)., Funciona bem. O cabo é macio e flexível. Com toda a probabilidade, também durará muito., Mas a qualidade do pobre</v>
      </c>
    </row>
    <row r="941">
      <c r="A941" s="9" t="s">
        <v>3732</v>
      </c>
      <c r="B941" s="29" t="str">
        <f>VLOOKUP(dados!A941, reviews!A:G, 5, FALSE)</f>
        <v>Great Customer care experience..!!,Best in budget earbuds with some quality,Extremely high value for money,Worth for money and great listening experience.,Battery backup,A valuable product,So so,Great buy!</v>
      </c>
      <c r="C941" s="29" t="str">
        <f>VLOOKUP(dados!A941, reviews!A:G, 6, FALSE)</f>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v>
      </c>
      <c r="D941" s="29" t="str">
        <f>IFERROR(__xludf.DUMMYFUNCTION("GOOGLETRANSLATE(B941, ""en"", ""pt-br"")"),"Ótima experiência em atendimento ao cliente .. !!, melhor em fones de ouvido com algum valor, valor extremamente alto pelo dinheiro, valor por dinheiro e ótima experiência de audição., Backup de bateria, um produto valioso, então, ótima compra!")</f>
        <v>Ótima experiência em atendimento ao cliente .. !!, melhor em fones de ouvido com algum valor, valor extremamente alto pelo dinheiro, valor por dinheiro e ótima experiência de audição., Backup de bateria, um produto valioso, então, ótima compra!</v>
      </c>
      <c r="E941" s="29" t="str">
        <f>IFERROR(__xludf.DUMMYFUNCTION("GOOGLETRANSLATE(C941, ""en"", ""pt-br"")"),"Encomendei este produto há 1 semana na Amazon, mas depois recebi uma peça defeituosa, o carregador de estojo estava com defeito, então entrei em contato com o atendimento ao cliente e eles concordaram em substituí -lo ... após a confirmação da peça defeit"&amp;"uosa, dentro de 4 dias recebi meu pacote de substituição E desta vez está cobrando bem ... espero não ter que editar isso e permanecer comigo por um longo tempo!, Bons fones de ouvido a preço baixo. imagens. Somente o isolamento de ruído está presente. Us"&amp;"ou -o por uma semana sem carregar. Não há problemas de carregamento. A qualidade da construção é de plástico e pode sentir. Mas ok por até 2 horas. Não, não, sem médio, sem mínimos. Mas estão ativados estéreo. Um não pode esperar uma qualidade de Bose ou "&amp;"Apple a 4% de seu preço. Então, finalmente a justiça feita pelo preço pago. Se não se quiser gastar alto, não se pode esperar uma qualidade melhor do que Isso., Na maioria das vezes, você encontra TWBs caros ou não se encaixam bem, ou um tem um problema c"&amp;"om a qualidade do som. Mas neste preço esses brotos são excepcionais. Eu os comprei para uso durante a noite antes de dormir. .. Eles não saem do seu ouvido, deixando confortável dormir. A qualidade do som é decente, sem erros nos médios e a qualidade da "&amp;"voz sobre chamadas é boa., Prós: 1) A qualidade geral do som é melhor do que outras marcas. O baixo é bom. Vá em frente, se você tem ouvidos para uma boa audição. As distinções são boas.2) É confortável e se encaixa no ouvido para audiência casual.3) A ba"&amp;"teria dura muito. Uso suporto por 2-3 horas por dia. E cobrar uma vez por semana ou 10 dias uma vez.CONS: 1) Não recomendado para chamadas. O cancelamento de ruído para chamadas é ruim.2) Não é confortável para atividades esportivas. Principalmente se enc"&amp;"aixa bem, mas comparativamente desliza facilmente, do que as tradicionais projetadas.3) Os controles de toque são desconfortáveis, pois o ponto de toque está acima do ponto de audição., Sabhi Kuch Accha Hai Lakin Backup May Kamjor Hai, 50% Kay Bad Bhaut J"&amp;"adi Battery khatam hote hai.baki sab kuch accha hai., um produto muito bom até que eu tenha usado .. mantenha -o, eu gostei, mas não estava à altura das minhas esperanças, pois parou de funcionar logo após o fechamento da janela, sinto que não está Vale a"&amp;" pena gastar INR 5.000 a 20.000, este produto é definitivamente o melhor do mercado nessa faixa de preço. Minha expectativa com este produto foi simples: oferecer um bom cancelamento de ruído e backup de bateria atualizado, que é entregue. nos últimos 3 m"&amp;"eses., exceto por algumas flutuações enquanto ouve música. Usou -o para chamadas e jogos, e estou satisfeito. Requisito, mas na minha experiência de usar diferentes tipos de produtos, senti a necessidade de uma sala silenciosa com o objetivo de chamar.")</f>
        <v>Encomendei este produto há 1 semana na Amazon, mas depois recebi uma peça defeituosa, o carregador de estojo estava com defeito, então entrei em contato com o atendimento ao cliente e eles concordaram em substituí -lo ... após a confirmação da peça defeituosa, dentro de 4 dias recebi meu pacote de substituição E desta vez está cobrando bem ... espero não ter que editar isso e permanecer comigo por um longo tempo!, Bons fones de ouvido a preço baixo. imagens. Somente o isolamento de ruído está presente. Usou -o por uma semana sem carregar. Não há problemas de carregamento. A qualidade da construção é de plástico e pode sentir. Mas ok por até 2 horas. Não, não, sem médio, sem mínimos. Mas estão ativados estéreo. Um não pode esperar uma qualidade de Bose ou Apple a 4% de seu preço. Então, finalmente a justiça feita pelo preço pago. Se não se quiser gastar alto, não se pode esperar uma qualidade melhor do que Isso., Na maioria das vezes, você encontra TWBs caros ou não se encaixam bem, ou um tem um problema com a qualidade do som. Mas neste preço esses brotos são excepcionais. Eu os comprei para uso durante a noite antes de dormir. .. Eles não saem do seu ouvido, deixando confortável dormir. A qualidade do som é decente, sem erros nos médios e a qualidade da voz sobre chamadas é boa., Prós: 1) A qualidade geral do som é melhor do que outras marcas. O baixo é bom. Vá em frente, se você tem ouvidos para uma boa audição. As distinções são boas.2) É confortável e se encaixa no ouvido para audiência casual.3) A bateria dura muito. Uso suporto por 2-3 horas por dia. E cobrar uma vez por semana ou 10 dias uma vez.CONS: 1) Não recomendado para chamadas. O cancelamento de ruído para chamadas é ruim.2) Não é confortável para atividades esportivas. Principalmente se encaixa bem, mas comparativamente desliza facilmente, do que as tradicionais projetadas.3) Os controles de toque são desconfortáveis, pois o ponto de toque está acima do ponto de audição., Sabhi Kuch Accha Hai Lakin Backup May Kamjor Hai, 50% Kay Bad Bhaut Jadi Battery khatam hote hai.baki sab kuch accha hai., um produto muito bom até que eu tenha usado .. mantenha -o, eu gostei, mas não estava à altura das minhas esperanças, pois parou de funcionar logo após o fechamento da janela, sinto que não está Vale a pena gastar INR 5.000 a 20.000, este produto é definitivamente o melhor do mercado nessa faixa de preço. Minha expectativa com este produto foi simples: oferecer um bom cancelamento de ruído e backup de bateria atualizado, que é entregue. nos últimos 3 meses., exceto por algumas flutuações enquanto ouve música. Usou -o para chamadas e jogos, e estou satisfeito. Requisito, mas na minha experiência de usar diferentes tipos de produtos, senti a necessidade de uma sala silenciosa com o objetivo de chamar.</v>
      </c>
    </row>
    <row r="942">
      <c r="A942" s="9" t="s">
        <v>3736</v>
      </c>
      <c r="B942" s="29" t="str">
        <f>VLOOKUP(dados!A942, reviews!A:G, 5, FALSE)</f>
        <v>Good,Excellent quality but mouse is small for my average hand,Very good product,Good combo,Not bad,Okay for this price range,Easy to connect, good looking, value for money, easy to type and click,Good</v>
      </c>
      <c r="C942" s="29" t="str">
        <f>VLOOKUP(dados!A942, reviews!A:G, 6, FALSE)</f>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v>
      </c>
      <c r="D942" s="29" t="str">
        <f>IFERROR(__xludf.DUMMYFUNCTION("GOOGLETRANSLATE(B942, ""en"", ""pt-br"")"),"Boa, excelente qualidade, mas o mouse é pequeno para minha mão média, produto muito bom, boa combinação, nada mal, ok para essa faixa de preço, fácil de conectar, boa aparência, valor para dinheiro, fácil de digitar e clicar, bom")</f>
        <v>Boa, excelente qualidade, mas o mouse é pequeno para minha mão média, produto muito bom, boa combinação, nada mal, ok para essa faixa de preço, fácil de conectar, boa aparência, valor para dinheiro, fácil de digitar e clicar, bom</v>
      </c>
      <c r="E942" s="29" t="str">
        <f>IFERROR(__xludf.DUMMYFUNCTION("GOOGLETRANSLATE(C942, ""en"", ""pt-br"")"),"A cobertura aberta do mouse era pouco menos de qualidade, excelente teclado. As chaves são grandes e confortáveis. O teclado é super silencioso. O teclado é o Compacter Tahn, um teclado em tamanho real. Somente o golpe é o mouse, que é super pequeno, mesm"&amp;"o para a minha palmeira de tamanho médio. Caso contrário, o mouse é suave somente depois que você treme as configurações do mouse nas configurações do Windows e somente em superfícies lisas. Em um tapete de computador, seria um pouco macio e áspero. Só go"&amp;"staria que o mouse fosse um pouco maior., Eu amo este produto. Muito bom. Funciona muito bem., A combinação de mouse e teclado é realmente boa de qualidade. A viagem principal é realmente ótima neles. Embora tivesse sido ótimo se o mouse tivesse sido um p"&amp;"ouco eficiente em termos de energia como o teclado, pois consome a bateria AAA única. Também teria gostado de um interruptor de energia no teclado., Algumas vezes ocorre o problema de conexão BluTooth, antes de tudo, como nessa faixa de preço, é muito bom"&amp;", mas o conforto ao pressionar as chaves não é bom ... se pressionarmos uma tecla automaticamente, ele tocando outro Chave sem qualquer intenção ... você pode comprá -lo por 1k, mas acima de você pode usar produtos Logitech ..., fácil de conectar, de boa "&amp;"aparência, valor de dinheiro, fácil de digitar e clicar, bom")</f>
        <v>A cobertura aberta do mouse era pouco menos de qualidade, excelente teclado. As chaves são grandes e confortáveis. O teclado é super silencioso. O teclado é o Compacter Tahn, um teclado em tamanho real. Somente o golpe é o mouse, que é super pequeno, mesmo para a minha palmeira de tamanho médio. Caso contrário, o mouse é suave somente depois que você treme as configurações do mouse nas configurações do Windows e somente em superfícies lisas. Em um tapete de computador, seria um pouco macio e áspero. Só gostaria que o mouse fosse um pouco maior., Eu amo este produto. Muito bom. Funciona muito bem., A combinação de mouse e teclado é realmente boa de qualidade. A viagem principal é realmente ótima neles. Embora tivesse sido ótimo se o mouse tivesse sido um pouco eficiente em termos de energia como o teclado, pois consome a bateria AAA única. Também teria gostado de um interruptor de energia no teclado., Algumas vezes ocorre o problema de conexão BluTooth, antes de tudo, como nessa faixa de preço, é muito bom, mas o conforto ao pressionar as chaves não é bom ... se pressionarmos uma tecla automaticamente, ele tocando outro Chave sem qualquer intenção ... você pode comprá -lo por 1k, mas acima de você pode usar produtos Logitech ..., fácil de conectar, de boa aparência, valor de dinheiro, fácil de digitar e clicar, bom</v>
      </c>
    </row>
    <row r="943">
      <c r="A943" s="9" t="s">
        <v>3740</v>
      </c>
      <c r="B943" s="29" t="str">
        <f>VLOOKUP(dados!A943, reviews!A:G, 5, FALSE)</f>
        <v>Value for money,Ink,Great,Best in the Market,Value for money,It's Awesome,Very good ink as expected 😊,Very good product</v>
      </c>
      <c r="C943" s="29" t="str">
        <f>VLOOKUP(dados!A943, reviews!A:G, 6, FALSE)</f>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cañon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 And genuine product. And my g3010 printing is fine. No head problem. Thank you seller for good packing and amazon .,Very good product I always use it</v>
      </c>
      <c r="D943" s="29" t="str">
        <f>IFERROR(__xludf.DUMMYFUNCTION("GOOGLETRANSLATE(B943, ""en"", ""pt-br"")"),"Valor pelo dinheiro, tinta, ótimo, melhor no mercado, valor ao dinheiro, é incrível, muito boa tinta como esperado 😊, muito bom produto")</f>
        <v>Valor pelo dinheiro, tinta, ótimo, melhor no mercado, valor ao dinheiro, é incrível, muito boa tinta como esperado 😊, muito bom produto</v>
      </c>
      <c r="E943" s="29" t="str">
        <f>IFERROR(__xludf.DUMMYFUNCTION("GOOGLETRANSLATE(C943, ""en"", ""pt-br"")"),"+ Bom produto+ barato e melhor para reabastecimento alternativo de tinta+ qualidade de impressão está bem+ bem embalado+ Podemos reabastecer 3 vezes em comparação com a tinta original+ não há diferente entre o original e este+ realmente estou satisfeito+ "&amp;"não desperdice seu dinheiro apenas para as lables da marca, bom tinta de qualidade, como. Estou usando este produto para o Office Cañon Printer., Sem pensar, vá em frente, ele imprime tão bem e você nunca se arrependerá! Peguei em um preço acessível!, Eu "&amp;"os usei antes que eles tenham boa qualidade de impressão e a qualidade da garrafa também é boa. Posso dizer que isso é econômico, neste produto. A qualidade da tinta é muito boa, uma tinta muito boa, conforme esperado 😊. E produto genuíno. E minha impres"&amp;"são G3010 está bem. Sem problema de cabeça. Obrigado vendedor por uma boa embalagem e Amazon., Muito bom produto eu sempre o uso")</f>
        <v>+ Bom produto+ barato e melhor para reabastecimento alternativo de tinta+ qualidade de impressão está bem+ bem embalado+ Podemos reabastecer 3 vezes em comparação com a tinta original+ não há diferente entre o original e este+ realmente estou satisfeito+ não desperdice seu dinheiro apenas para as lables da marca, bom tinta de qualidade, como. Estou usando este produto para o Office Cañon Printer., Sem pensar, vá em frente, ele imprime tão bem e você nunca se arrependerá! Peguei em um preço acessível!, Eu os usei antes que eles tenham boa qualidade de impressão e a qualidade da garrafa também é boa. Posso dizer que isso é econômico, neste produto. A qualidade da tinta é muito boa, uma tinta muito boa, conforme esperado 😊. E produto genuíno. E minha impressão G3010 está bem. Sem problema de cabeça. Obrigado vendedor por uma boa embalagem e Amazon., Muito bom produto eu sempre o uso</v>
      </c>
    </row>
    <row r="944">
      <c r="A944" s="9" t="s">
        <v>3746</v>
      </c>
      <c r="B944" s="29" t="str">
        <f>VLOOKUP(dados!A944, reviews!A:G, 5, FALSE)</f>
        <v>Worthful if offered under 800 INR,Good budget headphone,Excellent headset,Value for money,Not satisfied,The Economical HeadSet,Good Product in Low price,Overall good but not upto the mark</v>
      </c>
      <c r="C944" s="29" t="str">
        <f>VLOOKUP(dados!A944, reviews!A:G, 6, FALSE)</f>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v>
      </c>
      <c r="D944" s="29" t="str">
        <f>IFERROR(__xludf.DUMMYFUNCTION("GOOGLETRANSLATE(B944, ""en"", ""pt-br"")"),"Worthful if offered under 800 INR,Good budget headphone,Excellent headset,Value for money,Not satisfied,The Economical HeadSet,Good Product in Low price,Overall good but not upto the mark")</f>
        <v>Worthful if offered under 800 INR,Good budget headphone,Excellent headset,Value for money,Not satisfied,The Economical HeadSet,Good Product in Low price,Overall good but not upto the mark</v>
      </c>
      <c r="E944" s="29" t="str">
        <f>IFERROR(__xludf.DUMMYFUNCTION("GOOGLETRANSLATE(C944, ""en"", ""pt-br"")"),"Bom produto abaixo de 800it possui 3 potes para fone de ouvido e USB para LED, você precisará de um divisor para o produto LaptopGreat para tutores on -line, como eu também comprei para o mesmo. Tente este produto se estiver procurando por fone de ouvido "&amp;"orçamentário para CPU para jogos e aulas on -line , Fones de ouvido muito decentes. O microfone também é muito bom. A durabilidade precisa de tempo para contar. O último Redgear durou cerca de 2 anos., É tão confortável de usar, eu até tentei o byte cósmi"&amp;"co GS430 da mesma faixa de preço, embora eu ache que esse par seja mais valor para o dinheiro.comfort- eles são confortáveis, os fones de ouvido são muito macio e recomendado se você faz jogos por períodos mais longos. microfone e jack de som. Você precis"&amp;"a comprar um divisor se quiser usar o microfone em um celular. O que notei com outros fones de ouvido é que eles fornecem um único conector para saída de som e microfone. Mas eles vêm com 2 macacos, então isso é um ponto mais. Capaz de descobrir os passos"&amp;", também uso o Windows Sonic para fones de ouvido e isso também ajuda. No entanto, a esse preço não espera uma boa qualidade de som se você ouvir música. O volume máximo parece baixo e o baixo é quase não existente. Os agudos, altos e baixos são feitos be"&amp;"m, mas compre esses pares apenas se sua prioridade estiver jogando e você estiver com um orçamento., Veja que os fones de ouvido são bons se você estiver comprando em 500 a 600 ₹, mas deixe -me dizer que você não tem bom som surround, volume de microfone "&amp;"é muito baixo Você não pode aumentá -lo e nenhum baixo, o fone de ouvido é bom. Sua qualidade de som e qualidade de construção são apreciadas. Ao mesmo tempo, tenho algumas preocupações, antes de tudo, isso oferece muita pressão sobre os dois ouvidos. Ent"&amp;"ão, depois de uma hora, começa a doer. Meu laptop tem uma entrada para áudio. Isso tem dois. Então, você precisa comprar um pino extra para conectá -lo. Caso contrário, vá em frente., Este fone de ouvido é bom em preço baixo, o cancelamento de ruído está "&amp;"funcionando corretamente, você também pode ajustar o volume como sua escolha. Estou usando este fone de ouvido para minha transmissão ao vivo.1 Problema, se sua cabeça for grande, ele se encaixará corretamente em movimento., Este produto é decente. A base"&amp;" é baixa, mas é boa na faixa de preço fornecida")</f>
        <v>Bom produto abaixo de 800it possui 3 potes para fone de ouvido e USB para LED, você precisará de um divisor para o produto LaptopGreat para tutores on -line, como eu também comprei para o mesmo. Tente este produto se estiver procurando por fone de ouvido orçamentário para CPU para jogos e aulas on -line , Fones de ouvido muito decentes. O microfone também é muito bom. A durabilidade precisa de tempo para contar. O último Redgear durou cerca de 2 anos., É tão confortável de usar, eu até tentei o byte cósmico GS430 da mesma faixa de preço, embora eu ache que esse par seja mais valor para o dinheiro.comfort- eles são confortáveis, os fones de ouvido são muito macio e recomendado se você faz jogos por períodos mais longos. microfone e jack de som. Você precisa comprar um divisor se quiser usar o microfone em um celular. O que notei com outros fones de ouvido é que eles fornecem um único conector para saída de som e microfone. Mas eles vêm com 2 macacos, então isso é um ponto mais. Capaz de descobrir os passos, também uso o Windows Sonic para fones de ouvido e isso também ajuda. No entanto, a esse preço não espera uma boa qualidade de som se você ouvir música. O volume máximo parece baixo e o baixo é quase não existente. Os agudos, altos e baixos são feitos bem, mas compre esses pares apenas se sua prioridade estiver jogando e você estiver com um orçamento., Veja que os fones de ouvido são bons se você estiver comprando em 500 a 600 ₹, mas deixe -me dizer que você não tem bom som surround, volume de microfone é muito baixo Você não pode aumentá -lo e nenhum baixo, o fone de ouvido é bom. Sua qualidade de som e qualidade de construção são apreciadas. Ao mesmo tempo, tenho algumas preocupações, antes de tudo, isso oferece muita pressão sobre os dois ouvidos. Então, depois de uma hora, começa a doer. Meu laptop tem uma entrada para áudio. Isso tem dois. Então, você precisa comprar um pino extra para conectá -lo. Caso contrário, vá em frente., Este fone de ouvido é bom em preço baixo, o cancelamento de ruído está funcionando corretamente, você também pode ajustar o volume como sua escolha. Estou usando este fone de ouvido para minha transmissão ao vivo.1 Problema, se sua cabeça for grande, ele se encaixará corretamente em movimento., Este produto é decente. A base é baixa, mas é boa na faixa de preço fornecida</v>
      </c>
    </row>
    <row r="945">
      <c r="A945" s="9" t="s">
        <v>289</v>
      </c>
      <c r="B945" s="29" t="str">
        <f>VLOOKUP(dados!A945, reviews!A:G, 5, FALSE)</f>
        <v>Its ok product not too good not bad,Cheap and best,Performance,Works well,Not working with Fast Charger,This Type-C cable is awesome😍.,Does not support display,Good</v>
      </c>
      <c r="C945" s="29" t="str">
        <f>VLOOKUP(dados!A945, reviews!A:G, 6, FALSE)</f>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v>
      </c>
      <c r="D945" s="29" t="str">
        <f>IFERROR(__xludf.DUMMYFUNCTION("GOOGLETRANSLATE(B945, ""en"", ""pt-br"")"),"Seu produto OK não é muito bom não ruim, barato e melhor, desempenho, funciona bem, não trabalhando com carregador rápido, este cabo Tipo C é incrível😍., Não suporta tela, bom")</f>
        <v>Seu produto OK não é muito bom não ruim, barato e melhor, desempenho, funciona bem, não trabalhando com carregador rápido, este cabo Tipo C é incrível😍., Não suporta tela, bom</v>
      </c>
      <c r="E945" s="29" t="str">
        <f>IFERROR(__xludf.DUMMYFUNCTION("GOOGLETRANSLATE(C945, ""en"", ""pt-br"")"),"Não é muito bom não tão ruim, se você tem a confiança do básico da Amazon, vá em frente. Estou escrevendo esta resenha depois de usá -la por 18 meses. Ainda tão resistente e durável quanto o novo., Nil, o usou por quinze dias até agora no meu carro por co"&amp;"brança móvel. Funciona bem., Não trabalhando com o Fast Charger, se você planeja usar com carregador normal, é muito bom. Qualidade do produto também é bom., Estou usando esse cabo desde 1 ano e atualmente este cabo está funcionando perfeitamente sem prob"&amp;"lemas. para conectar rede e carregamento, bom e útil")</f>
        <v>Não é muito bom não tão ruim, se você tem a confiança do básico da Amazon, vá em frente. Estou escrevendo esta resenha depois de usá -la por 18 meses. Ainda tão resistente e durável quanto o novo., Nil, o usou por quinze dias até agora no meu carro por cobrança móvel. Funciona bem., Não trabalhando com o Fast Charger, se você planeja usar com carregador normal, é muito bom. Qualidade do produto também é bom., Estou usando esse cabo desde 1 ano e atualmente este cabo está funcionando perfeitamente sem problemas. para conectar rede e carregamento, bom e útil</v>
      </c>
    </row>
    <row r="946">
      <c r="A946" s="9" t="s">
        <v>3751</v>
      </c>
      <c r="B946" s="29" t="str">
        <f>VLOOKUP(dados!A946, reviews!A:G, 5, FALSE)</f>
        <v>Good material, fast charging,Costly but good product,Support type c super fast charging,Good quality,Sturdy cable &amp; has decent charging capabilities.,Good buy.,Gud product.,Very good product</v>
      </c>
      <c r="C946" s="29" t="str">
        <f>VLOOKUP(dados!A946, reviews!A:G, 6, FALSE)</f>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v>
      </c>
      <c r="D946" s="29" t="str">
        <f>IFERROR(__xludf.DUMMYFUNCTION("GOOGLETRANSLATE(B946, ""en"", ""pt-br"")"),"Bom material, carregamento rápido, produto caro, mas bom, suporte super C, de boa qualidade, cabo de boa qualidade e recursos de carregamento decente., Boa compra., Produto Gud.")</f>
        <v>Bom material, carregamento rápido, produto caro, mas bom, suporte super C, de boa qualidade, cabo de boa qualidade e recursos de carregamento decente., Boa compra., Produto Gud.</v>
      </c>
      <c r="E946" s="29" t="str">
        <f>IFERROR(__xludf.DUMMYFUNCTION("GOOGLETRANSLATE(C946, ""en"", ""pt-br"")"),"OS Material OS muito bom, inicialmente cobra muito rápido, mas após 7 meses viu uma diferença na velocidade, entrei em contato com o vendedor para garantir, dentro de 1 dia eles me entregaram um novo sem nenhum custo. Seja um pouco macio ... é muito difíc"&amp;"il de dobrá -lo, o produto é bom, mas eu preciso de substituição o mais rápido possível. Porque parou de funcionar., O cabo é fisicamente resiliente e parece bom também. O cabo parou de funcionar em 7 meses - contatou o suporte ao cliente e garantiu uma s"&amp;"ubstituição em breve. Em suma, uma reivindicação de garantia sem complicações.")</f>
        <v>OS Material OS muito bom, inicialmente cobra muito rápido, mas após 7 meses viu uma diferença na velocidade, entrei em contato com o vendedor para garantir, dentro de 1 dia eles me entregaram um novo sem nenhum custo. Seja um pouco macio ... é muito difícil de dobrá -lo, o produto é bom, mas eu preciso de substituição o mais rápido possível. Porque parou de funcionar., O cabo é fisicamente resiliente e parece bom também. O cabo parou de funcionar em 7 meses - contatou o suporte ao cliente e garantiu uma substituição em breve. Em suma, uma reivindicação de garantia sem complicações.</v>
      </c>
    </row>
    <row r="947">
      <c r="A947" s="9" t="s">
        <v>3755</v>
      </c>
      <c r="B947" s="29" t="str">
        <f>VLOOKUP(dados!A947, reviews!A:G, 5, FALSE)</f>
        <v>Not a disappointment, but can be better,IT IS NOT A BAD IDEA TO SPEND YOUR MONEY ON THIS SMART WATCH,Nice quality,Display is awsome,Sleep tracking</v>
      </c>
      <c r="C947" s="29" t="str">
        <f>VLOOKUP(dados!A947, reviews!A:G, 6, FALSE)</f>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v>
      </c>
      <c r="D947" s="29" t="str">
        <f>IFERROR(__xludf.DUMMYFUNCTION("GOOGLETRANSLATE(B947, ""en"", ""pt-br"")"),"Não é uma decepção, mas pode ser melhor, não é uma má idéia gastar seu dinheiro com este relógio inteligente, boa qualidade, exibição é incrível, rastreamento do sono")</f>
        <v>Não é uma decepção, mas pode ser melhor, não é uma má idéia gastar seu dinheiro com este relógio inteligente, boa qualidade, exibição é incrível, rastreamento do sono</v>
      </c>
      <c r="E947" s="29" t="str">
        <f>IFERROR(__xludf.DUMMYFUNCTION("GOOGLETRANSLATE(C947, ""en"", ""pt-br"")"),"3 de janeiro original de 2021: Este é o meu primeiro smartwatch. Comprei algumas bandas de fitness de honra mais cedo para a família, mas este é o meu primeiro pessoal. Eu tenho acompanhado profundamente o espaço do smartwatch nos últimos 10 meses e estou"&amp;" ciente da maioria dos produtos na faixa do orçamento. Embora eu possa pagar um um pouco mais caro (GTS2/GTR2 ou Honor GT2 Pro, Oppo Watch, Fitbit etc) com o recurso de chamada, eu queria ter a sensação de um smartwatch no intervalo de orçamento primeiro."&amp;" Eu pensei muito e finalmente comprei este, pois incluía o GPS e o Amazon Alexa (ainda a serem incluídos, mas devo estar disponível por meio de uma atualização da OTA). Eu adoraria comprar o Amazfit Bip U Pro, pois possui quase os mesmos recursos com uma "&amp;"tela LCD (tem GPS e Alexa na versão global chamada Amazfit Pop Pro). Ele ainda não é lançado em Índia.coming para o desempenho do relógio, os recursos típicos que tentei hoje (primeiro dia) são freqüência cardíaca (HR), SPO2, monitoramento do estresse e G"&amp;"PS. Eu tenho um oxímetro de pulso do Dr. Trust em casa e, portanto, poderia comparar o RH e o SPO2. Os números no relógio não são muito precisos para minha surpresa (variação da frequência cardíaca em 5 a 10 bpm e porcentagem de SPO2 em 10% dos pontos às "&amp;"vezes). Mas ainda sinto que tem mais a ver com a calibração e a maneira como esses números são medidos do que a imprecisão do hardware etc. O GPS foi muito fácil quando eu caminhei no terraço da minha casa rural. Não vai me surpreender se eu não tiver o m"&amp;"esmo desempenho em uma cidade metropolitana com muitos apartamentos altos, etc. A bússola funcionou bem quando eu o comparei com meu telefone. Os controles musicais funcionaram bem, a transferência ou sincronização de dados Bluetooth foi boa. Não consegui"&amp;" controlar a câmera do telefone, pois não conseguia fazer esse recurso funcionar (consulte a imagem e me ajude se puder). Não enfrentei nenhum problema com a vibração do relógio durante chamadas e notificações de aplicativos. A legibilidade na tela do rel"&amp;"ógio tem sido muito boa. Tentei alguns exercícios. Embora a contagem de etapas pareça estar bem, não tenho certeza da precisão das estatísticas em outros modos de treino. Para concluir, eu não diria que este relógio é uma decepção, mas precisa de melhoria"&amp;"s na precisão das estatísticas de fitness. Provavelmente eu deveria dar mais tempo, mas as marcas de fitness se saíram melhor em termos de precisão (pelo menos as bandas de honra que eu já vi). Esperando ansiosamente pela atualização do Alexa, pois estou "&amp;"curioso para saber o que tudo pode fazer. Gostaria de atualizar minha resenha depois de usar o relógio por mais alguns dias. Vamos ver.Update (8 de janeiro de 2021): A bateria é uma decepção clara, pois muitos outros usuários apontaram. Dificilmente estou"&amp;" recebendo por 3,5 dias com sempre em exibição e um treino ocasional. Faces de relógio limitado, tanto no dispositivo (4) quanto no aplicativo (57). Muitos desses 57 fazem justiça à boa exibição. A natureza impermeável do dispositivo é boa. Eu não mergulh"&amp;"ei na água, mas estava molhado quando eu estava tomando banho de meus filhos e parece ter um revestimento impermeável que estava em ação. Eu tenho o obturador da câmera para trabalhar. Espero que o Amazfit forneça atualizações para corrigir o dreno da bat"&amp;"eria e ativar o Alexa. As notificações não tiveram um problema, mas não conseguiram limpar os itens individuais (limpar tudo funcionou), revisão do Amazfit GTS 2 Mini Smart Watch (modelo 2021) Olá a todos. Desde que o novo modelo do Amazfit GTS2 Mini cheg"&amp;"ou, vou revisar o modelo antigo do ITPROS: Display: tela AMOLED de 1,55 polegadas, uma boa aparência. (Pros) Bateria: chegando com 220 mAh, de 100 % a 13 %, leva 10 dias para drenar e esperava -se que durasse 1 dia a mais (uso normal). Mas se você é um us"&amp;"uário leve, pode durar por 14 dias. (Pro) Classificação IP: resistente à água IP 68, que é legal. (Pro) Sensor de batimentos cardíacos: possui sensor de batimento cardíaco e é real, mas pode não mostrar precisão real o tempo todo. Mas ele executa uma boa "&amp;"conforto (pro): é realmente confortável usar este relógio e a banda é material de silicone. (Pro) Modos de trabalho: existem quase 70 modos de treino e eu testei alguns, pois ele é construído em GPS, funciona quase preciso, mas a medida não é tão precisa,"&amp;" mas funciona bem. (Pro) pode rastrear o recurso estressante PAI para progredir no seu treino com melhor assistente de experiência (mas precisa de conexão telefônica para ativar isso) possui outros modos como respiração, rastreamento de ciclo menstrual, l"&amp;"ista de tarefa, alarme incorporado, timer de pomodoro, rastreador de sono, Timer, na bússola construída, pela câmera remota, encontre o telefone, controlando a música etc. Notificação Sistema: Você pode obter notificações. Sistema de controle: você pode a"&amp;"ceitar ou rejeitar chamadas, mas não pode falar sobre o relógio.CONS: Construir qualidade: Dizem -se que este relógio é uma estrutura completamente de alumínio, mas é bastante decepcionante que apenas a metade da estrutura seja o alumínio de metal. E meta"&amp;"de é Poly Carbonate (CON). RATAS DE ASSENHO: Os rostos do relógio embutido são bastante deprimentes nas impressões iniciais, mas existem alguns rostos de relógios que são realmente bons. (CON) SPO2: Não sei o quanto é preciso, mas, chegando à parte técnic"&amp;"a, os sensores estão falhando na maioria das vezes. Às vezes, não pode ser capaz de sincronizar o histórico do treino. (CON) Veredicto: Não é uma má idéia gastar dinheiro com este relógio devido a recursos imensos e sensores reais, mas você deve compromet"&amp;"er a eficiência dos sensores e a qualidade de construção., A notificação de chamada recebida se desconecta se Você está longe do relógio, embora outras notificações sejam exibidas no relógio. Eu acidentalmente atingi a exibição do relógio enquanto andava "&amp;"em paredes e portas de aço, mesmo que não esteja danificada. A resistência à água é boa. Eu costumava lavar a louça usando -as. Sem uso do Alexa.Eu acho que é uma boa compra após 2 meses de uso, em todo o Amazfit GTS2 Mini (nova versão) é bom, mas o preço"&amp;" é alto e também chama os recursos que não estão disponíveis, que é a maior desvantagem. Além disso, as outras coisas são muito boas., O rastreamento do sono é fantástico, mas há algum bug após a atualização é que a faixa de travessa do sono em si mesmo n"&amp;"ós não usamos o relógio.")</f>
        <v>3 de janeiro original de 2021: Este é o meu primeiro smartwatch. Comprei algumas bandas de fitness de honra mais cedo para a família, mas este é o meu primeiro pessoal. Eu tenho acompanhado profundamente o espaço do smartwatch nos últimos 10 meses e estou ciente da maioria dos produtos na faixa do orçamento. Embora eu possa pagar um um pouco mais caro (GTS2/GTR2 ou Honor GT2 Pro, Oppo Watch, Fitbit etc) com o recurso de chamada, eu queria ter a sensação de um smartwatch no intervalo de orçamento primeiro. Eu pensei muito e finalmente comprei este, pois incluía o GPS e o Amazon Alexa (ainda a serem incluídos, mas devo estar disponível por meio de uma atualização da OTA). Eu adoraria comprar o Amazfit Bip U Pro, pois possui quase os mesmos recursos com uma tela LCD (tem GPS e Alexa na versão global chamada Amazfit Pop Pro). Ele ainda não é lançado em Índia.coming para o desempenho do relógio, os recursos típicos que tentei hoje (primeiro dia) são freqüência cardíaca (HR), SPO2, monitoramento do estresse e GPS. Eu tenho um oxímetro de pulso do Dr. Trust em casa e, portanto, poderia comparar o RH e o SPO2. Os números no relógio não são muito precisos para minha surpresa (variação da frequência cardíaca em 5 a 10 bpm e porcentagem de SPO2 em 10% dos pontos às vezes). Mas ainda sinto que tem mais a ver com a calibração e a maneira como esses números são medidos do que a imprecisão do hardware etc. O GPS foi muito fácil quando eu caminhei no terraço da minha casa rural. Não vai me surpreender se eu não tiver o mesmo desempenho em uma cidade metropolitana com muitos apartamentos altos, etc. A bússola funcionou bem quando eu o comparei com meu telefone. Os controles musicais funcionaram bem, a transferência ou sincronização de dados Bluetooth foi boa. Não consegui controlar a câmera do telefone, pois não conseguia fazer esse recurso funcionar (consulte a imagem e me ajude se puder). Não enfrentei nenhum problema com a vibração do relógio durante chamadas e notificações de aplicativos. A legibilidade na tela do relógio tem sido muito boa. Tentei alguns exercícios. Embora a contagem de etapas pareça estar bem, não tenho certeza da precisão das estatísticas em outros modos de treino. Para concluir, eu não diria que este relógio é uma decepção, mas precisa de melhorias na precisão das estatísticas de fitness. Provavelmente eu deveria dar mais tempo, mas as marcas de fitness se saíram melhor em termos de precisão (pelo menos as bandas de honra que eu já vi). Esperando ansiosamente pela atualização do Alexa, pois estou curioso para saber o que tudo pode fazer. Gostaria de atualizar minha resenha depois de usar o relógio por mais alguns dias. Vamos ver.Update (8 de janeiro de 2021): A bateria é uma decepção clara, pois muitos outros usuários apontaram. Dificilmente estou recebendo por 3,5 dias com sempre em exibição e um treino ocasional. Faces de relógio limitado, tanto no dispositivo (4) quanto no aplicativo (57). Muitos desses 57 fazem justiça à boa exibição. A natureza impermeável do dispositivo é boa. Eu não mergulhei na água, mas estava molhado quando eu estava tomando banho de meus filhos e parece ter um revestimento impermeável que estava em ação. Eu tenho o obturador da câmera para trabalhar. Espero que o Amazfit forneça atualizações para corrigir o dreno da bateria e ativar o Alexa. As notificações não tiveram um problema, mas não conseguiram limpar os itens individuais (limpar tudo funcionou), revisão do Amazfit GTS 2 Mini Smart Watch (modelo 2021) Olá a todos. Desde que o novo modelo do Amazfit GTS2 Mini chegou, vou revisar o modelo antigo do ITPROS: Display: tela AMOLED de 1,55 polegadas, uma boa aparência. (Pros) Bateria: chegando com 220 mAh, de 100 % a 13 %, leva 10 dias para drenar e esperava -se que durasse 1 dia a mais (uso normal). Mas se você é um usuário leve, pode durar por 14 dias. (Pro) Classificação IP: resistente à água IP 68, que é legal. (Pro) Sensor de batimentos cardíacos: possui sensor de batimento cardíaco e é real, mas pode não mostrar precisão real o tempo todo. Mas ele executa uma boa conforto (pro): é realmente confortável usar este relógio e a banda é material de silicone. (Pro) Modos de trabalho: existem quase 70 modos de treino e eu testei alguns, pois ele é construído em GPS, funciona quase preciso, mas a medida não é tão precisa, mas funciona bem. (Pro) pode rastrear o recurso estressante PAI para progredir no seu treino com melhor assistente de experiência (mas precisa de conexão telefônica para ativar isso) possui outros modos como respiração, rastreamento de ciclo menstrual, lista de tarefa, alarme incorporado, timer de pomodoro, rastreador de sono, Timer, na bússola construída, pela câmera remota, encontre o telefone, controlando a música etc. Notificação Sistema: Você pode obter notificações. Sistema de controle: você pode aceitar ou rejeitar chamadas, mas não pode falar sobre o relógio.CONS: Construir qualidade: Dizem -se que este relógio é uma estrutura completamente de alumínio, mas é bastante decepcionante que apenas a metade da estrutura seja o alumínio de metal. E metade é Poly Carbonate (CON). RATAS DE ASSENHO: Os rostos do relógio embutido são bastante deprimentes nas impressões iniciais, mas existem alguns rostos de relógios que são realmente bons. (CON) SPO2: Não sei o quanto é preciso, mas, chegando à parte técnica, os sensores estão falhando na maioria das vezes. Às vezes, não pode ser capaz de sincronizar o histórico do treino. (CON) Veredicto: Não é uma má idéia gastar dinheiro com este relógio devido a recursos imensos e sensores reais, mas você deve comprometer a eficiência dos sensores e a qualidade de construção., A notificação de chamada recebida se desconecta se Você está longe do relógio, embora outras notificações sejam exibidas no relógio. Eu acidentalmente atingi a exibição do relógio enquanto andava em paredes e portas de aço, mesmo que não esteja danificada. A resistência à água é boa. Eu costumava lavar a louça usando -as. Sem uso do Alexa.Eu acho que é uma boa compra após 2 meses de uso, em todo o Amazfit GTS2 Mini (nova versão) é bom, mas o preço é alto e também chama os recursos que não estão disponíveis, que é a maior desvantagem. Além disso, as outras coisas são muito boas., O rastreamento do sono é fantástico, mas há algum bug após a atualização é que a faixa de travessa do sono em si mesmo nós não usamos o relógio.</v>
      </c>
    </row>
    <row r="948">
      <c r="A948" s="9" t="s">
        <v>3759</v>
      </c>
      <c r="B948" s="29" t="str">
        <f>VLOOKUP(dados!A948, reviews!A:G, 5, FALSE)</f>
        <v>Ha,Good product,Expensive,Good for price,This is a nice product !!,best quality,Laptop Cover bag,Unbelievable product in this Price Range</v>
      </c>
      <c r="C948" s="29" t="str">
        <f>VLOOKUP(dados!A948, reviews!A:G, 6, FALSE)</f>
        <v>Product is good and better🙂Not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v>
      </c>
      <c r="D948" s="29" t="str">
        <f>IFERROR(__xludf.DUMMYFUNCTION("GOOGLETRANSLATE(B948, ""en"", ""pt-br"")"),"Ha, bom produto, caro, bom para preço, este é um bom produto !!, melhor qualidade, bolsa de capa de laptop, produto inacreditável nessa faixa de preço")</f>
        <v>Ha, bom produto, caro, bom para preço, este é um bom produto !!, melhor qualidade, bolsa de capa de laptop, produto inacreditável nessa faixa de preço</v>
      </c>
      <c r="E948" s="29" t="str">
        <f>IFERROR(__xludf.DUMMYFUNCTION("GOOGLETRANSLATE(C948, ""en"", ""pt-br"")"),"O produto é bom e melhor - não é ruim, valor ao dinheiro, não é resistente à água, mas é a qualidade de sua qualidade., Para o preço, é uma compra muito boa. Feito de materiais de boa qualidade. 3-4 compartimentos de cadeia zip, incluindo o laptop One. pl"&amp;"anta do espaço. De material impermeável interno usado. A costura é boa. Embora, para manter a mente, seja que ele seja feito para laptop de 15 polegadas, isso não se encaixa em alguns laptops antigos ou em qualquer laptops para jogos, pois eles são espess"&amp;"os, portanto apenas o laptop de escritório/normal da geração atual se encaixará facilmente à medida que são esbeltos. O produto é de boa qualidade, pois pode transportar meu laptop facilmente com carregador e fone de ouvido. Eu estava procurando essa bols"&amp;"a desde Long e a cor azul é realmente atraente. O material de pano que eu gostei porque é repelente à água, portanto, também não precisa se preocupar com pouca chuva. O bolso menor pode segurar facilmente a carteira / mouse ou qualquer presente pequeno. N"&amp;"o geral, gostei deste produto. Obrigado!! Tabelito, a qualidade do produto é boa. Fácil de transportar laptop de 14 a 15 polegadas com carregador. Bolsa com dois bolsos pequenos, onde você pode carregar pequenas coisas. O tecido é incrível e a cor azul pa"&amp;"rece mais atraente. Possui uma armadilha de suporte de bolsa de carrinho também. Ótimo para a bolsa de todos os dias e também para 1-2 dias de viagem de negócios., Https: //m.media-amazon.com/images/i/71wqt8coy6l._sy88.jpg,1st de tudo dentro de Rs 300 Eu "&amp;"recebi esse acordo . Se você achou este acordo neste preço, basta ir em frente. A qualidade não está comprometida por esse preço, devo dizer. Atualizarei minha revisão se houver problemas de qualidade que enfrentarei. Mas, por enquanto, estou muito feliz "&amp;"com minha bolsa.")</f>
        <v>O produto é bom e melhor - não é ruim, valor ao dinheiro, não é resistente à água, mas é a qualidade de sua qualidade., Para o preço, é uma compra muito boa. Feito de materiais de boa qualidade. 3-4 compartimentos de cadeia zip, incluindo o laptop One. planta do espaço. De material impermeável interno usado. A costura é boa. Embora, para manter a mente, seja que ele seja feito para laptop de 15 polegadas, isso não se encaixa em alguns laptops antigos ou em qualquer laptops para jogos, pois eles são espessos, portanto apenas o laptop de escritório/normal da geração atual se encaixará facilmente à medida que são esbeltos. O produto é de boa qualidade, pois pode transportar meu laptop facilmente com carregador e fone de ouvido. Eu estava procurando essa bolsa desde Long e a cor azul é realmente atraente. O material de pano que eu gostei porque é repelente à água, portanto, também não precisa se preocupar com pouca chuva. O bolso menor pode segurar facilmente a carteira / mouse ou qualquer presente pequeno. No geral, gostei deste produto. Obrigado!! Tabelito, a qualidade do produto é boa. Fácil de transportar laptop de 14 a 15 polegadas com carregador. Bolsa com dois bolsos pequenos, onde você pode carregar pequenas coisas. O tecido é incrível e a cor azul parece mais atraente. Possui uma armadilha de suporte de bolsa de carrinho também. Ótimo para a bolsa de todos os dias e também para 1-2 dias de viagem de negócios., Https: //m.media-amazon.com/images/i/71wqt8coy6l._sy88.jpg,1st de tudo dentro de Rs 300 Eu recebi esse acordo . Se você achou este acordo neste preço, basta ir em frente. A qualidade não está comprometida por esse preço, devo dizer. Atualizarei minha revisão se houver problemas de qualidade que enfrentarei. Mas, por enquanto, estou muito feliz com minha bolsa.</v>
      </c>
    </row>
    <row r="949">
      <c r="A949" s="9" t="s">
        <v>3763</v>
      </c>
      <c r="B949" s="29" t="str">
        <f>VLOOKUP(dados!A949, reviews!A:G, 5, FALSE)</f>
        <v>Loved it.,Not smudge proof,Nice,Good purchase.,Good screen protector for MI 5 Tab.,glass,Ok for its price but the fitting is just perfect,Poor product and poor resolution to complaint</v>
      </c>
      <c r="C949" s="29" t="str">
        <f>VLOOKUP(dados!A949, reviews!A:G, 6, FALSE)</f>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v>
      </c>
      <c r="D949" s="29" t="str">
        <f>IFERROR(__xludf.DUMMYFUNCTION("GOOGLETRANSLATE(B949, ""en"", ""pt-br"")"),"Adorei., Não à prova de manchas, boa, boa compra., Bom protetor de tela para mi 5 guia., Vidro, ok para seu preço, mas o encaixe é apenas perfeito, produto ruim e baixa resolução para reclamar")</f>
        <v>Adorei., Não à prova de manchas, boa, boa compra., Bom protetor de tela para mi 5 guia., Vidro, ok para seu preço, mas o encaixe é apenas perfeito, produto ruim e baixa resolução para reclamar</v>
      </c>
      <c r="E949" s="29" t="str">
        <f>IFERROR(__xludf.DUMMYFUNCTION("GOOGLETRANSLATE(C949, ""en"", ""pt-br"")"),"Não é uma prova de mancha, mas dá uma sensação de vidro de gorila. Linda produto!, Não à prova de manchas deixa muitas marcas de impressão digital, o descanso é bom, muito bom, adequado e não deixa entrar bolhas se você souber como instalar um vidro tempe"&amp;"rado. Definitivamente não é à prova de manchas, mas nenhum arranhão observado até agora., Bom protetor de tela, quase cobre a tela inteira, apenas poucos milímetros Sapce ficam com as bordas da forma, belo vidro, dizendo adeus à entrega de produtos de bai"&amp;"xa qualidade e políticas atuais da Amazon para fugir fornecendo produtos ruins e baixa resolução a reclamações. Vá e compre produtos do mercado.")</f>
        <v>Não é uma prova de mancha, mas dá uma sensação de vidro de gorila. Linda produto!, Não à prova de manchas deixa muitas marcas de impressão digital, o descanso é bom, muito bom, adequado e não deixa entrar bolhas se você souber como instalar um vidro temperado. Definitivamente não é à prova de manchas, mas nenhum arranhão observado até agora., Bom protetor de tela, quase cobre a tela inteira, apenas poucos milímetros Sapce ficam com as bordas da forma, belo vidro, dizendo adeus à entrega de produtos de baixa qualidade e políticas atuais da Amazon para fugir fornecendo produtos ruins e baixa resolução a reclamações. Vá e compre produtos do mercado.</v>
      </c>
    </row>
    <row r="950">
      <c r="A950" s="9" t="s">
        <v>3767</v>
      </c>
      <c r="B950" s="29" t="str">
        <f>VLOOKUP(dados!A950, reviews!A:G, 5, FALSE)</f>
        <v>Helpful product for students,Nice Product,Very good to write and erased,quite bright but have an excessive thick pointer which makes screen to fill up quick,Good product, struggling with erase button,it takes pressure also,Value for money,Its validity</v>
      </c>
      <c r="C950" s="29" t="str">
        <f>VLOOKUP(dados!A950, reviews!A:G, 6, FALSE)</f>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 build quality amazing all amazing simply go For it</v>
      </c>
      <c r="D950" s="29" t="str">
        <f>IFERROR(__xludf.DUMMYFUNCTION("GOOGLETRANSLATE(B950, ""en"", ""pt-br"")"),"Produto útil para estudantes, produto agradável, muito bom para escrever e apagado, bastante brilhante, mas tem um ponteiro espesso excessivo, que faz com que a tela preencha um produto rápido e bom, lutando com o botão Apagar, é preciso pressão, valor pa"&amp;"ra dinheiro, sua validade")</f>
        <v>Produto útil para estudantes, produto agradável, muito bom para escrever e apagado, bastante brilhante, mas tem um ponteiro espesso excessivo, que faz com que a tela preencha um produto rápido e bom, lutando com o botão Apagar, é preciso pressão, valor para dinheiro, sua validade</v>
      </c>
      <c r="E950" s="29" t="str">
        <f>IFERROR(__xludf.DUMMYFUNCTION("GOOGLETRANSLATE(C950, ""en"", ""pt-br"")"),"Quando abro a caixa e desbloqueia o botão Apagar e tento apagar as coisas ... mas esse tempo não apaga ... mas depois de algum tempo quando o pressiono repetidamente, então ele apaga milagres, mas essa tela do LCD caiu rapidamente se se Você não cuida dis"&amp;"so., Produto muito bom, fácil de usar ..., escrita muito suave, tela grande com botão de apagamento rápido. Para todos os aspirantes, ssc, qualquer exame de matemática e prática de raciocínio ou qualquer coisa. Este não é apenas para crianças, mas também "&amp;"para todo aluno que pratica nosso corpo DreamSturdy e muito bom Styles Pen. Meu preço de compra 1100 por 15 polegadas estou escrevendo este comentário após 15 dias com usos difíceis. Mais uma coisa eu usei mais um bloco de 12 polegadas mais do que 6 meses"&amp;", que mais uma tela britânica para o retrato 15, mas que não é tão suave, mas ambos dignos e bons., bom produto nesse ramge, o produto é bom no geral, mas depois de um mês estou lutando para apagar a tela que não foi O problema anteriormente, quando receb"&amp;"i o produto. Depois de pressionar o botão Apagar por 2-3 vezes, posso obter a tela clara, o que é bastante frustrante e acho que isso pode ser um problema de bateria e, se for, a empresa deve funcionar nisso. Além disso, esse botão de apagar elimina tudo "&amp;"de uma só vez, para que não cometem erro, você não pode apagar nenhuma informação específica na tela, a tela completa apaga de uma só vez. Caso contrário, é muito útil, economiza muito papel para um trabalho difícil e um bom produto nesse intervalo quando"&amp;" comparado a outros RuffPads., Ok para o restante, bom. ano 🥺🥺 Construir qualidade incrível tudo incrível simplesmente vá em frente")</f>
        <v>Quando abro a caixa e desbloqueia o botão Apagar e tento apagar as coisas ... mas esse tempo não apaga ... mas depois de algum tempo quando o pressiono repetidamente, então ele apaga milagres, mas essa tela do LCD caiu rapidamente se se Você não cuida disso., Produto muito bom, fácil de usar ..., escrita muito suave, tela grande com botão de apagamento rápido. Para todos os aspirantes, ssc, qualquer exame de matemática e prática de raciocínio ou qualquer coisa. Este não é apenas para crianças, mas também para todo aluno que pratica nosso corpo DreamSturdy e muito bom Styles Pen. Meu preço de compra 1100 por 15 polegadas estou escrevendo este comentário após 15 dias com usos difíceis. Mais uma coisa eu usei mais um bloco de 12 polegadas mais do que 6 meses, que mais uma tela britânica para o retrato 15, mas que não é tão suave, mas ambos dignos e bons., bom produto nesse ramge, o produto é bom no geral, mas depois de um mês estou lutando para apagar a tela que não foi O problema anteriormente, quando recebi o produto. Depois de pressionar o botão Apagar por 2-3 vezes, posso obter a tela clara, o que é bastante frustrante e acho que isso pode ser um problema de bateria e, se for, a empresa deve funcionar nisso. Além disso, esse botão de apagar elimina tudo de uma só vez, para que não cometem erro, você não pode apagar nenhuma informação específica na tela, a tela completa apaga de uma só vez. Caso contrário, é muito útil, economiza muito papel para um trabalho difícil e um bom produto nesse intervalo quando comparado a outros RuffPads., Ok para o restante, bom. ano 🥺🥺 Construir qualidade incrível tudo incrível simplesmente vá em frente</v>
      </c>
    </row>
    <row r="951">
      <c r="A951" s="9" t="s">
        <v>3772</v>
      </c>
      <c r="B951" s="29" t="str">
        <f>VLOOKUP(dados!A951, reviews!A:G, 5, FALSE)</f>
        <v>Good,Good stand in this price,Stability,Product is good quality but it has scratchs on it.,Strong durability,nice product,Fantastic,Best light stand</v>
      </c>
      <c r="C951" s="29" t="str">
        <f>VLOOKUP(dados!A951, reviews!A:G, 6, FALSE)</f>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v>
      </c>
      <c r="D951" s="29" t="str">
        <f>IFERROR(__xludf.DUMMYFUNCTION("GOOGLETRANSLATE(B951, ""en"", ""pt-br"")"),"Bom, boa posição nesse preço, estabilidade, produto é de boa qualidade, mas tem arranhões.")</f>
        <v>Bom, boa posição nesse preço, estabilidade, produto é de boa qualidade, mas tem arranhões.</v>
      </c>
      <c r="E951" s="29" t="str">
        <f>IFERROR(__xludf.DUMMYFUNCTION("GOOGLETRANSLATE(C951, ""en"", ""pt-br"")"),"Bom produto. Vai recomendar. Melhorar a qualidade da embalagem. Tinha pequenos arranhões no produto., Stand incrível nesse preço da AmazonReally simplesmente adorou, a estabilidade do suporte é boa. A qualidade do produto do material é suficiente para tod"&amp;"as as decorações de finalidade., Produto que recebi obteve o produto exato, mas havia marcas de arranhões no corpo e a caixa de produtos foi danificada de cima. Como é para presente, não pude substituí -lo porque, após a substituição, não vou colocar o pr"&amp;"oduto no prazo. Antes de enviar o produto, verifique a qualidade e a embalagem do produto., Bom, bom, bom produto, estou muito feliz comprando este produto, as pernas muito fortes e a altura é de 9 pés, predeety nicethankyou amazon")</f>
        <v>Bom produto. Vai recomendar. Melhorar a qualidade da embalagem. Tinha pequenos arranhões no produto., Stand incrível nesse preço da AmazonReally simplesmente adorou, a estabilidade do suporte é boa. A qualidade do produto do material é suficiente para todas as decorações de finalidade., Produto que recebi obteve o produto exato, mas havia marcas de arranhões no corpo e a caixa de produtos foi danificada de cima. Como é para presente, não pude substituí -lo porque, após a substituição, não vou colocar o produto no prazo. Antes de enviar o produto, verifique a qualidade e a embalagem do produto., Bom, bom, bom produto, estou muito feliz comprando este produto, as pernas muito fortes e a altura é de 9 pés, predeety nicethankyou amazon</v>
      </c>
    </row>
    <row r="952">
      <c r="A952" s="9" t="s">
        <v>3779</v>
      </c>
      <c r="B952" s="29" t="str">
        <f>VLOOKUP(dados!A952, reviews!A:G, 5, FALSE)</f>
        <v>Pages size is small but good quality,Okay,Quality,Best,Classmate pulse,Best paper,Good,I loved it...</v>
      </c>
      <c r="C952" s="29" t="str">
        <f>VLOOKUP(dados!A952, reviews!A:G, 6, FALSE)</f>
        <v>Pages are small,Okay okay,Best product but size is too small,,Quality is goodGreat notebook,Beast paper and spring,Good,https://m.media-amazon.com/images/I/71wZSQwwaGL._SY88.jpg</v>
      </c>
      <c r="D952" s="29" t="str">
        <f>IFERROR(__xludf.DUMMYFUNCTION("GOOGLETRANSLATE(B952, ""en"", ""pt-br"")"),"O tamanho das páginas é pequeno, mas de boa qualidade, ok, qualidade, melhor, Pulse de colega de classe, melhor papel, bom, eu adorei ...")</f>
        <v>O tamanho das páginas é pequeno, mas de boa qualidade, ok, qualidade, melhor, Pulse de colega de classe, melhor papel, bom, eu adorei ...</v>
      </c>
      <c r="E952" s="29" t="str">
        <f>IFERROR(__xludf.DUMMYFUNCTION("GOOGLETRANSLATE(C952, ""en"", ""pt-br"")"),"As páginas são pequenas, ok, ok, o melhor produto, mas o tamanho é muito pequeno, a qualidade é um notebook GoodGreat, beast paper e primavera, bom, https: //m.media-amazon.com/images/i/71wzsqwwagl._sy88.jpg")</f>
        <v>As páginas são pequenas, ok, ok, o melhor produto, mas o tamanho é muito pequeno, a qualidade é um notebook GoodGreat, beast paper e primavera, bom, https: //m.media-amazon.com/images/i/71wzsqwwagl._sy88.jpg</v>
      </c>
    </row>
    <row r="953">
      <c r="A953" s="9" t="s">
        <v>3783</v>
      </c>
      <c r="B953" s="29" t="str">
        <f>VLOOKUP(dados!A953, reviews!A:G, 5, FALSE)</f>
        <v>Nice looking and good finish deskmat,Premium product compared to other desk mats,Nice deal! Go for it,Good desk mat,Feels good,Best mat,Worth every penny,pretty good</v>
      </c>
      <c r="C953" s="29" t="str">
        <f>VLOOKUP(dados!A953, reviews!A:G, 6, FALSE)</f>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soft.,It’s been few weeks now, hence posting the review.This desk spread was available in my budget and looks great so went for it and now while it’s in use, it’s work as expected. I went for the Yellow and Blue one &amp; as of this moment I am using the yellow side up as its in contrasts with my desk.Love the feel.Keeps my desk clean and free from scratches.Also easy to clean.Just go for it.#bhavneetapproved 😀,Good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v>
      </c>
      <c r="D953" s="29" t="str">
        <f>IFERROR(__xludf.DUMMYFUNCTION("GOOGLETRANSLATE(B953, ""en"", ""pt-br"")"),"Belo e bom e bom acabamento Deskmat, produto premium em comparação com outros tapetes de mesa, bom negócio! Vá em frente, bom tapete, parece bom, o melhor tapete, vale cada centavo, muito bom")</f>
        <v>Belo e bom e bom acabamento Deskmat, produto premium em comparação com outros tapetes de mesa, bom negócio! Vá em frente, bom tapete, parece bom, o melhor tapete, vale cada centavo, muito bom</v>
      </c>
      <c r="E953" s="29" t="str">
        <f>IFERROR(__xludf.DUMMYFUNCTION("GOOGLETRANSLATE(C953, ""en"", ""pt-br"")"),"Esta é a minha primeira compra de produtos de despedidas de tedores. Este é um bom deskmat fácil de limpar. O mouse desliza muito bem e meu teclado mantém a posição, ambos são condições necessárias para o meu tipo de uso. Foi embalado e entregue bem em bo"&amp;"as condições. Com ambos os lados utilizáveis, pode -se usar esse tapete de forma intercambiável., Parece um tapete de mesa premium comparado Para os outros tapetes, eu tentei da Amazon e o esquema de cores também é bem pensado. Muito fácil de limpar també"&amp;"m, já que a superfície é meio escorregadia e não é muito macia., Faz algumas semanas agora, postando a revisão. Essa spread estava disponível no meu orçamento e parece ótima, então foi para isso e agora enquanto estiver em Use, é trabalho como esperado. E"&amp;"u fui para o amarelo e azul e a partir deste momento estou usando o lado amarelo para cima, pois está contrasta com minha mesa. Leve a sensação. Mantenha minha mesa limpa e livre de arranhões. Também é fácil de limpar. Apenas vá em frente .#bhavneetapprov"&amp;"ed 😀, tapete de boa qualidade. Inicialmente, tive que achatá -lo corretamente, mas uma vez definido, é o melhor. Parece elegante na mesa e faz bem o trabalho., Parece bom em termos de tamanho. Um pouco fedorento no início., Parece muito alta e elegante. "&amp;"A espessura adequada permite que ele use como base de escrita e também volta à forma original após o uso prolongado de laptop. No geral, extremamente satisfeito., Muito durável e fácil de limpar e fica ótimo na mesa, desaparece, mas no geral um bom tapete")</f>
        <v>Esta é a minha primeira compra de produtos de despedidas de tedores. Este é um bom deskmat fácil de limpar. O mouse desliza muito bem e meu teclado mantém a posição, ambos são condições necessárias para o meu tipo de uso. Foi embalado e entregue bem em boas condições. Com ambos os lados utilizáveis, pode -se usar esse tapete de forma intercambiável., Parece um tapete de mesa premium comparado Para os outros tapetes, eu tentei da Amazon e o esquema de cores também é bem pensado. Muito fácil de limpar também, já que a superfície é meio escorregadia e não é muito macia., Faz algumas semanas agora, postando a revisão. Essa spread estava disponível no meu orçamento e parece ótima, então foi para isso e agora enquanto estiver em Use, é trabalho como esperado. Eu fui para o amarelo e azul e a partir deste momento estou usando o lado amarelo para cima, pois está contrasta com minha mesa. Leve a sensação. Mantenha minha mesa limpa e livre de arranhões. Também é fácil de limpar. Apenas vá em frente .#bhavneetapproved 😀, tapete de boa qualidade. Inicialmente, tive que achatá -lo corretamente, mas uma vez definido, é o melhor. Parece elegante na mesa e faz bem o trabalho., Parece bom em termos de tamanho. Um pouco fedorento no início., Parece muito alta e elegante. A espessura adequada permite que ele use como base de escrita e também volta à forma original após o uso prolongado de laptop. No geral, extremamente satisfeito., Muito durável e fácil de limpar e fica ótimo na mesa, desaparece, mas no geral um bom tapete</v>
      </c>
    </row>
    <row r="954">
      <c r="A954" s="9" t="s">
        <v>3787</v>
      </c>
      <c r="B954" s="29" t="str">
        <f>VLOOKUP(dados!A954, reviews!A:G, 5, FALSE)</f>
        <v>Utilitarian,Excellent product,Good features,Good product with reasonable price,Super,Nice one,Average product,Value for money</v>
      </c>
      <c r="C954" s="29" t="str">
        <f>VLOOKUP(dados!A954, reviews!A:G, 6, FALSE)</f>
        <v>Standard calculator. What you expect from a 12Digit calculator. Nothing more, nothing less,Excellent product,Good.,I Like this product. The product is genuine onky,Super product,Very good,Very average product,No issue with the product.</v>
      </c>
      <c r="D954" s="29" t="str">
        <f>IFERROR(__xludf.DUMMYFUNCTION("GOOGLETRANSLATE(B954, ""en"", ""pt-br"")"),"Utilitário, excelente produto, bons recursos, bom produto com preço razoável, super, bom, produto médio, valor ao dinheiro")</f>
        <v>Utilitário, excelente produto, bons recursos, bom produto com preço razoável, super, bom, produto médio, valor ao dinheiro</v>
      </c>
      <c r="E954" s="29" t="str">
        <f>IFERROR(__xludf.DUMMYFUNCTION("GOOGLETRANSLATE(C954, ""en"", ""pt-br"")"),"Calculadora padrão. O que você espera de uma calculadora de 12 dígitos. Nada mais, nada menos, excelente produto, bom., Gosto deste produto. O produto é genuíno onky, super produto, produto muito bom e muito médio, sem problemas com o produto.")</f>
        <v>Calculadora padrão. O que você espera de uma calculadora de 12 dígitos. Nada mais, nada menos, excelente produto, bom., Gosto deste produto. O produto é genuíno onky, super produto, produto muito bom e muito médio, sem problemas com o produto.</v>
      </c>
    </row>
    <row r="955">
      <c r="A955" s="9" t="s">
        <v>293</v>
      </c>
      <c r="B955" s="29" t="str">
        <f>VLOOKUP(dados!A955, reviews!A:G, 5, FALSE)</f>
        <v>Worth the price,Mi Smart Tv 32" :- 7/10 average.,Worth using since 1.5 years,expect more from mi,Worth for money.,Good product,It’s good,Go for it without thinking twice.</v>
      </c>
      <c r="C955" s="29" t="str">
        <f>VLOOKUP(dados!A955, reviews!A:G, 6, FALSE)</f>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v>
      </c>
      <c r="D955" s="29" t="str">
        <f>IFERROR(__xludf.DUMMYFUNCTION("GOOGLETRANSLATE(B955, ""en"", ""pt-br"")"),"Vale o preço, Mi Smart TV 32 "":- 7/10 Média., Vale a pena usar desde 1,5 anos, espere mais do MI, que vale a pena., Bom produto, é bom, vá em frente sem pensar duas vezes.")</f>
        <v>Vale o preço, Mi Smart TV 32 ":- 7/10 Média., Vale a pena usar desde 1,5 anos, espere mais do MI, que vale a pena., Bom produto, é bom, vá em frente sem pensar duas vezes.</v>
      </c>
      <c r="E955" s="29" t="str">
        <f>IFERROR(__xludf.DUMMYFUNCTION("GOOGLETRANSLATE(C955, ""en"", ""pt-br"")"),"Vale o preço. Eu uso os provedores de cabos locais configurados. Com minha TV anterior (Samsung), eu não estava enfrentando esse problema. O único problema que estou enfrentando é cada vez que desligo a TV da rede elétrica, tenho que ir para as configuraç"&amp;"ões e ligar as configurações para as configurações dos alto -falantes de TV, apesar de nenhum outro alto -falante ou wifi ou dente azul ou telefone celular estará na proximidade . Como resultado, parei de desligar a TV da rede elétrica. Eu apenas uso o co"&amp;"ntrole remoto para colocá -lo em pé. Mas isso é um problema a longo prazo, a tela é muito boa. O som é médio de iam usando a barra de som, então não há problemas para mim. Não sei quanto tempo durará devido ao meu painel Pro 55 4 Pro Mi 55 4, em 2,5 anos."&amp;" Comprei esta TV com garantia de 2 anos no painel., Melhore a resposta do software e melhore a qualidade da imagem. Vale a pena dinheiro para esse orçamento (4K)., Eu usei de 2 a 4 dias. A qualidade da imagem parece boa e impressionante. Vá em frente ... "&amp;"espero que a qualidade de longo prazo também seja boa., Esta TV é muito boa, mas nessa coisa ruim é essa TV em algum momento de parar enquanto toca apenas um vídeo do YouTube, mas, caso contrário, é um bom produto, é bom e valor Por dinheiro, foto incríve"&amp;"l e qualidade do som. Qualidade 4K a esse preço. É realmente bom .")</f>
        <v>Vale o preço. Eu uso os provedores de cabos locais configurados. Com minha TV anterior (Samsung), eu não estava enfrentando esse problema. O único problema que estou enfrentando é cada vez que desligo a TV da rede elétrica, tenho que ir para as configurações e ligar as configurações para as configurações dos alto -falantes de TV, apesar de nenhum outro alto -falante ou wifi ou dente azul ou telefone celular estará na proximidade . Como resultado, parei de desligar a TV da rede elétrica. Eu apenas uso o controle remoto para colocá -lo em pé. Mas isso é um problema a longo prazo, a tela é muito boa. O som é médio de iam usando a barra de som, então não há problemas para mim. Não sei quanto tempo durará devido ao meu painel Pro 55 4 Pro Mi 55 4, em 2,5 anos. Comprei esta TV com garantia de 2 anos no painel., Melhore a resposta do software e melhore a qualidade da imagem. Vale a pena dinheiro para esse orçamento (4K)., Eu usei de 2 a 4 dias. A qualidade da imagem parece boa e impressionante. Vá em frente ... espero que a qualidade de longo prazo também seja boa., Esta TV é muito boa, mas nessa coisa ruim é essa TV em algum momento de parar enquanto toca apenas um vídeo do YouTube, mas, caso contrário, é um bom produto, é bom e valor Por dinheiro, foto incrível e qualidade do som. Qualidade 4K a esse preço. É realmente bom .</v>
      </c>
    </row>
    <row r="956">
      <c r="A956" s="9" t="s">
        <v>3794</v>
      </c>
      <c r="B956" s="29" t="str">
        <f>VLOOKUP(dados!A956, reviews!A:G, 5, FALSE)</f>
        <v>Nice product,Not bad,good sleev,Very Good Product At Rs 290,Good purchase,Ok,Good product,Good</v>
      </c>
      <c r="C956" s="29" t="str">
        <f>VLOOKUP(dados!A956, reviews!A:G, 6, FALSE)</f>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v>
      </c>
      <c r="D956" s="29" t="str">
        <f>IFERROR(__xludf.DUMMYFUNCTION("GOOGLETRANSLATE(B956, ""en"", ""pt-br"")"),"Bom produto, não é ruim, boa manga, produto muito bom em Rs 290, boa compra, ok, bom produto, bom")</f>
        <v>Bom produto, não é ruim, boa manga, produto muito bom em Rs 290, boa compra, ok, bom produto, bom</v>
      </c>
      <c r="E956" s="29" t="str">
        <f>IFERROR(__xludf.DUMMYFUNCTION("GOOGLETRANSLATE(C956, ""en"", ""pt-br"")"),"Bom produto, não é ruim .., é uma boa manga para laptop de 14 polegadas. A única falha é que o zip é um pouco apertado., Encomendei este produto para o meu laptop HP 14S. Não estou esperando não muito esse preço, mas a qualidade deste produto é realmente "&amp;"boa. Valor do produto PRODUTO DINHEIRO CHAHATA HAI.WO YE PRODUTO LE SAKTA HAI .. METERIAL É BOM. Eu não estou dizendo melhor e premium, mas a esse preço é bom. Estou satisfeito com o meu produto. Na verdade, é muito melhor do que eu Esperado, o material d"&amp;"e pano é bom, o ritmo é bom, o zíper funciona sem problemas e tem um ajuste perfeito para um laptop meu de 14 polegadas. Em vez de pano poderia ter sido algum material sintético como a mochila, então teria sido bom. Isso não parece apresentável., Muito bo"&amp;"m produto nesse custo ..., bom")</f>
        <v>Bom produto, não é ruim .., é uma boa manga para laptop de 14 polegadas. A única falha é que o zip é um pouco apertado., Encomendei este produto para o meu laptop HP 14S. Não estou esperando não muito esse preço, mas a qualidade deste produto é realmente boa. Valor do produto PRODUTO DINHEIRO CHAHATA HAI.WO YE PRODUTO LE SAKTA HAI .. METERIAL É BOM. Eu não estou dizendo melhor e premium, mas a esse preço é bom. Estou satisfeito com o meu produto. Na verdade, é muito melhor do que eu Esperado, o material de pano é bom, o ritmo é bom, o zíper funciona sem problemas e tem um ajuste perfeito para um laptop meu de 14 polegadas. Em vez de pano poderia ter sido algum material sintético como a mochila, então teria sido bom. Isso não parece apresentável., Muito bom produto nesse custo ..., bom</v>
      </c>
    </row>
    <row r="957">
      <c r="A957" s="9" t="s">
        <v>3798</v>
      </c>
      <c r="B957" s="29" t="str">
        <f>VLOOKUP(dados!A957, reviews!A:G, 5, FALSE)</f>
        <v>Good,Made for special ones,Good Product,Awesome,Gift given in birthday and other,Good,good,Pen is Best Gift for Everyone.</v>
      </c>
      <c r="C957" s="29" t="str">
        <f>VLOOKUP(dados!A957, reviews!A:G, 6, FALSE)</f>
        <v>Good,Amazing,Nice pen and keychain,I just live it,This is the best thing to gift other,Good,good,I bought it for my sister's Kid who's 11years old because he has a wish of using Parker Pen. So I made his wish come true.</v>
      </c>
      <c r="D957" s="29" t="str">
        <f>IFERROR(__xludf.DUMMYFUNCTION("GOOGLETRANSLATE(B957, ""en"", ""pt-br"")"),"Bom, feito para especiais, bom produto, incrível, presente dado no aniversário e outros, bom, bom, caneta é o melhor presente para todos.")</f>
        <v>Bom, feito para especiais, bom produto, incrível, presente dado no aniversário e outros, bom, bom, caneta é o melhor presente para todos.</v>
      </c>
      <c r="E957" s="29" t="str">
        <f>IFERROR(__xludf.DUMMYFUNCTION("GOOGLETRANSLATE(C957, ""en"", ""pt-br"")"),"Bom, incrível, bonito caneta e chaveiro, eu apenas vivo, essa é a melhor coisa para presentear outro, bom, bom, eu o comprei para o filho da minha irmã, com 11 anos de idade porque ele tem um desejo de usar a caneta Parker. Então, eu fiz o desejo dele se "&amp;"tornar realidade.")</f>
        <v>Bom, incrível, bonito caneta e chaveiro, eu apenas vivo, essa é a melhor coisa para presentear outro, bom, bom, eu o comprei para o filho da minha irmã, com 11 anos de idade porque ele tem um desejo de usar a caneta Parker. Então, eu fiz o desejo dele se tornar realidade.</v>
      </c>
    </row>
    <row r="958">
      <c r="A958" s="9" t="s">
        <v>3802</v>
      </c>
      <c r="B958" s="29" t="str">
        <f>VLOOKUP(dados!A958, reviews!A:G, 5, FALSE)</f>
        <v>👎Disappointed 👎Review after 1 year 3 months of usage,Good product and received latest V4,Good Budget Gigabit Router with Beamforming and multiple options in firmware,Range is issue for 5g every where,Value For Money,Go for it,Super 👍,Signal, support, install</v>
      </c>
      <c r="C958" s="29" t="str">
        <f>VLOOKUP(dados!A958, reviews!A:G, 6, FALSE)</f>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🏠,Please go ahead,Its easy to use, easy to install , more function to control the router</v>
      </c>
      <c r="D958" s="29" t="str">
        <f>IFERROR(__xludf.DUMMYFUNCTION("GOOGLETRANSLATE(B958, ""en"", ""pt-br"")"),"👎DisaPointed 👎 Review Após 1 ano 3 meses de uso, bom produto e recebeu o mais recente V4, bom orçamento de gigabit roteador com formação de feixe e várias opções em firmware, o intervalo é emitido para 5G em todos Sinal, suporte, instale")</f>
        <v>👎DisaPointed 👎 Review Após 1 ano 3 meses de uso, bom produto e recebeu o mais recente V4, bom orçamento de gigabit roteador com formação de feixe e várias opções em firmware, o intervalo é emitido para 5G em todos Sinal, suporte, instale</v>
      </c>
      <c r="E958" s="29" t="str">
        <f>IFERROR(__xludf.DUMMYFUNCTION("GOOGLETRANSLATE(C958, ""en"", ""pt-br"")"),"Eu realmente gostei desse roteador para um espaço pequeno. A cobertura nunca caiu e era principalmente consistente. No entanto, de repente desenvolveu algum obstáculo e parou de se conectar à Internet. Aparentemente, a porta Ethernet foi danificada de alg"&amp;"uma forma. Tentei ligar para os números do TP Link Service Center e percebi o quão ruim é o serviço deles. É a primeira vez na minha vida que um roteador quebra e isso também depois de pouco mais de um ano de uso. E para piorar, há um serviço pós -venda s"&amp;"ombrio. Tentei comprar uma substituição do link TP, mas esse roteador veio com problemas, pois a conexão não era estável. Acho que finalmente vou olhar para outros fabricantes de roteadores e evitar o produto Tplink até que talvez eles comecem a se import"&amp;"ar mais com seus clientes. Espero encontrar um bom criador., Bom roteador, depois de pesquisar lote que eu decidi no link TP A6, eu estava procurando um melhor roteador de alcance, esse roteador realmente vale o preço. Banda dupla, wifi convidado. Atualiz"&amp;"ei da Tenda N301, e o desempenho é realmente bom. A faixa para 5GZ não é tão boa como 2,5 Gz, mas que é aceita e nenhum outro roteador nesse intervalo pode fornecer melhor que isso. Eu estava usando a tenda 10 do roteador (desde 2019 ) para conexão de 100"&amp;" Mbps do ISP local (Mach1 Broadband, Mumbai). A maioria dos dispositivos (5 celulares, 4 laptops, 1 Firestick) no meu trabalho em casa em 5 GHz, exceto 1 câmera de CCTV. A gama de tenda ac 10 foi boa e usou o repetidor de Digisol AC750 para a sala mais di"&amp;"stante da minha casa de 2 BHK. Em recente raio em Mumbai, o adaptador de energia do Tenda AC10 foi queimado e os problemas de desempenho se aproximaram do adaptador de substituição. Eu estava procurando por roteador com boa faixa e velocidade dentro do me"&amp;"u orçamento. Eu tentei 2 roteadores (Mercusys AC1900 MR50G &amp; TP Archer C80 AC1900) antes disso. Ambos os roteadores não atenderam à minha expectativa. O alcance e a velocidade desses dois roteadores eram pobres que a minha tenda AC10 anterior. Amazon acei"&amp;"tou retornos sem uma única pergunta. Polegares até a Amazon. Depois de mais algumas pesquisas, zero no TP Link Archer A6 &amp; C6. De acordo com a comparação no site do TP Link, ambos são roteadores idênticos. Depois de fazer mais algumas pesquisas sobre blog"&amp;"s e críticas, descobri que o Archer A6 é o modelo mais recente e tinha um processador um pouco melhor (ambos da Qualcomm). Portanto, comprou o Archer A6. O recurso de OneMesh é uma vantagem adicional para adicionar repetidores de OneMesh no futuro. Wi -Fi"&amp;" SSID separado (com a mesma força em 2,4 e 5 GHz) como Wi -Fi sem nome pode ser visto no analisador Wi -Fi, conforme a página de suporte do link TP, este é o link wifi dedicado para os repetidores de oneemesh. Para cobertura, não pode cobrir o quarto mais"&amp;" distante do 2BHK em 5GHz. A banda de 2,4 GHz pode cobrir a casa de 2bhk, mas a velocidade é de cerca de 30 Mbps no plano de 100 Mbps. No entanto, a velocidade no arqueiro A6 é melhor que a tenda AC10. Estou recebendo upload de 90 Mbps e download de forma"&amp;" consistente nos dispositivos 5 a 15 pés de distância em 5 GHz. TP Link Archer A6 é melhor que os roteadores mais caros do AC1900. Apenas para informações, recebi a versão dos EUA (V2) do roteador em vez da versão da UE mencionada no site da TP Link India"&amp;". Portanto, o firmware no site da TP Link India não corresponde ao firmware do dispositivo. No entanto, este dispositivo possui opção de atualização automática diretamente da Internet. Além disso, o roteador pode ser gerenciado pelo aplicativo TP-Link Tet"&amp;"her remotamente (na Internet, mesmo resistente, não conectado no mesmo wifi) por login usando a conta de link TP no roteador e em um aplicativo. Ao tentar tantos roteadores, eu entendi que a gama 5GHz será Semana, mesmo com o roteador mais caro. Em vez de"&amp;" usar o repetidor Digisol AC750, instalei meu antigo Terra AC10 no modo repetidor para 5GHz (2,4 GHz desativado). Agora minha casa completa é coberta por sinal de 5 GHz. Na sala mais distante, recebo a velocidade de download e upload de cerca de 75 MBPs. "&amp;"O ISP MU-MIMO.MY conectou meu link na porta Gigabit de sua mudança na minha sociedade. No entanto, o cabeamento é de apenas 2 pares CAT 5E, que suporta máximo de 100 Mbps (duplex completo). Vou tentar alterar o cabeamento para 4 pares CAT 5E ou CAT6 do IS"&amp;"P e verificar o desempenho. Atualizarei a revisão após o cabeçote de alteração. TP LNK Archer A6 é um bom roteador atendendo a todos os requisitos dentro do orçamento. Espero que esta revisão seja útil na busca de um bom roteador à prova de futuro .------"&amp;"--------------------- -------------------------------------------------------- -------------------------------------------------------- ---- Edit 1: Meu ISP tentou substituir minha conexão com FTTH e este roteador foi conectado à fibra ONU usando a porta "&amp;"Gigabit. Funcionou apenas por 15 minutos. A velocidade máxima foi de 230 Mbps. O ISP não conseguiu resolver o problema do FTTH e alterou o cabo para 4 pares CAT-5E, que suporta a transmissão de gigabit. Agora a velocidade líquida é de cerca de 160 Mbps. M"&amp;"eu plano de Internet é de 100 Mbps. Estou feliz com a velocidade. Pedi ao ISP que mudasse minha conexão com o FTTH, finalmente. A Tenda AC10 agora está funcionando como repetidor com fio conectado na porta Gigabit de Archer A6 usando o cabo CAT5E. Agora, "&amp;"a casa completa recebeu wifi estável de 160 Mbps na banda de 5 GHz. Atualizarei mais uma vez quando a conexão FTTH for bem -sucedida., Bom produto até agora 1 mês, estou muito satisfeito., Estou realmente satisfeito com este produto, pois antes meu telefo"&amp;"ne é Continue sendo desconectado do WiFi e eu costumava reconectá -lo, e da mesma maneira que a VPN é continuar se reconectando no meu laptop, portanto, minhas equipes são usadas para desconectar durante a reunião. Agora estou feliz com este produto onde "&amp;"minha VPN não está se reconectando, mesmo a Internet vai para baixo e se houver alguma flagrações na rede. Controle o roteador")</f>
        <v>Eu realmente gostei desse roteador para um espaço pequeno. A cobertura nunca caiu e era principalmente consistente. No entanto, de repente desenvolveu algum obstáculo e parou de se conectar à Internet. Aparentemente, a porta Ethernet foi danificada de alguma forma. Tentei ligar para os números do TP Link Service Center e percebi o quão ruim é o serviço deles. É a primeira vez na minha vida que um roteador quebra e isso também depois de pouco mais de um ano de uso. E para piorar, há um serviço pós -venda sombrio. Tentei comprar uma substituição do link TP, mas esse roteador veio com problemas, pois a conexão não era estável. Acho que finalmente vou olhar para outros fabricantes de roteadores e evitar o produto Tplink até que talvez eles comecem a se importar mais com seus clientes. Espero encontrar um bom criador., Bom roteador, depois de pesquisar lote que eu decidi no link TP A6, eu estava procurando um melhor roteador de alcance, esse roteador realmente vale o preço. Banda dupla, wifi convidado. Atualizei da Tenda N301, e o desempenho é realmente bom. A faixa para 5GZ não é tão boa como 2,5 Gz, mas que é aceita e nenhum outro roteador nesse intervalo pode fornecer melhor que isso. Eu estava usando a tenda 10 do roteador (desde 2019 ) para conexão de 100 Mbps do ISP local (Mach1 Broadband, Mumbai). A maioria dos dispositivos (5 celulares, 4 laptops, 1 Firestick) no meu trabalho em casa em 5 GHz, exceto 1 câmera de CCTV. A gama de tenda ac 10 foi boa e usou o repetidor de Digisol AC750 para a sala mais distante da minha casa de 2 BHK. Em recente raio em Mumbai, o adaptador de energia do Tenda AC10 foi queimado e os problemas de desempenho se aproximaram do adaptador de substituição. Eu estava procurando por roteador com boa faixa e velocidade dentro do meu orçamento. Eu tentei 2 roteadores (Mercusys AC1900 MR50G &amp; TP Archer C80 AC1900) antes disso. Ambos os roteadores não atenderam à minha expectativa. O alcance e a velocidade desses dois roteadores eram pobres que a minha tenda AC10 anterior. Amazon aceitou retornos sem uma única pergunta. Polegares até a Amazon. Depois de mais algumas pesquisas, zero no TP Link Archer A6 &amp; C6. De acordo com a comparação no site do TP Link, ambos são roteadores idênticos. Depois de fazer mais algumas pesquisas sobre blogs e críticas, descobri que o Archer A6 é o modelo mais recente e tinha um processador um pouco melhor (ambos da Qualcomm). Portanto, comprou o Archer A6. O recurso de OneMesh é uma vantagem adicional para adicionar repetidores de OneMesh no futuro. Wi -Fi SSID separado (com a mesma força em 2,4 e 5 GHz) como Wi -Fi sem nome pode ser visto no analisador Wi -Fi, conforme a página de suporte do link TP, este é o link wifi dedicado para os repetidores de oneemesh. Para cobertura, não pode cobrir o quarto mais distante do 2BHK em 5GHz. A banda de 2,4 GHz pode cobrir a casa de 2bhk, mas a velocidade é de cerca de 30 Mbps no plano de 100 Mbps. No entanto, a velocidade no arqueiro A6 é melhor que a tenda AC10. Estou recebendo upload de 90 Mbps e download de forma consistente nos dispositivos 5 a 15 pés de distância em 5 GHz. TP Link Archer A6 é melhor que os roteadores mais caros do AC1900. Apenas para informações, recebi a versão dos EUA (V2) do roteador em vez da versão da UE mencionada no site da TP Link India. Portanto, o firmware no site da TP Link India não corresponde ao firmware do dispositivo. No entanto, este dispositivo possui opção de atualização automática diretamente da Internet. Além disso, o roteador pode ser gerenciado pelo aplicativo TP-Link Tether remotamente (na Internet, mesmo resistente, não conectado no mesmo wifi) por login usando a conta de link TP no roteador e em um aplicativo. Ao tentar tantos roteadores, eu entendi que a gama 5GHz será Semana, mesmo com o roteador mais caro. Em vez de usar o repetidor Digisol AC750, instalei meu antigo Terra AC10 no modo repetidor para 5GHz (2,4 GHz desativado). Agora minha casa completa é coberta por sinal de 5 GHz. Na sala mais distante, recebo a velocidade de download e upload de cerca de 75 MBPs. O ISP MU-MIMO.MY conectou meu link na porta Gigabit de sua mudança na minha sociedade. No entanto, o cabeamento é de apenas 2 pares CAT 5E, que suporta máximo de 100 Mbps (duplex completo). Vou tentar alterar o cabeamento para 4 pares CAT 5E ou CAT6 do ISP e verificar o desempenho. Atualizarei a revisão após o cabeçote de alteração. TP LNK Archer A6 é um bom roteador atendendo a todos os requisitos dentro do orçamento. Espero que esta revisão seja útil na busca de um bom roteador à prova de futuro .--------------------------- -------------------------------------------------------- -------------------------------------------------------- ---- Edit 1: Meu ISP tentou substituir minha conexão com FTTH e este roteador foi conectado à fibra ONU usando a porta Gigabit. Funcionou apenas por 15 minutos. A velocidade máxima foi de 230 Mbps. O ISP não conseguiu resolver o problema do FTTH e alterou o cabo para 4 pares CAT-5E, que suporta a transmissão de gigabit. Agora a velocidade líquida é de cerca de 160 Mbps. Meu plano de Internet é de 100 Mbps. Estou feliz com a velocidade. Pedi ao ISP que mudasse minha conexão com o FTTH, finalmente. A Tenda AC10 agora está funcionando como repetidor com fio conectado na porta Gigabit de Archer A6 usando o cabo CAT5E. Agora, a casa completa recebeu wifi estável de 160 Mbps na banda de 5 GHz. Atualizarei mais uma vez quando a conexão FTTH for bem -sucedida., Bom produto até agora 1 mês, estou muito satisfeito., Estou realmente satisfeito com este produto, pois antes meu telefone é Continue sendo desconectado do WiFi e eu costumava reconectá -lo, e da mesma maneira que a VPN é continuar se reconectando no meu laptop, portanto, minhas equipes são usadas para desconectar durante a reunião. Agora estou feliz com este produto onde minha VPN não está se reconectando, mesmo a Internet vai para baixo e se houver alguma flagrações na rede. Controle o roteador</v>
      </c>
    </row>
    <row r="959">
      <c r="A959" s="9" t="s">
        <v>324</v>
      </c>
      <c r="B959" s="29" t="str">
        <f>VLOOKUP(dados!A959, reviews!A:G, 5, FALSE)</f>
        <v>Good.,Good product,Ultimate product,Good Product,Not that good. But ok for the price.,Fast cable,Fast charging 👍,Best Alternative to Original Cable</v>
      </c>
      <c r="C959" s="29" t="str">
        <f>VLOOKUP(dados!A959, reviews!A:G, 6, FALSE)</f>
        <v>Working well and fast Charing as claimed. Pice is at highside. Good item.,Good working worth of money 💰,It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fast👍Good product 👍,Works for both DASH and WARP Charging. Good build quality.</v>
      </c>
      <c r="D959" s="29" t="str">
        <f>IFERROR(__xludf.DUMMYFUNCTION("GOOGLETRANSLATE(B959, ""en"", ""pt-br"")"),"Bom., Bom produto, produto final, bom produto, não tão bom. Mas ok para o preço., Cabo rápido, carregamento rápido 👍, melhor alternativa ao cabo original")</f>
        <v>Bom., Bom produto, produto final, bom produto, não tão bom. Mas ok para o preço., Cabo rápido, carregamento rápido 👍, melhor alternativa ao cabo original</v>
      </c>
      <c r="E959" s="29" t="str">
        <f>IFERROR(__xludf.DUMMYFUNCTION("GOOGLETRANSLATE(C959, ""en"", ""pt-br"")"),"Trabalhando bem e charing rápido, conforme reivindicado. Pice está em Highside. Bom item., Bom trabalho em dinheiro 💰, é um cabo incrível que eu o recebi da Amazon. Carregue meu telefone de uma maneira rápida. O cabo é bom em qualidade e carrega rapidame"&amp;"nte, conseguiu em bom negócio na venda., Não é um carregador rápido. Diz uma carga rápida, mas leva uma eternidade para cobrar. Mas o fio é forte e durável., Super rápido, carregando um produto muito rápido, funciona para o carregamento de traço e urdidur"&amp;"a. Boa qualidade de construção.")</f>
        <v>Trabalhando bem e charing rápido, conforme reivindicado. Pice está em Highside. Bom item., Bom trabalho em dinheiro 💰, é um cabo incrível que eu o recebi da Amazon. Carregue meu telefone de uma maneira rápida. O cabo é bom em qualidade e carrega rapidamente, conseguiu em bom negócio na venda., Não é um carregador rápido. Diz uma carga rápida, mas leva uma eternidade para cobrar. Mas o fio é forte e durável., Super rápido, carregando um produto muito rápido, funciona para o carregamento de traço e urdidura. Boa qualidade de construção.</v>
      </c>
    </row>
    <row r="960">
      <c r="A960" s="9" t="s">
        <v>3807</v>
      </c>
      <c r="B960" s="29" t="str">
        <f>VLOOKUP(dados!A960, reviews!A:G, 5, FALSE)</f>
        <v>Worth it for the price,Ink goes very fast,Best print Quality.,Not everything looks right.,It's nice,Good one,Good for home printing and school assigmntsnment,After every 100 copy cartridge has to be replaced</v>
      </c>
      <c r="C960" s="29" t="str">
        <f>VLOOKUP(dados!A960, reviews!A:G, 6, FALSE)</f>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 something’s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v>
      </c>
      <c r="D960" s="29" t="str">
        <f>IFERROR(__xludf.DUMMYFUNCTION("GOOGLETRANSLATE(B960, ""en"", ""pt-br"")"),"Vale a pena pelo preço, a tinta é muito rápida, a melhor qualidade de impressão., Nem tudo parece certo., É bom, bom, bom para impressão em casa e AssigMntsnment da escola, depois que cada 100 cópia do cartucho deve ser substituído")</f>
        <v>Vale a pena pelo preço, a tinta é muito rápida, a melhor qualidade de impressão., Nem tudo parece certo., É bom, bom, bom para impressão em casa e AssigMntsnment da escola, depois que cada 100 cópia do cartucho deve ser substituído</v>
      </c>
      <c r="E960" s="29" t="str">
        <f>IFERROR(__xludf.DUMMYFUNCTION("GOOGLETRANSLATE(C960, ""en"", ""pt-br"")"),"A capacidade do WiFi de se conectar com a impressora não é muito boa, eu fiz minha primeira impressão e a tinta desaparecida rapidamente, pois a água evapora sob o sol. Loli'm fazendo uma troca., Bons produtos e uma qualidade de impressão muito boa., A im"&amp;"pressora veio frouxamente colocada na caixa de impressora HP sem nenhuma das embalagens usuais de isopor. Estava chocando na caixa antes de ser aberto. Depois de alguns dias de uso muito leve, provavelmente não mais que 10 a 20 páginas, ambos os cartuchos"&amp;" da impressora correram baixo e o preto já acabou. Eu tive que substituí -lo. Quando estava instalando a impressora, notei que os cartuchos não tinham a fita de proteção sobre eles. Não pensei muito nisso. Ou alguém abriu uma nova caixa, inseriu cartuchos"&amp;" usados ​​e tirou os novos. O scanner também não parece funcionar. A impressão é boa e funciona. Eu acho que o problema está com a empresa que vendeu e enviou para mim - algo está errado aqui., É bom, mas reserve um tempo para a instalação que causa probl"&amp;"emas imediatamente depois disso, é fácil de usar, melhor para a necessidade de casa!, Foi entregue hoje hoje E configurei usando o cabo e disparei poucas impressões. A qualidade da impressão é boa. Precisa ver quanto tempo dura o Catridge ... mas, para fi"&amp;"ns domésticos e uso médio, acho que funciona, há algum problema sério com o produto, ele não está funcionando agora, precisa de engenheiro de serviço para repará -lo.")</f>
        <v>A capacidade do WiFi de se conectar com a impressora não é muito boa, eu fiz minha primeira impressão e a tinta desaparecida rapidamente, pois a água evapora sob o sol. Loli'm fazendo uma troca., Bons produtos e uma qualidade de impressão muito boa., A impressora veio frouxamente colocada na caixa de impressora HP sem nenhuma das embalagens usuais de isopor. Estava chocando na caixa antes de ser aberto. Depois de alguns dias de uso muito leve, provavelmente não mais que 10 a 20 páginas, ambos os cartuchos da impressora correram baixo e o preto já acabou. Eu tive que substituí -lo. Quando estava instalando a impressora, notei que os cartuchos não tinham a fita de proteção sobre eles. Não pensei muito nisso. Ou alguém abriu uma nova caixa, inseriu cartuchos usados ​​e tirou os novos. O scanner também não parece funcionar. A impressão é boa e funciona. Eu acho que o problema está com a empresa que vendeu e enviou para mim - algo está errado aqui., É bom, mas reserve um tempo para a instalação que causa problemas imediatamente depois disso, é fácil de usar, melhor para a necessidade de casa!, Foi entregue hoje hoje E configurei usando o cabo e disparei poucas impressões. A qualidade da impressão é boa. Precisa ver quanto tempo dura o Catridge ... mas, para fins domésticos e uso médio, acho que funciona, há algum problema sério com o produto, ele não está funcionando agora, precisa de engenheiro de serviço para repará -lo.</v>
      </c>
    </row>
    <row r="961">
      <c r="A961" s="9" t="s">
        <v>2221</v>
      </c>
      <c r="B961" s="29" t="str">
        <f>VLOOKUP(dados!A961, reviews!A:G, 5, FALSE)</f>
        <v>Good,NICE 👍 IN VALUE.PARACASED ON TWO OLY,Working fine,Good product,Good one,Good one,Very good product,Decent product, worth every penny</v>
      </c>
      <c r="C961" s="29" t="str">
        <f>VLOOKUP(dados!A961, reviews!A:G, 6, FALSE)</f>
        <v>Expect it will last long, price wise it's a good product. Till date it's working well.,One slot got out of order and one using now.value of money and second slot of the charger is average to use.🤪🤪🤪😂😂🇮🇳,Good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v>
      </c>
      <c r="D961" s="29" t="str">
        <f>IFERROR(__xludf.DUMMYFUNCTION("GOOGLETRANSLATE(B961, ""en"", ""pt-br"")"),"Bom, bom 👍 em valor.")</f>
        <v>Bom, bom 👍 em valor.</v>
      </c>
      <c r="E961" s="29" t="str">
        <f>IFERROR(__xludf.DUMMYFUNCTION("GOOGLETRANSLATE(C961, ""en"", ""pt-br"")"),"Espere que durará muito, em termos de preço, é um bom produto. Até a data, está funcionando bem., Um slot ficou fora de ordem e um usando agora. 2ampas é carregador de 10 watts., Carregamento rápido, sim, é muito bom, https: //m.media-amazon.com/images/i/"&amp;"61pgvx61i7l._sy88.jpg. Ótimo poder de carregamento até dois dispositivos conectados ao carregador. Carreguei meu pixel 6A e fone de ouvido sem fio juntos, ambos são carregados rapidamente. Mas problema com a qualidade de construção. Uma vez, por engano, f"&amp;"iquei no carregador e a extremidade do soquete quebrou das bordas e saí completamente. Eu tive que consertar isso com um FEVI rápido. Agora funcionando bem. No geral, um produto muito bom. Não pense, basta seguir em frente., É um bom produto para essa fai"&amp;"xa de preço. Funciona bem.")</f>
        <v>Espere que durará muito, em termos de preço, é um bom produto. Até a data, está funcionando bem., Um slot ficou fora de ordem e um usando agora. 2ampas é carregador de 10 watts., Carregamento rápido, sim, é muito bom, https: //m.media-amazon.com/images/i/61pgvx61i7l._sy88.jpg. Ótimo poder de carregamento até dois dispositivos conectados ao carregador. Carreguei meu pixel 6A e fone de ouvido sem fio juntos, ambos são carregados rapidamente. Mas problema com a qualidade de construção. Uma vez, por engano, fiquei no carregador e a extremidade do soquete quebrou das bordas e saí completamente. Eu tive que consertar isso com um FEVI rápido. Agora funcionando bem. No geral, um produto muito bom. Não pense, basta seguir em frente., É um bom produto para essa faixa de preço. Funciona bem.</v>
      </c>
    </row>
    <row r="962">
      <c r="A962" s="9" t="s">
        <v>3812</v>
      </c>
      <c r="B962" s="29" t="str">
        <f>VLOOKUP(dados!A962, reviews!A:G, 5, FALSE)</f>
        <v>Awesome,Good,Product is good but Amazon packaging was worst .,Good,Fufills my need,Good,Nies,Cheap and best WiFi 5 gigabit router</v>
      </c>
      <c r="C962" s="29" t="str">
        <f>VLOOKUP(dados!A962, reviews!A:G, 6, FALSE)</f>
        <v>Watch is awesome 👌 👏SatisfiedWorking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v>
      </c>
      <c r="D962" s="29" t="str">
        <f>IFERROR(__xludf.DUMMYFUNCTION("GOOGLETRANSLATE(B962, ""en"", ""pt-br"")"),"Incrível, bom, o produto é bom, mas a embalagem da Amazon foi pior., Bom, FUFILLS MINHA NECESSIDADE, BOM, NIES, ROUTOR DE GIGABIT DE 5 GIGABITOS BEST")</f>
        <v>Incrível, bom, o produto é bom, mas a embalagem da Amazon foi pior., Bom, FUFILLS MINHA NECESSIDADE, BOM, NIES, ROUTOR DE GIGABIT DE 5 GIGABITOS BEST</v>
      </c>
      <c r="E962" s="29" t="str">
        <f>IFERROR(__xludf.DUMMYFUNCTION("GOOGLETRANSLATE(C962, ""en"", ""pt-br"")"),"O relógio é incrível 👌 👏Satisfiedworking corretamente, bom, embalagem foi muito ruim, bom, bom roteador, bom, nies, um dos roteadores mais baratos de WiFi 5 Gigabit. Aqueles que não estão dispostos a pagar rúpias em 4K ou mais pelos roteadores Wi -Fi 6 "&amp;"e 6e acharão que este será adequado o suficiente. Lembre -se de que os roteadores WiFi 6 e 6e terão, obviamente, melhor desempenho e estabilidade do que os roteadores WiFi 5. Não há problemas em chamadas de vídeo no telefone ou no PC. Nenhuma conexão ou q"&amp;"uaisquer outros problemas até agora. Eu tive que inserir meu nome de usuário e senha de conta fornecidos pelo ISP durante a configuração no site do MIWIFI. Não tenho certeza se esse será o caso de todos. Atualizará em mais alguns meses.")</f>
        <v>O relógio é incrível 👌 👏Satisfiedworking corretamente, bom, embalagem foi muito ruim, bom, bom roteador, bom, nies, um dos roteadores mais baratos de WiFi 5 Gigabit. Aqueles que não estão dispostos a pagar rúpias em 4K ou mais pelos roteadores Wi -Fi 6 e 6e acharão que este será adequado o suficiente. Lembre -se de que os roteadores WiFi 6 e 6e terão, obviamente, melhor desempenho e estabilidade do que os roteadores WiFi 5. Não há problemas em chamadas de vídeo no telefone ou no PC. Nenhuma conexão ou quaisquer outros problemas até agora. Eu tive que inserir meu nome de usuário e senha de conta fornecidos pelo ISP durante a configuração no site do MIWIFI. Não tenho certeza se esse será o caso de todos. Atualizará em mais alguns meses.</v>
      </c>
    </row>
    <row r="963">
      <c r="A963" s="9" t="s">
        <v>3816</v>
      </c>
      <c r="B963" s="29" t="str">
        <f>VLOOKUP(dados!A963, reviews!A:G, 5, FALSE)</f>
        <v>Good product! But price is high,It's good but not bad.,Just Go For it,,It was good and strong and easy to use,RELIABLE, STRONG DESIGN,10/10,Good,It does the job. Better than the one we get with the tripod.</v>
      </c>
      <c r="C963" s="29" t="str">
        <f>VLOOKUP(dados!A963, reviews!A:G, 6, FALSE)</f>
        <v>Overall it is a good product but it is not worth 300Rs. The price should have been lower.,It's good but not bad. Superb quality product. 👍☺️🤗😊,Before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v>
      </c>
      <c r="D963" s="29" t="str">
        <f>IFERROR(__xludf.DUMMYFUNCTION("GOOGLETRANSLATE(B963, ""en"", ""pt-br"")"),"Bom produto! Mas o preço é alto, é bom, mas não ruim., Apenas vá em frente, foi bom, forte e fácil de usar, confiável, design forte, 10/10, bom, faz o trabalho. Melhor do que o que recebemos com o tripé.")</f>
        <v>Bom produto! Mas o preço é alto, é bom, mas não ruim., Apenas vá em frente, foi bom, forte e fácil de usar, confiável, design forte, 10/10, bom, faz o trabalho. Melhor do que o que recebemos com o tripé.</v>
      </c>
      <c r="E963" s="29" t="str">
        <f>IFERROR(__xludf.DUMMYFUNCTION("GOOGLETRANSLATE(C963, ""en"", ""pt-br"")"),"No geral, é um bom produto, mas não vale 300rs. O preço deveria ter sido menor., É bom, mas não é ruim. Produto de qualidade excelente. 👍☺️🤗😊, antes de comprar isso, usei portadores de primavera e meus telefones Samsung e Nokia dobrados devido à alta p"&amp;"ressão; portanto, compre esse produto cegamente. Escrevendo -o após 4 meses de uso diário, eu gosto da cor foi fantástica, era fácil inserir o celular, um adaptador muito bom ter especialmente se você é um vlogger móvel. Muito estável e parece sólido uma "&amp;"vez preso a um tripé. A borracha agarra para segurar o celular no grampo, torna -o resistente e não instável. O celular permanece fixo em seu lugar. O material usado também é sólido., Vale o preço, faz o trabalho e é ajustado como mostrado na descrição. A"&amp;"inda bem que eu consegui isso a um preço tão razoável!, Incrível, comprei para o meu iPhone 13. Funciona bem para o meu telefone.")</f>
        <v>No geral, é um bom produto, mas não vale 300rs. O preço deveria ter sido menor., É bom, mas não é ruim. Produto de qualidade excelente. 👍☺️🤗😊, antes de comprar isso, usei portadores de primavera e meus telefones Samsung e Nokia dobrados devido à alta pressão; portanto, compre esse produto cegamente. Escrevendo -o após 4 meses de uso diário, eu gosto da cor foi fantástica, era fácil inserir o celular, um adaptador muito bom ter especialmente se você é um vlogger móvel. Muito estável e parece sólido uma vez preso a um tripé. A borracha agarra para segurar o celular no grampo, torna -o resistente e não instável. O celular permanece fixo em seu lugar. O material usado também é sólido., Vale o preço, faz o trabalho e é ajustado como mostrado na descrição. Ainda bem que eu consegui isso a um preço tão razoável!, Incrível, comprei para o meu iPhone 13. Funciona bem para o meu telefone.</v>
      </c>
    </row>
    <row r="964">
      <c r="A964" s="9" t="s">
        <v>2206</v>
      </c>
      <c r="B964" s="29" t="str">
        <f>VLOOKUP(dados!A964, reviews!A:G, 5, FALSE)</f>
        <v>Recommended !,Good product,Please wire quality improve karo,Value for money product.,Amazing Performance &amp; Great Quality,A lot of noise when mic is plugged in.,Great product,Good</v>
      </c>
      <c r="C964" s="29" t="str">
        <f>VLOOKUP(dados!A964, reviews!A:G, 6, FALSE)</f>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v>
      </c>
      <c r="D964" s="29" t="str">
        <f>IFERROR(__xludf.DUMMYFUNCTION("GOOGLETRANSLATE(B964, ""en"", ""pt-br"")"),"Recomendado!, Bom produto, por favor, conecte a qualidade, melhore o karo, produto valor para dinheiro., Desempenho incrível e ótima qualidade, muito barulho quando o microfone está conectado., Ótimo produto, bom")</f>
        <v>Recomendado!, Bom produto, por favor, conecte a qualidade, melhore o karo, produto valor para dinheiro., Desempenho incrível e ótima qualidade, muito barulho quando o microfone está conectado., Ótimo produto, bom</v>
      </c>
      <c r="E964" s="29" t="str">
        <f>IFERROR(__xludf.DUMMYFUNCTION("GOOGLETRANSLATE(C964, ""en"", ""pt-br"")"),"Comprei este divisor para 120 rúpias. Não encontrei nenhum problema com este produto. Estou usando o meu evido com fio de ear 2 e o laptop MSI GF63 para testá -lo. Meus feedbacks: meu microfone está funcionando corretamente. Nenhum problema com o som esqu"&amp;"erdo e direito. A qualidade da compra também não é ruim, o Splitter usou um cabo plano que parece durável. Recompensado 👍, bom produto em geral. Eu precisava desse tipo de adaptador para conectar meu fone de ouvido móvel ao meu PC para ouvir e gravar, pa"&amp;"ra que esteja funcionando bem no meu PC, mas o único problema é se o conector do fone de ouvido for inserido totalmente no soquete da linha do PC (lateral frontal), o som é muito baixo, então precisa ser inserido apenas 3/4 e, dessa maneira ., Quando deci"&amp;"di comprar isso, encontrei isso com boas críticas e a Amazon recomendou. Depois de usá -lo por muitos meses, não há perturbação na qualidade, microfone e som. Como eu uso laptop e desktop com o mesmo fone de ouvido, preciso conectar e remover frequentemen"&amp;"te o fone de ouvido do cabo, o cabo está conectado à área de trabalho, Para conectar o fone de ouvido diretamente no laptop, tendo feito isso tantas vezes, não há problema quando se trata de qualidade. Eu recomendei isso aos meus colegas e eles também gos"&amp;"taram do desempenho. Você pode comprar isso sem hesitar., O fone de ouvido Funciona bem, mas quando coloco o Mic Jack no PC, ele cria muito barulho que sou capaz de ouvir facilmente. Às vezes causa um pouco de irritação. Caso contrário, o produto é muito "&amp;"bom, ótimo produto e realmente durável., Bom produto")</f>
        <v>Comprei este divisor para 120 rúpias. Não encontrei nenhum problema com este produto. Estou usando o meu evido com fio de ear 2 e o laptop MSI GF63 para testá -lo. Meus feedbacks: meu microfone está funcionando corretamente. Nenhum problema com o som esquerdo e direito. A qualidade da compra também não é ruim, o Splitter usou um cabo plano que parece durável. Recompensado 👍, bom produto em geral. Eu precisava desse tipo de adaptador para conectar meu fone de ouvido móvel ao meu PC para ouvir e gravar, para que esteja funcionando bem no meu PC, mas o único problema é se o conector do fone de ouvido for inserido totalmente no soquete da linha do PC (lateral frontal), o som é muito baixo, então precisa ser inserido apenas 3/4 e, dessa maneira ., Quando decidi comprar isso, encontrei isso com boas críticas e a Amazon recomendou. Depois de usá -lo por muitos meses, não há perturbação na qualidade, microfone e som. Como eu uso laptop e desktop com o mesmo fone de ouvido, preciso conectar e remover frequentemente o fone de ouvido do cabo, o cabo está conectado à área de trabalho, Para conectar o fone de ouvido diretamente no laptop, tendo feito isso tantas vezes, não há problema quando se trata de qualidade. Eu recomendei isso aos meus colegas e eles também gostaram do desempenho. Você pode comprar isso sem hesitar., O fone de ouvido Funciona bem, mas quando coloco o Mic Jack no PC, ele cria muito barulho que sou capaz de ouvir facilmente. Às vezes causa um pouco de irritação. Caso contrário, o produto é muito bom, ótimo produto e realmente durável., Bom produto</v>
      </c>
    </row>
    <row r="965">
      <c r="A965" s="9" t="s">
        <v>3821</v>
      </c>
      <c r="B965" s="29" t="str">
        <f>VLOOKUP(dados!A965, reviews!A:G, 5, FALSE)</f>
        <v>Grand price good product,Good quality, but not the best,Very good product.,Easy assembly, Easy Installation, PLUG N PLAY.,Good case with less sturdy body,An awesome product!,Good Product, My doubt is with the sturdiness,Great product</v>
      </c>
      <c r="C965" s="29" t="str">
        <f>VLOOKUP(dados!A965, reviews!A:G, 6, FALSE)</f>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v>
      </c>
      <c r="D965" s="29" t="str">
        <f>IFERROR(__xludf.DUMMYFUNCTION("GOOGLETRANSLATE(B965, ""en"", ""pt-br"")"),"Grand Price Bom produto, boa qualidade, mas não o melhor e muito bom produto., Montagem fácil, instalação fácil, plug n play., Bom caso com corpo menos resistente, um produto incrível!, Bom produto, minha dúvida está com a robustez ,Ótimo produto")</f>
        <v>Grand Price Bom produto, boa qualidade, mas não o melhor e muito bom produto., Montagem fácil, instalação fácil, plug n play., Bom caso com corpo menos resistente, um produto incrível!, Bom produto, minha dúvida está com a robustez ,Ótimo produto</v>
      </c>
      <c r="E965" s="29" t="str">
        <f>IFERROR(__xludf.DUMMYFUNCTION("GOOGLETRANSLATE(C965, ""en"", ""pt-br"")"),"Grande produto, de boa qualidade, mas não é o melhor. Também posso colocar minhas unidades internas e torná -lo externo, facilitando o acesso aos meus arquivos, formate minha unidade ou usá -lo para outros propósitos. E os produtos ORICO são realmente res"&amp;"istentes e bem acabados., Vale a pena comprar o produto, muito fácil de conectar o HDD no caso, apenas deslize a tampa e insira o disco, conecte o cabo e você está pronto. A velocidade também é muito boa. , O caso é muito bom em conectividade e velocidade"&amp;" de transferência, mas o corpo do caso é composto de plástico de baixa qualidade. É aconselhável ir para o caso Adata., Eu uso isso há alguns dias e finalmente estou escrevendo uma revisão para este item. Funciona perfeitamente bem. Conectei meu laptop de"&amp;" 10 anos em HDD e estou recebendo velocidade de leitura/gravação de 75 a 80 Mbps (mega bytes). Anteriormente, comprei um ""cabo SATA"" que prometeu USB 3.0, mas que não me deu mais de 900kbps. Então, desta vez, fiz minha escolha e consegui isso., Funciona"&amp;" bem e fácil de instalar. Minha dúvida está com a robustez. Usará por alguns meses e atualizará., Super leve e realmente resistente")</f>
        <v>Grande produto, de boa qualidade, mas não é o melhor. Também posso colocar minhas unidades internas e torná -lo externo, facilitando o acesso aos meus arquivos, formate minha unidade ou usá -lo para outros propósitos. E os produtos ORICO são realmente resistentes e bem acabados., Vale a pena comprar o produto, muito fácil de conectar o HDD no caso, apenas deslize a tampa e insira o disco, conecte o cabo e você está pronto. A velocidade também é muito boa. , O caso é muito bom em conectividade e velocidade de transferência, mas o corpo do caso é composto de plástico de baixa qualidade. É aconselhável ir para o caso Adata., Eu uso isso há alguns dias e finalmente estou escrevendo uma revisão para este item. Funciona perfeitamente bem. Conectei meu laptop de 10 anos em HDD e estou recebendo velocidade de leitura/gravação de 75 a 80 Mbps (mega bytes). Anteriormente, comprei um "cabo SATA" que prometeu USB 3.0, mas que não me deu mais de 900kbps. Então, desta vez, fiz minha escolha e consegui isso., Funciona bem e fácil de instalar. Minha dúvida está com a robustez. Usará por alguns meses e atualizará., Super leve e realmente resistente</v>
      </c>
    </row>
    <row r="966">
      <c r="A966" s="9" t="s">
        <v>3825</v>
      </c>
      <c r="B966" s="29" t="str">
        <f>VLOOKUP(dados!A966, reviews!A:G, 5, FALSE)</f>
        <v>very nice design and long lasting,Good mouse,Long time user. This mouse is built like a tank,GAMING MASTERPIECE? *REVIEW AFTER 1 WEEK*,Amazing mouse, bad cable,Too Heavy for anything,Best gaming mouse on a budget,Amazing Mouse</v>
      </c>
      <c r="C966" s="29" t="str">
        <f>VLOOKUP(dados!A966, reviews!A:G, 6, FALSE)</f>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v>
      </c>
      <c r="D966" s="29" t="str">
        <f>IFERROR(__xludf.DUMMYFUNCTION("GOOGLETRANSLATE(B966, ""en"", ""pt-br"")"),"Design muito bom e usuário de longa duração, duração, bom, bom, um usuário de longa data. Este mouse é construído como um tanque, a obra -prima de jogos? *Revisão após 1 semana*, mouse incrível, cabo ruim, pesado demais para qualquer coisa, melhor mouse d"&amp;"e jogos com orçamento limitado, mouse incrível")</f>
        <v>Design muito bom e usuário de longa duração, duração, bom, bom, um usuário de longa data. Este mouse é construído como um tanque, a obra -prima de jogos? *Revisão após 1 semana*, mouse incrível, cabo ruim, pesado demais para qualquer coisa, melhor mouse de jogos com orçamento limitado, mouse incrível</v>
      </c>
      <c r="E966" s="29" t="str">
        <f>IFERROR(__xludf.DUMMYFUNCTION("GOOGLETRANSLATE(C966, ""en"", ""pt-br"")"),"É um produto realmente bom para os jogadores que eu o recomendaria, bom mouse em geral. O preço é um pouco alto, eu uso esse mouse desde 2019 e devo dizer que a qualidade construída da Logitech é inigualável. Eu joguei e bati esse mouse na minha mesa dura"&amp;"nte minhas sessões de jogos, mas esse mouse ainda sobrevive. Até as garras emborrachadas ainda estão lá. Vá em frente sem qualquer hesitação. Para aqueles que têm problemas de botão, até agora substituí meu clique esquerdo e botão de clique no meio. Comec"&amp;"ei a desenvolver esses problemas após 2 anos. É um trabalho de solda simples para corrigi -lo. Você pode obter interruptores de reposição de Tanotis. Agora eles funcionam tão bem quanto novos., Então eu uso esse mouse há muito tempo e acredita que este é "&amp;"o melhor mouse até agora que já usei. Mas o problema está no cabo, pois outro cliente disse que a qualidade do cabo não é boa, a parte externa do cabo do USB e do lado do mouse sai e os fios internos podem ser visíveis. Embora o mouse funcione bem, isso n"&amp;"ão é bom para o uso de longo prazo. Fora isso, é muito bom rato que temos., Em quase 150g, é ridiculamente pesado para jogos em ritmo acelerado. Para os títulos de RPG relaxados, isso se sairá bem, mas se você quiser tocar algo como as lendas do Apex niss"&amp;"o, esqueça. A forma do mouse é super confortável, apenas o mouse que eu possuía que não me deu nenhuma dor no pulso, mesmo após 4-5 horas de uso contínuo. A qualidade do cabo é o que você espera, como se nem estivesse trançado. Como é um mouse de geração "&amp;"mais antiga, ele não tem o problema de clicar duas vezes a Logitech é infame. Depois de tudo isso, eu diria em 2022, apenas não compre, é velho demais para justificar gastar dinheiro. , Você conhece e ama a Logitech. Este é um dos seus melhores produtos.,"&amp;" Eu diria que isso é o meu orçamento favorito/mouse de jogos. É agradável e confortável, funciona corretamente e também possui vários botões para atribuí -los a várias ações, o que não se limita apenas aos jogos, você também pode atribuí -los às ações do "&amp;"Windows. Absolutamente nenhuma queixa, embora meu irmão pense que parece um besouro :)")</f>
        <v>É um produto realmente bom para os jogadores que eu o recomendaria, bom mouse em geral. O preço é um pouco alto, eu uso esse mouse desde 2019 e devo dizer que a qualidade construída da Logitech é inigualável. Eu joguei e bati esse mouse na minha mesa durante minhas sessões de jogos, mas esse mouse ainda sobrevive. Até as garras emborrachadas ainda estão lá. Vá em frente sem qualquer hesitação. Para aqueles que têm problemas de botão, até agora substituí meu clique esquerdo e botão de clique no meio. Comecei a desenvolver esses problemas após 2 anos. É um trabalho de solda simples para corrigi -lo. Você pode obter interruptores de reposição de Tanotis. Agora eles funcionam tão bem quanto novos., Então eu uso esse mouse há muito tempo e acredita que este é o melhor mouse até agora que já usei. Mas o problema está no cabo, pois outro cliente disse que a qualidade do cabo não é boa, a parte externa do cabo do USB e do lado do mouse sai e os fios internos podem ser visíveis. Embora o mouse funcione bem, isso não é bom para o uso de longo prazo. Fora isso, é muito bom rato que temos., Em quase 150g, é ridiculamente pesado para jogos em ritmo acelerado. Para os títulos de RPG relaxados, isso se sairá bem, mas se você quiser tocar algo como as lendas do Apex nisso, esqueça. A forma do mouse é super confortável, apenas o mouse que eu possuía que não me deu nenhuma dor no pulso, mesmo após 4-5 horas de uso contínuo. A qualidade do cabo é o que você espera, como se nem estivesse trançado. Como é um mouse de geração mais antiga, ele não tem o problema de clicar duas vezes a Logitech é infame. Depois de tudo isso, eu diria em 2022, apenas não compre, é velho demais para justificar gastar dinheiro. , Você conhece e ama a Logitech. Este é um dos seus melhores produtos., Eu diria que isso é o meu orçamento favorito/mouse de jogos. É agradável e confortável, funciona corretamente e também possui vários botões para atribuí -los a várias ações, o que não se limita apenas aos jogos, você também pode atribuí -los às ações do Windows. Absolutamente nenhuma queixa, embora meu irmão pense que parece um besouro :)</v>
      </c>
    </row>
    <row r="967">
      <c r="A967" s="9" t="s">
        <v>3829</v>
      </c>
      <c r="B967" s="29" t="str">
        <f>VLOOKUP(dados!A967, reviews!A:G, 5, FALSE)</f>
        <v>Good rechargeable battery,Seems to be good,Nice,Build quality,Good,Met expectations,Good,Good charger</v>
      </c>
      <c r="C967" s="29" t="str">
        <f>VLOOKUP(dados!A967, reviews!A:G, 6, FALSE)</f>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v>
      </c>
      <c r="D967" s="29" t="str">
        <f>IFERROR(__xludf.DUMMYFUNCTION("GOOGLETRANSLATE(B967, ""en"", ""pt-br"")"),"Boa bateria recarregável, parece ser boa, boa, de qualidade de construção, boa, atendimento às expectativas, bom, bom carregador")</f>
        <v>Boa bateria recarregável, parece ser boa, boa, de qualidade de construção, boa, atendimento às expectativas, bom, bom carregador</v>
      </c>
      <c r="E967" s="29" t="str">
        <f>IFERROR(__xludf.DUMMYFUNCTION("GOOGLETRANSLATE(C967, ""en"", ""pt-br"")"),"Um bom conjunto de bateria para uso com telefones sem fio. Carregamento rápido, vida longa., Bom produto. Não há problema até agora. Um pouco caro comparado a outras marcas, bom, mas um pouco caro comparado a outros produtos, a qualidade é boa, o indicado"&amp;"r é muito útil, bom carregador, comprou a versão BQ-CC61N disso. Ele carrega minhas baterias Duracell muito bem. A única desvantagem é que leva um tempo para carga total (mais de 7 horas) para baterias de 900mAh AAA Duracell. O indicador de LED verde é um"&amp;" pouco confuso, porque não muda de cor e a maneira de saber que terminou o carregamento é se o LED desligou. No geral, muito feliz com isso., Usando mouse sem fio, em vez de comprar baterias repetidas vezes, isso está funcionando muito bem, carregador inc"&amp;"rível, ele carrega a bateria muito rapidamente e a porcentagem de carregamento da bateria também mostrando com muita eficiência.")</f>
        <v>Um bom conjunto de bateria para uso com telefones sem fio. Carregamento rápido, vida longa., Bom produto. Não há problema até agora. Um pouco caro comparado a outras marcas, bom, mas um pouco caro comparado a outros produtos, a qualidade é boa, o indicador é muito útil, bom carregador, comprou a versão BQ-CC61N disso. Ele carrega minhas baterias Duracell muito bem. A única desvantagem é que leva um tempo para carga total (mais de 7 horas) para baterias de 900mAh AAA Duracell. O indicador de LED verde é um pouco confuso, porque não muda de cor e a maneira de saber que terminou o carregamento é se o LED desligou. No geral, muito feliz com isso., Usando mouse sem fio, em vez de comprar baterias repetidas vezes, isso está funcionando muito bem, carregador incrível, ele carrega a bateria muito rapidamente e a porcentagem de carregamento da bateria também mostrando com muita eficiência.</v>
      </c>
    </row>
    <row r="968">
      <c r="A968" s="9" t="s">
        <v>3833</v>
      </c>
      <c r="B968" s="29" t="str">
        <f>VLOOKUP(dados!A968, reviews!A:G, 5, FALSE)</f>
        <v>Convenience product,K380 &amp; M350 Lavender,Excellent keybaord,Very handy andneasy to use .. the quality is as expected from logitech,Cool keyboard,Not worth the hype, but manageable,A Robust, High-Quality, Ergonomic Keyboard.,The best Keyboard for a Mac Environment</v>
      </c>
      <c r="C968" s="29" t="str">
        <f>VLOOKUP(dados!A968, reviews!A:G, 6, FALSE)</f>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good.,It’s one of the best budget keyboards I have ever used.. the membrane keys are very soft and easy to click… not lift off weight … easy on the fingers … it’s been around 1yr since I bought this keyboard … and Iam using it ever since … no issues so far and Iam highly satisfied with my purchase… definitely gonna recommend it ….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v>
      </c>
      <c r="D968" s="29" t="str">
        <f>IFERROR(__xludf.DUMMYFUNCTION("GOOGLETRANSLATE(B968, ""en"", ""pt-br"")"),"Produto de conveniência, lavanda K380 e M350, excelente keybaord, muito útil e ingênuo de usar. A qualidade é como esperado do teclado Logitech, Cool, não vale o hype, mas gerenciável, um teclado ergonômico robusto e de alta qualidade. Teclado para um amb"&amp;"iente MAC")</f>
        <v>Produto de conveniência, lavanda K380 e M350, excelente keybaord, muito útil e ingênuo de usar. A qualidade é como esperado do teclado Logitech, Cool, não vale o hype, mas gerenciável, um teclado ergonômico robusto e de alta qualidade. Teclado para um ambiente MAC</v>
      </c>
      <c r="E968" s="29" t="str">
        <f>IFERROR(__xludf.DUMMYFUNCTION("GOOGLETRANSLATE(C968, ""en"", ""pt-br"")"),"Então, eu peguei esse keybaord há alguns dias e ele veio em um pacote que pode ser melhor descrito como sendo agitado por um urso. Foi totalmente espancado e dentro das baterias do teclado, soltas, eu poderia simplesmente recuperá -lo sem problemas. Feliz"&amp;"mente, funciona bem, eu testei todas as chaves e elas são funcionais, então vamos à carne do assunto, ou paneer, se você for vegetariano: acho que o desempenho deste teclado variará de acordo com o seu caso de uso. Para mim, o objetivo principal era obter"&amp;" um keybaord compatível com Android, pois eu mudei a maior parte do meu wokrload do meu laptop para o meu tablet. Eu verifiquei a Internet e resolvi com esse rapaz, porque as críticas brilhantes e do meu amigo que tinham a variante de tinta do teclado. Co"&amp;"mprei -o junto com o mouse sem fio Logitech Pebble M350, pois ele veio em um pacote e, honestamente, não me arrependo. Ambos se abrem muito bem no meu tipo de trabalho e tornaram minha vida muito mais fácil. Isso é obviamente um teclado Bluetooth e não po"&amp;"ssui dongles sem fio escondidos na perseguição (eu verifiquei). O teclado não tem luz de fundo, conforme o esperado de um Eyboard sem fio que roda em baterias regulares da tocha de caneta e, de meus amigos, experimentar essa bateria durará muito tempo. A "&amp;"principal característica deste teclado sem fio sobre as outras marcas no mercado é a capacidade de alternar entre 3 dispositivos capazes de Bluetooth com a pressão de um botão. Agora, pessoalmente, pensei que não usaria esse recurso muito, já que eu estav"&amp;"a usando esse teclado para o meu tablet Android. Mas então eu percebi que eu poderia configurar meu laptop como um segundo dispositivo e alternar entre meu tablet e laptop sem problemas para facilitar a digitação de papéis no meu laptop e respondendo a te"&amp;"xtos, e -mails no meu tablet Android ao mesmo tempo . Atualmente, não consigo parar de usar esse recurso, pois tenho meu telefone, tablet e laptop emparelhados com esse keybaord e minha produtividade se tornou muito mais eficaz. Sinceramente, é muito arru"&amp;"mado. As chaves são arredondadas, o que é muito mais agradável de digitar do que, digamos, as teclas quadradas, e a ligeira inclinação do teclado serve como um bom ângulo que reduz a fadiga dos dedos durante a digitação. Isso vem sem descanso de pulso, pa"&amp;"ra que as pessoas que tiveram ferimentos na mão devem procurar outro teclado ou comprar o descanso de pulso separadamente. As teclas são teclas de membrana e se sentem um pouco rígidas na minha opinião honesta, mas, no entanto, tem um bom feedback e a exp"&amp;"eriência de digitação é muito confortável. Ele não tem um bloco de números como você viu nas imagens do produto, por isso, se você é alguém que desvia muitos números, você pode querer pular esse teclado. A latência é bastante baixa da minha perspectiva, e"&amp;"u não No entanto, acho que eles têm essa tecnologia crocante da Logitech LightSpeed ​​incorporada a ela, mas você não usará isso para jogos e, se estiver planejando, por favor, não. Este teclado tem um desempenho horrível em jogos, e quero dizer que é ter"&amp;"rível. Este é um keybaord direcionado a pessoas que digitam muito em vários dispositivos e é construído com a portabilidade em mente. Se sou ambicioso o suficiente, provavelmente posso enfiar esse teclado no bolso, por causa de quão pequeno é. Como meus a"&amp;"migos dizem que eu tenho mãos pequenas, bem, esse teclado provavelmente foi projetado para um rato porque minhas mãos são enormes em comparação com esse keybaord. Às vezes, enquanto estou descansando a mão na alavanca, meu dedo anelar pressiona acidentalm"&amp;"ente um dos botões de mídia mole no topo e tudo o que estou fazendo é entra em estase. Mas isso é mais um problema de ME do que um problema com este teclado. Ele vem com teclas de seta, o que é muito surpreendente. Na verdade, eles conseguiram espremê -lo"&amp;". Quero dizer que é praticamente isso para esse keybaord. Não compre por Rs.3k, sugiro esperar um desconto, porque isso certamente não vale tanto. Eu diria que isso é como um teclado Rs.1.4k, mas essa é apenas a minha opinião. Se você está comprando isso "&amp;"para a experiência do Android, eu sujo a compra de compra com o mouse. Porque os dois meio que completam um ao outro. Com isso dito, vou concluir minha revisão., Mouse foi excitado. Além disso, não há problemas descobertos até agora, está indo bem., É um "&amp;"dos melhores teclados de orçamento que eu já usei. As teclas de membrana são muito macias e fáceis de clicar ... não levantam peso ... fácil nos dedos ... tem sido Por volta de 1 ano desde que comprei este teclado ... e estou usando -o desde então ... não"&amp;" há problemas até agora e estou muito satisfeito com minha compra ... definitivamente vou recomendar…. Experiência de digitação muito boa até agora, https: //m.media-amazon.com/images/i/61liml3ts4l._sy88.jpg,cons: nenhum indicador de bloqueio do caps não "&amp;"é o ajuste da luz de fundo, a viagem de chave é muito menor, por favor Tenha isso em mente. Caso contrário, um produto decente na faixa de preço. Comprei isso em combinação com um mouse Bluetooth da Logitech Pebble M350 com o único objetivo de usá -lo com"&amp;" meu iPad. Ele facilitou minhas tarefas e, com as atualizações recentes do iPados, existem muitos atalhos que tornam o iPad a experiência mais produtiva. Como eu estava optando por um dispositivo de aparência retrô, escolhi a cor da areia. Me deixa nostál"&amp;"gico com os dispositivos de computador da velha escola que tiveram acabamento semelhante. A conectividade é rápida. Você apenas liga e está conectado ao seu dispositivo principal em questão de segundos, ainda menos. As chaves não ficam em silêncio, mas ao"&amp;" mesmo tempo não são altas o suficiente para perturbar seu ambiente. Você pode se conectar até 3 dispositivos e alternar entre eles perfeitamente com o empurrão de um botão. Também estou usando a configuração para jogos. Talvez atualize mais tarde sobre e"&amp;"ssa experiência. Comentários finais: ergonômica, econômica, portátil e adorável! Recomende a compra para todos os que precisam fazer o trabalho rapidamente. Este teclado é incrível, possui uma conectividade impecável e um ótimo tamanho para a portabilidad"&amp;"e. Só que não está equipado com um elevador na parte traseira e sinto falta do design da luz de fundo, mas é um produto de valor para dinheiro. Funciona perfeitamente com Mac e Windows.")</f>
        <v>Então, eu peguei esse keybaord há alguns dias e ele veio em um pacote que pode ser melhor descrito como sendo agitado por um urso. Foi totalmente espancado e dentro das baterias do teclado, soltas, eu poderia simplesmente recuperá -lo sem problemas. Felizmente, funciona bem, eu testei todas as chaves e elas são funcionais, então vamos à carne do assunto, ou paneer, se você for vegetariano: acho que o desempenho deste teclado variará de acordo com o seu caso de uso. Para mim, o objetivo principal era obter um keybaord compatível com Android, pois eu mudei a maior parte do meu wokrload do meu laptop para o meu tablet. Eu verifiquei a Internet e resolvi com esse rapaz, porque as críticas brilhantes e do meu amigo que tinham a variante de tinta do teclado. Comprei -o junto com o mouse sem fio Logitech Pebble M350, pois ele veio em um pacote e, honestamente, não me arrependo. Ambos se abrem muito bem no meu tipo de trabalho e tornaram minha vida muito mais fácil. Isso é obviamente um teclado Bluetooth e não possui dongles sem fio escondidos na perseguição (eu verifiquei). O teclado não tem luz de fundo, conforme o esperado de um Eyboard sem fio que roda em baterias regulares da tocha de caneta e, de meus amigos, experimentar essa bateria durará muito tempo. A principal característica deste teclado sem fio sobre as outras marcas no mercado é a capacidade de alternar entre 3 dispositivos capazes de Bluetooth com a pressão de um botão. Agora, pessoalmente, pensei que não usaria esse recurso muito, já que eu estava usando esse teclado para o meu tablet Android. Mas então eu percebi que eu poderia configurar meu laptop como um segundo dispositivo e alternar entre meu tablet e laptop sem problemas para facilitar a digitação de papéis no meu laptop e respondendo a textos, e -mails no meu tablet Android ao mesmo tempo . Atualmente, não consigo parar de usar esse recurso, pois tenho meu telefone, tablet e laptop emparelhados com esse keybaord e minha produtividade se tornou muito mais eficaz. Sinceramente, é muito arrumado. As chaves são arredondadas, o que é muito mais agradável de digitar do que, digamos, as teclas quadradas, e a ligeira inclinação do teclado serve como um bom ângulo que reduz a fadiga dos dedos durante a digitação. Isso vem sem descanso de pulso, para que as pessoas que tiveram ferimentos na mão devem procurar outro teclado ou comprar o descanso de pulso separadamente. As teclas são teclas de membrana e se sentem um pouco rígidas na minha opinião honesta, mas, no entanto, tem um bom feedback e a experiência de digitação é muito confortável. Ele não tem um bloco de números como você viu nas imagens do produto, por isso, se você é alguém que desvia muitos números, você pode querer pular esse teclado. A latência é bastante baixa da minha perspectiva, eu não No entanto, acho que eles têm essa tecnologia crocante da Logitech LightSpeed ​​incorporada a ela, mas você não usará isso para jogos e, se estiver planejando, por favor, não. Este teclado tem um desempenho horrível em jogos, e quero dizer que é terrível. Este é um keybaord direcionado a pessoas que digitam muito em vários dispositivos e é construído com a portabilidade em mente. Se sou ambicioso o suficiente, provavelmente posso enfiar esse teclado no bolso, por causa de quão pequeno é. Como meus amigos dizem que eu tenho mãos pequenas, bem, esse teclado provavelmente foi projetado para um rato porque minhas mãos são enormes em comparação com esse keybaord. Às vezes, enquanto estou descansando a mão na alavanca, meu dedo anelar pressiona acidentalmente um dos botões de mídia mole no topo e tudo o que estou fazendo é entra em estase. Mas isso é mais um problema de ME do que um problema com este teclado. Ele vem com teclas de seta, o que é muito surpreendente. Na verdade, eles conseguiram espremê -lo. Quero dizer que é praticamente isso para esse keybaord. Não compre por Rs.3k, sugiro esperar um desconto, porque isso certamente não vale tanto. Eu diria que isso é como um teclado Rs.1.4k, mas essa é apenas a minha opinião. Se você está comprando isso para a experiência do Android, eu sujo a compra de compra com o mouse. Porque os dois meio que completam um ao outro. Com isso dito, vou concluir minha revisão., Mouse foi excitado. Além disso, não há problemas descobertos até agora, está indo bem., É um dos melhores teclados de orçamento que eu já usei. As teclas de membrana são muito macias e fáceis de clicar ... não levantam peso ... fácil nos dedos ... tem sido Por volta de 1 ano desde que comprei este teclado ... e estou usando -o desde então ... não há problemas até agora e estou muito satisfeito com minha compra ... definitivamente vou recomendar…. Experiência de digitação muito boa até agora, https: //m.media-amazon.com/images/i/61liml3ts4l._sy88.jpg,cons: nenhum indicador de bloqueio do caps não é o ajuste da luz de fundo, a viagem de chave é muito menor, por favor Tenha isso em mente. Caso contrário, um produto decente na faixa de preço. Comprei isso em combinação com um mouse Bluetooth da Logitech Pebble M350 com o único objetivo de usá -lo com meu iPad. Ele facilitou minhas tarefas e, com as atualizações recentes do iPados, existem muitos atalhos que tornam o iPad a experiência mais produtiva. Como eu estava optando por um dispositivo de aparência retrô, escolhi a cor da areia. Me deixa nostálgico com os dispositivos de computador da velha escola que tiveram acabamento semelhante. A conectividade é rápida. Você apenas liga e está conectado ao seu dispositivo principal em questão de segundos, ainda menos. As chaves não ficam em silêncio, mas ao mesmo tempo não são altas o suficiente para perturbar seu ambiente. Você pode se conectar até 3 dispositivos e alternar entre eles perfeitamente com o empurrão de um botão. Também estou usando a configuração para jogos. Talvez atualize mais tarde sobre essa experiência. Comentários finais: ergonômica, econômica, portátil e adorável! Recomende a compra para todos os que precisam fazer o trabalho rapidamente. Este teclado é incrível, possui uma conectividade impecável e um ótimo tamanho para a portabilidade. Só que não está equipado com um elevador na parte traseira e sinto falta do design da luz de fundo, mas é um produto de valor para dinheiro. Funciona perfeitamente com Mac e Windows.</v>
      </c>
    </row>
    <row r="969">
      <c r="A969" s="9" t="s">
        <v>3837</v>
      </c>
      <c r="B969" s="29" t="str">
        <f>VLOOKUP(dados!A969, reviews!A:G, 5, FALSE)</f>
        <v>Good printer but challenging setup,Use friendly,Printer is good for home usage,Good,Its a nice product,Canon PIXMA E477 All-in-One Wireless Ink Efficient Colour Printer (White/Blue),Photos ar not clear,Perfect printer for home purpose</v>
      </c>
      <c r="C969" s="29" t="str">
        <f>VLOOKUP(dados!A969, reviews!A:G, 6, FALSE)</f>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v>
      </c>
      <c r="D969" s="29" t="str">
        <f>IFERROR(__xludf.DUMMYFUNCTION("GOOGLETRANSLATE(B969, ""en"", ""pt-br"")"),"Boa impressora, mas uma configuração desafiadora, use amigável, a impressora é boa para uso doméstico, bom, é um bom produto, Canon Pixma e477 All-in-One Wireless Ink End Eficiente Color Printer (branco/azul), fotos não claras, impressora perfeita para fi"&amp;"ns domésticos")</f>
        <v>Boa impressora, mas uma configuração desafiadora, use amigável, a impressora é boa para uso doméstico, bom, é um bom produto, Canon Pixma e477 All-in-One Wireless Ink End Eficiente Color Printer (branco/azul), fotos não claras, impressora perfeita para fins domésticos</v>
      </c>
      <c r="E969" s="29" t="str">
        <f>IFERROR(__xludf.DUMMYFUNCTION("GOOGLETRANSLATE(C969, ""en"", ""pt-br"")"),"A impressora é compacta e faz o trabalho. Não há preocupações com o tempo gasto ou a qualidade da impressão. O único markdown para este produto é a configuração. O manual do usuário é breve e não explica como configurar a impressora sem fio ou por USB. Pa"&amp;"ssamos uma boa hora tendo que examinar o manual on -line e os vídeos do You Tube para entender como isso foi configurado e por tentativa e erro, conseguimos preparar tudo., Fácil de instalar, boa impressão e o suficiente para uso doméstico, mas instalação"&amp;" é bastante tedioso., Produto orçamentário. A instalação foi uma dor de cabeça. Não sabia se foi feito ou não. Mas a impressão sem fio está funcionando de alguma forma. Faz o trabalho., A impressora é boa para uso pessoal. Está funcionando bem até agora. "&amp;"É fácil de usar. A qualidade de impressão também é boa. A digitalização é fácil e sua imagem está bem. A qualidade do produto Canon é bom dizer., Remessa recebida a tempo em 25 de setembro devido à falta de tempo, pude testar o produto recentemente. Está "&amp;"funcionando bem. O WI FI configurado não pôde executar com sucesso, tentarei novamente em breve. Outras funções estão funcionando satisfatórias. Apenas preocupado é que o custo de seus cartuchos de tinta., Imprimindo a AR de uma foto totalmente clara, pro"&amp;"fissionais: 1) o melhor / único wifi tudo em uma impressora na faixa de 5k com economia de tinta (assim chamado) .2) baixo uso necessário e baixa manutenção: pensei em comprar tanque de tinta, mas aprendi com os amigos que é adequado para impressão pesada"&amp;" e quando eles não o usaram por um tempo necessários. Por isso, decidiu ir buscar a jato de tinta com manutenção de baixo custo. Isso não requer impressão diária como tanques de tinta.3) O produto é sólido e não há problemas observados até agora. Muitas r"&amp;"evisões de longo prazo também confirmaram funcionamento impecável por anos, então decidi este modelo.4) Qualidade de impressão: o preto é muito bom, mas a cor é média. Faz o trabalho para o Projeto da Escola para Crianças. A configuração do WiFi levou pou"&amp;"co tempo (uma hora). Eu odeio ler manuais e foi a primeira vez com uma impressora em casa.6) A impressão Wi-Fi via Mobile é uma brisa com o aplicativo Canon Selphy. O Easy Photo Editor da Canon também é bastante útil /Handy.Cons:1) O preto é bom, mas a co"&amp;"r é bastante médio. Como eu disse, bom o suficiente para fins de casa /estudantes.2) Não está satisfeito com os carrinhos fornecidos pela Canon. Eles parecem preencher apenas metade ou menos para fins de demonstração. Ele deu cerca de 100 páginas para pre"&amp;"to e 15 a 20 páginas de cor com configurações de qualidade mais baixa (onde eles reivindicam 250 pretos e 100 cores). Ambas as carrinhos estavam quase vazias e o aplicativo móvel começou a mostrar o mesmo.2) Custo e rendimento de cartuchos da tinta: os ca"&amp;"rtuchos de custo parecem estar aumentando (quando eu estava comprando isso, era cerca de 500 para preto, mas agora é cerca de 600) e eu não tinha não Fé no rendimento com base no que tenho com carrinhos de estoque. Não vale a pena comprar cartidges, então"&amp;" vá para recarga.3) Encontramos apenas CL 57s, o que é pequeno. Onde está o CL 57 (tamanho grande)? Não foi possível encontrar em nenhum lugar online.")</f>
        <v>A impressora é compacta e faz o trabalho. Não há preocupações com o tempo gasto ou a qualidade da impressão. O único markdown para este produto é a configuração. O manual do usuário é breve e não explica como configurar a impressora sem fio ou por USB. Passamos uma boa hora tendo que examinar o manual on -line e os vídeos do You Tube para entender como isso foi configurado e por tentativa e erro, conseguimos preparar tudo., Fácil de instalar, boa impressão e o suficiente para uso doméstico, mas instalação é bastante tedioso., Produto orçamentário. A instalação foi uma dor de cabeça. Não sabia se foi feito ou não. Mas a impressão sem fio está funcionando de alguma forma. Faz o trabalho., A impressora é boa para uso pessoal. Está funcionando bem até agora. É fácil de usar. A qualidade de impressão também é boa. A digitalização é fácil e sua imagem está bem. A qualidade do produto Canon é bom dizer., Remessa recebida a tempo em 25 de setembro devido à falta de tempo, pude testar o produto recentemente. Está funcionando bem. O WI FI configurado não pôde executar com sucesso, tentarei novamente em breve. Outras funções estão funcionando satisfatórias. Apenas preocupado é que o custo de seus cartuchos de tinta., Imprimindo a AR de uma foto totalmente clara, profissionais: 1) o melhor / único wifi tudo em uma impressora na faixa de 5k com economia de tinta (assim chamado) .2) baixo uso necessário e baixa manutenção: pensei em comprar tanque de tinta, mas aprendi com os amigos que é adequado para impressão pesada e quando eles não o usaram por um tempo necessários. Por isso, decidiu ir buscar a jato de tinta com manutenção de baixo custo. Isso não requer impressão diária como tanques de tinta.3) O produto é sólido e não há problemas observados até agora. Muitas revisões de longo prazo também confirmaram funcionamento impecável por anos, então decidi este modelo.4) Qualidade de impressão: o preto é muito bom, mas a cor é média. Faz o trabalho para o Projeto da Escola para Crianças. A configuração do WiFi levou pouco tempo (uma hora). Eu odeio ler manuais e foi a primeira vez com uma impressora em casa.6) A impressão Wi-Fi via Mobile é uma brisa com o aplicativo Canon Selphy. O Easy Photo Editor da Canon também é bastante útil /Handy.Cons:1) O preto é bom, mas a cor é bastante médio. Como eu disse, bom o suficiente para fins de casa /estudantes.2) Não está satisfeito com os carrinhos fornecidos pela Canon. Eles parecem preencher apenas metade ou menos para fins de demonstração. Ele deu cerca de 100 páginas para preto e 15 a 20 páginas de cor com configurações de qualidade mais baixa (onde eles reivindicam 250 pretos e 100 cores). Ambas as carrinhos estavam quase vazias e o aplicativo móvel começou a mostrar o mesmo.2) Custo e rendimento de cartuchos da tinta: os cartuchos de custo parecem estar aumentando (quando eu estava comprando isso, era cerca de 500 para preto, mas agora é cerca de 600) e eu não tinha não Fé no rendimento com base no que tenho com carrinhos de estoque. Não vale a pena comprar cartidges, então vá para recarga.3) Encontramos apenas CL 57s, o que é pequeno. Onde está o CL 57 (tamanho grande)? Não foi possível encontrar em nenhum lugar online.</v>
      </c>
    </row>
    <row r="970">
      <c r="A970" s="9" t="s">
        <v>301</v>
      </c>
      <c r="B970" s="29" t="str">
        <f>VLOOKUP(dados!A970, reviews!A:G, 5, FALSE)</f>
        <v>Iphone User,Overall good,Perfect price, perfect fit,Good,Worth,Perfect replacement for Apple cable,At this price it's a steal.,Good cable with decent price</v>
      </c>
      <c r="C970" s="29" t="str">
        <f>VLOOKUP(dados!A970, reviews!A:G, 6, FALSE)</f>
        <v>Good braided cable. Long length. Quick charge. I m using XR. This cable value for money. But chager apple OEM. Portronics type c to lighting  cable worth.,It’s easy to carry and the build quality is quite ok charging speed to almost equal to original oneGiving this review after 1 month usage,Great fit connector, l shaped connectors are convenient and better than some higher priced products.,good,Best product at this price range go for it🔥🔥🔥 and the software shows product will be genuine 🔥 most recommended braided cable for 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v>
      </c>
      <c r="D970" s="29" t="str">
        <f>IFERROR(__xludf.DUMMYFUNCTION("GOOGLETRANSLATE(B970, ""en"", ""pt-br"")"),"Usuário do iPhone, preço bom, perfeito, ajuste perfeito, bom, valor, substituto perfeito para o cabo de maçã, a esse preço é um roubo., Bom cabo com preço decente")</f>
        <v>Usuário do iPhone, preço bom, perfeito, ajuste perfeito, bom, valor, substituto perfeito para o cabo de maçã, a esse preço é um roubo., Bom cabo com preço decente</v>
      </c>
      <c r="E970" s="29" t="str">
        <f>IFERROR(__xludf.DUMMYFUNCTION("GOOGLETRANSLATE(C970, ""en"", ""pt-br"")"),"Bom cabo trançado. Comprimento longo. Carga rápida. Estou usando xr. Este valor de cabo para dinheiro. Mas Chager Apple OEM. Retrdons Tipo C para o valor do cabo de iluminação., É fácil de transportar e a qualidade da construção é uma velocidade de carreg"&amp;"amento bastante OK para quase igual ao original para o One Giving nesta revisão após um mês de uso, conector de excelente ajuste, os conectores em forma de L são convenientes e melhores do que alguns preços mais altos Produtos., Bom, o melhor produto ness"&amp;"a faixa de preço vá para It🔥🔥🔥 e o software mostra que o produto será genuíno. Excelente qualidade e suporta boas velocidades de carregamento. Tipo C para Lightning 20W a esse preço (250rs) é um negócio roubado. Ninguém está dando essa qualidade a esse"&amp;" preço, um bom cabo disponível a um preço decente de Rs. 312. PROSGOOD Design.L Os conectores em forma de trabalho ajudarão a manter o Phone e o Power Bank em bolsa ou bolso sem causar e danificar os pinos de carregamento. O carregamento rápido e compatív"&amp;"el com todos os adaptadores de potência de carregamento rápido.")</f>
        <v>Bom cabo trançado. Comprimento longo. Carga rápida. Estou usando xr. Este valor de cabo para dinheiro. Mas Chager Apple OEM. Retrdons Tipo C para o valor do cabo de iluminação., É fácil de transportar e a qualidade da construção é uma velocidade de carregamento bastante OK para quase igual ao original para o One Giving nesta revisão após um mês de uso, conector de excelente ajuste, os conectores em forma de L são convenientes e melhores do que alguns preços mais altos Produtos., Bom, o melhor produto nessa faixa de preço vá para It🔥🔥🔥 e o software mostra que o produto será genuíno. Excelente qualidade e suporta boas velocidades de carregamento. Tipo C para Lightning 20W a esse preço (250rs) é um negócio roubado. Ninguém está dando essa qualidade a esse preço, um bom cabo disponível a um preço decente de Rs. 312. PROSGOOD Design.L Os conectores em forma de trabalho ajudarão a manter o Phone e o Power Bank em bolsa ou bolso sem causar e danificar os pinos de carregamento. O carregamento rápido e compatível com todos os adaptadores de potência de carregamento rápido.</v>
      </c>
    </row>
    <row r="971">
      <c r="A971" s="9" t="s">
        <v>3842</v>
      </c>
      <c r="B971" s="29" t="str">
        <f>VLOOKUP(dados!A971, reviews!A:G, 5, FALSE)</f>
        <v>product one time replace worthy product i got,Great,Works decently. Does have some issues,Best In Budget,Heavy and a bit easy to heat up.,No compromise,Super in low budget,Paisa Vasool product as per budget.</v>
      </c>
      <c r="C971" s="29" t="str">
        <f>VLOOKUP(dados!A971, reviews!A:G, 6, FALSE)</f>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v>
      </c>
      <c r="D971" s="29" t="str">
        <f>IFERROR(__xludf.DUMMYFUNCTION("GOOGLETRANSLATE(B971, ""en"", ""pt-br"")"),"Produto uma vez substitua o produto digno que obtive, ótimo, funciona decentemente. Tem alguns problemas, o melhor em orçamento, pesado e um pouco fácil de esquentar., Sem compromisso, super em baixo orçamento, produto Paisa Vasool, conforme o orçamento.")</f>
        <v>Produto uma vez substitua o produto digno que obtive, ótimo, funciona decentemente. Tem alguns problemas, o melhor em orçamento, pesado e um pouco fácil de esquentar., Sem compromisso, super em baixo orçamento, produto Paisa Vasool, conforme o orçamento.</v>
      </c>
      <c r="E971" s="29" t="str">
        <f>IFERROR(__xludf.DUMMYFUNCTION("GOOGLETRANSLATE(C971, ""en"", ""pt-br"")"),"Preço de tempo de compra 1499 Eu peguei este telefone principal. Eu tenho o produto de uso no pacote pela primeira vez, mas esse som alto de alto -falante para o lado esquerdo, então eu substituo esse produto 2ª caixa de produto não é bom, mas produto bom"&amp;" depois de verificação, não há problema em face agora estou usando 4 meses. Bom jogo PUBG, Free Fire, Battle Field 5, GTA V, terceiro por jogo de tiro jogando minha experiência bem. Por favor, verifique após a compra, uma vez substitua, então eu consegui "&amp;"isso. E lembre -se de oferecer tempo para comprar este produto neste produto Preço e descido Eu compro grandes bilhões de dias., Com o conector USB, este fone de ouvido é bom, mas não é bom para a música base, os fones de ouvido são bons e confortáveis. O"&amp;" som é decente e alto. No entanto, como não possui seu próprio gerenciador de volume e controla apenas o volume de sistemas, tenho que manter o volume do PC para 1% e ainda preciso reduzir os volumes individualmente em aplicativos e navegador. Tão um inco"&amp;"nveniente para mim, pois não ouço as coisas em volumes altos.Mic funciona bem, mas não é exatamente ajustável. O núcleo sólido cercado por uma mola para dobrá -lo, mas ele remonta lentamente a uma extensão e o movimento é limitado. O CABLE é coberto por r"&amp;"evestimento muito grosso e parece durável, no entanto, não está livre de interferência. Se o seu telefone estiver próximo ao cabo, você ouvirá a interferência nos fones de ouvido. A luz no microfone é estática e não indica o status 'mudo'. Pode ser deslig"&amp;"ado ao lado de outras luzes RGB no fone de ouvido. Você pode ouvir um pouco de reclamação quando algum software está tentando acessar o microfone e nada está tocando nos fones de ouvido., 1. 7.1 é apenas incrível2. O software é muito bom3. O conforto é ex"&amp;"celente, não esse bom ruído cancelando4. Eu o comprei por 1600 e, nesse preço, você não consegue obter esse tipo de produto5. Se você tiver um orçamento 2K, tente obter o barco IM300, ele dará melhor conforto e cancelamento de ruído., O produto é bom. Pel"&amp;"o preço, ele tem bons recursos. É um pouco pesado tho. As orelhas esquentam facilmente e você pode começar a suar facilmente., O produto é exibido e é muito bem construído. Mas a parte superior é de metal, o que aumenta o premium-ness, o torna pesado. Alg"&amp;"uém que usa apenas AirPods ou outros TWS achará difícil ajustar. O fio é longo e trançado e o controlador também funciona muito bem. Não há necessidade de drivers externos usarem o controle em dispositivos móveis também. Funciona absolutamente bem com o O"&amp;"TG sem comprometer o cancelamento de ruído. No geral Otg bom som me deixa felizes: FALSO ACDIDO QUE É 7.1 Não houve uma demonstração como se torna 7.1 como se houvesse um arquivo de áudio para demonstração 7.1 ou algum tipo de teste para provar, então na "&amp;"verdade é apenas um fone de estar estéreo mais organizado ... . Mas tudo bem para esse preço como muitos outros que eu conheço .... Real 7.1 será caro e não posso ter certeza de como o ouvido humano responderá a essa técnica ... nesta fase, ainda não esto"&amp;"u convencido de que isso seja Mesmo possível no fone de ouvido de qualquer maneira ... o microfone não é estável e irritado continua abaixo do LIP Level -USP foi destacável pelo menos. Por favor, não procure luz no microfone, pois não está no modelo branc"&amp;"o .... se fica confuso ao ver videopes reclamando Earpain, mas eles não entendem que não é pesado ou apertado, mas o baixo alto e o baixo causa a ouvido que eles não ajustam. Ótima base. Otima qualidade. Eu me senti um pouco pesado, mas tudo bem !!. Melho"&amp;"r produto em seu alcance.")</f>
        <v>Preço de tempo de compra 1499 Eu peguei este telefone principal. Eu tenho o produto de uso no pacote pela primeira vez, mas esse som alto de alto -falante para o lado esquerdo, então eu substituo esse produto 2ª caixa de produto não é bom, mas produto bom depois de verificação, não há problema em face agora estou usando 4 meses. Bom jogo PUBG, Free Fire, Battle Field 5, GTA V, terceiro por jogo de tiro jogando minha experiência bem. Por favor, verifique após a compra, uma vez substitua, então eu consegui isso. E lembre -se de oferecer tempo para comprar este produto neste produto Preço e descido Eu compro grandes bilhões de dias., Com o conector USB, este fone de ouvido é bom, mas não é bom para a música base, os fones de ouvido são bons e confortáveis. O som é decente e alto. No entanto, como não possui seu próprio gerenciador de volume e controla apenas o volume de sistemas, tenho que manter o volume do PC para 1% e ainda preciso reduzir os volumes individualmente em aplicativos e navegador. Tão um inconveniente para mim, pois não ouço as coisas em volumes altos.Mic funciona bem, mas não é exatamente ajustável. O núcleo sólido cercado por uma mola para dobrá -lo, mas ele remonta lentamente a uma extensão e o movimento é limitado. O CABLE é coberto por revestimento muito grosso e parece durável, no entanto, não está livre de interferência. Se o seu telefone estiver próximo ao cabo, você ouvirá a interferência nos fones de ouvido. A luz no microfone é estática e não indica o status 'mudo'. Pode ser desligado ao lado de outras luzes RGB no fone de ouvido. Você pode ouvir um pouco de reclamação quando algum software está tentando acessar o microfone e nada está tocando nos fones de ouvido., 1. 7.1 é apenas incrível2. O software é muito bom3. O conforto é excelente, não esse bom ruído cancelando4. Eu o comprei por 1600 e, nesse preço, você não consegue obter esse tipo de produto5. Se você tiver um orçamento 2K, tente obter o barco IM300, ele dará melhor conforto e cancelamento de ruído., O produto é bom. Pelo preço, ele tem bons recursos. É um pouco pesado tho. As orelhas esquentam facilmente e você pode começar a suar facilmente., O produto é exibido e é muito bem construído. Mas a parte superior é de metal, o que aumenta o premium-ness, o torna pesado. Alguém que usa apenas AirPods ou outros TWS achará difícil ajustar. O fio é longo e trançado e o controlador também funciona muito bem. Não há necessidade de drivers externos usarem o controle em dispositivos móveis também. Funciona absolutamente bem com o OTG sem comprometer o cancelamento de ruído. No geral Otg bom som me deixa felizes: FALSO ACDIDO QUE É 7.1 Não houve uma demonstração como se torna 7.1 como se houvesse um arquivo de áudio para demonstração 7.1 ou algum tipo de teste para provar, então na verdade é apenas um fone de estar estéreo mais organizado ... . Mas tudo bem para esse preço como muitos outros que eu conheço .... Real 7.1 será caro e não posso ter certeza de como o ouvido humano responderá a essa técnica ... nesta fase, ainda não estou convencido de que isso seja Mesmo possível no fone de ouvido de qualquer maneira ... o microfone não é estável e irritado continua abaixo do LIP Level -USP foi destacável pelo menos. Por favor, não procure luz no microfone, pois não está no modelo branco .... se fica confuso ao ver videopes reclamando Earpain, mas eles não entendem que não é pesado ou apertado, mas o baixo alto e o baixo causa a ouvido que eles não ajustam. Ótima base. Otima qualidade. Eu me senti um pouco pesado, mas tudo bem !!. Melhor produto em seu alcance.</v>
      </c>
    </row>
    <row r="972">
      <c r="A972" s="9" t="s">
        <v>3846</v>
      </c>
      <c r="B972" s="29" t="str">
        <f>VLOOKUP(dados!A972, reviews!A:G, 5, FALSE)</f>
        <v>Good product with bad resellers,Works great,Best in Class.,Best quality surge protector,Sturdy and Safe Surge Protector!,Good,Perfect product.,Best quality</v>
      </c>
      <c r="C972" s="29" t="str">
        <f>VLOOKUP(dados!A972, reviews!A:G, 6, FALSE)</f>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v>
      </c>
      <c r="D972" s="29" t="str">
        <f>IFERROR(__xludf.DUMMYFUNCTION("GOOGLETRANSLATE(B972, ""en"", ""pt-br"")"),"Bom produto com revendedores ruins, funciona muito bem, melhor da aula., Protetor de melhor qualidade, protetor de superfície robusta e segura!, Bom e perfeito produto., Melhor qualidade")</f>
        <v>Bom produto com revendedores ruins, funciona muito bem, melhor da aula., Protetor de melhor qualidade, protetor de superfície robusta e segura!, Bom e perfeito produto., Melhor qualidade</v>
      </c>
      <c r="E972" s="29" t="str">
        <f>IFERROR(__xludf.DUMMYFUNCTION("GOOGLETRANSLATE(C972, ""en"", ""pt-br"")"),"O produto é excelente. Mas Belkin deve verificar com seus vendedores, pois a embalagem é pior e também sinais de desgaste no pacote de produtos., Funciona muito sem problemas até agora. Pare de onda e flutuações de energia. Vá com ele sem nenhuma dúvida.,"&amp;" Trabalhando sem problemas de comprado, deve ser necessário protetor de surto para flutuações de tensão. A marca Belkin comprovou mais uma vez que eles são dignos de confiança. Eu uso o soquete Belkin Surge para Aroun 10 anos para o meu sistema de mesa e "&amp;"minha TV. Trabalhando bem. Adicionou mais um para outra TV, usa há mais de um ano. Sem problemas. Ótima qualidade, basta seguir em frente.")</f>
        <v>O produto é excelente. Mas Belkin deve verificar com seus vendedores, pois a embalagem é pior e também sinais de desgaste no pacote de produtos., Funciona muito sem problemas até agora. Pare de onda e flutuações de energia. Vá com ele sem nenhuma dúvida., Trabalhando sem problemas de comprado, deve ser necessário protetor de surto para flutuações de tensão. A marca Belkin comprovou mais uma vez que eles são dignos de confiança. Eu uso o soquete Belkin Surge para Aroun 10 anos para o meu sistema de mesa e minha TV. Trabalhando bem. Adicionou mais um para outra TV, usa há mais de um ano. Sem problemas. Ótima qualidade, basta seguir em frente.</v>
      </c>
    </row>
    <row r="973">
      <c r="A973" s="9" t="s">
        <v>3853</v>
      </c>
      <c r="B973" s="29" t="str">
        <f>VLOOKUP(dados!A973, reviews!A:G, 5, FALSE)</f>
        <v>Pretty good,I m happy 😊got 3 at 121rs.,Product is good, packaging is worst,Ok,Great product,Smooth pages.,Value for Money,Good</v>
      </c>
      <c r="C973" s="29" t="str">
        <f>VLOOKUP(dados!A973, reviews!A:G, 6, FALSE)</f>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v>
      </c>
      <c r="D973" s="29" t="str">
        <f>IFERROR(__xludf.DUMMYFUNCTION("GOOGLETRANSLATE(B973, ""en"", ""pt-br"")"),"Muito bom, estou feliz 😊got 3 às 121rs., Produto é bom, a embalagem é pior, ok, ótimo produto, páginas suaves., Valor por dinheiro, bom")</f>
        <v>Muito bom, estou feliz 😊got 3 às 121rs., Produto é bom, a embalagem é pior, ok, ótimo produto, páginas suaves., Valor por dinheiro, bom</v>
      </c>
      <c r="E973" s="29" t="str">
        <f>IFERROR(__xludf.DUMMYFUNCTION("GOOGLETRANSLATE(C973, ""en"", ""pt-br"")"),"Costumo usar colegas de classe para o meu trabalho diário, que são absolutamente brilhantes, o produto é bom. Mas, a embalagem é pior. Estava embalado em um paparador fino da Amazônia. Ambos os lados foram divididos completamente, as monções começou e é c"&amp;"omum que as embalagens sejam feitas de acordo e, dia a dia, a embalagem da Amazon se tornando pior, estou muito insatisfeito com a Amazon desta vez, felizmente os produtos não foram danificados. A entrega foi boa., Bom, é realmente útil para escrever algu"&amp;"mas coisas nele. O papel que é ótimo. E tamanho também justo. Não há páginas também justas, as páginas são boas., A esse custo, 3, notebook de colega de classe, a qualidade incrível, a qualidade do khata é boa, mas cara que o mercado offline e é preciso c"&amp;"usto de transporte de Rs. 40 como cobranças de entrega de mim.")</f>
        <v>Costumo usar colegas de classe para o meu trabalho diário, que são absolutamente brilhantes, o produto é bom. Mas, a embalagem é pior. Estava embalado em um paparador fino da Amazônia. Ambos os lados foram divididos completamente, as monções começou e é comum que as embalagens sejam feitas de acordo e, dia a dia, a embalagem da Amazon se tornando pior, estou muito insatisfeito com a Amazon desta vez, felizmente os produtos não foram danificados. A entrega foi boa., Bom, é realmente útil para escrever algumas coisas nele. O papel que é ótimo. E tamanho também justo. Não há páginas também justas, as páginas são boas., A esse custo, 3, notebook de colega de classe, a qualidade incrível, a qualidade do khata é boa, mas cara que o mercado offline e é preciso custo de transporte de Rs. 40 como cobranças de entrega de mim.</v>
      </c>
    </row>
    <row r="974">
      <c r="A974" s="9" t="s">
        <v>3857</v>
      </c>
      <c r="B974" s="29" t="str">
        <f>VLOOKUP(dados!A974, reviews!A:G, 5, FALSE)</f>
        <v>Excellent product. vlue for money,Decent product,यह अच्छा प्रोडक्ट है ।पैसा वसूल,It’s good product,it does the job,Works for a year, then stops.,Good product,So far so good</v>
      </c>
      <c r="C974" s="29" t="str">
        <f>VLOOKUP(dados!A974, reviews!A:G, 6, FALSE)</f>
        <v>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.,It’s almost 4 months purchasing the product now, Doing and last well so far no complaint.,पैसा वसूल,While charging my laptop, this charger gets heated up more than the original charger. That’s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it’s like a yearly subscription based charger, will work well for a year, then you have to order a new one.,Value for money and as far as now it’s working perfectly. Quality wise also not that bad.,The charger is working fine on my macbook 13 inch retina display for the. past 5 months</v>
      </c>
      <c r="D974" s="29" t="str">
        <f>IFERROR(__xludf.DUMMYFUNCTION("GOOGLETRANSLATE(B974, ""en"", ""pt-br"")"),"Produto excelente. VLUE por dinheiro, produto decente, यह अच्छा प्रोडक्ट है ।पैसा वसूल, é um bom produto, ele faz o trabalho, funciona por um ano, depois para., bom produto, até agora assim")</f>
        <v>Produto excelente. VLUE por dinheiro, produto decente, यह अच्छा प्रोडक्ट है ।पैसा वसूल, é um bom produto, ele faz o trabalho, funciona por um ano, depois para., bom produto, até agora assim</v>
      </c>
      <c r="E974" s="29" t="str">
        <f>IFERROR(__xludf.DUMMYFUNCTION("GOOGLETRANSLATE(C974, ""en"", ""pt-br"")"),"Use -o para o meu MacBook Pro 13 ""e o original é tão caro para o mesmo desempenho. . ., São quase 4 meses de compra do produto agora, fazendo e duram bem até agora, sem queixa., पैसा वसूल, enquanto cobrava meu laptop, esse carregador é aquecido mais do q"&amp;"ue o carregador original. Essa é a minha única preocupação. Estou usando um 2013 Mac Book Air e este produto até agora (1,5 meses) ainda não foram considerados. Não estou obtendo os problemas de aquecimento, como dito nos comentários, ainda. As velocidade"&amp;"s de carregamento não são tão boas quanto as originais, mas por trimestre o preço seu okey., Eu Inicialmente, ordenou esse carregador em 2020 durante a altura da pandemia, pois o carregador da Apple original parecia muito caro em Rs. 7500. Trabalhei bem p"&amp;"or 8 meses antes de morrer e eu o substituí na garantia, a substituição foi rápida e eficaz. 3 meses depois, a substituição também morreu, então eu pedi um novo. A mesma história repetida novamente, por 8 meses o original funcionou e a substituição funcio"&amp;"nou por 3 meses. 1/4 da vida. Cobra o laptop tão bem quanto o original.TLDR: é como um carregador anual baseado em assinatura, funcionará bem por um ano, então você deve solicitar um novo., Valor do dinheiro e até agora está funcionando perfeitamente. Em "&amp;"termos de qualidade, também não é tão ruim., O carregador está funcionando bem na minha tela Retina MacBook de 13 polegadas para o. últimos 5 meses")</f>
        <v>Use -o para o meu MacBook Pro 13 "e o original é tão caro para o mesmo desempenho. . ., São quase 4 meses de compra do produto agora, fazendo e duram bem até agora, sem queixa., पैसा वसूल, enquanto cobrava meu laptop, esse carregador é aquecido mais do que o carregador original. Essa é a minha única preocupação. Estou usando um 2013 Mac Book Air e este produto até agora (1,5 meses) ainda não foram considerados. Não estou obtendo os problemas de aquecimento, como dito nos comentários, ainda. As velocidades de carregamento não são tão boas quanto as originais, mas por trimestre o preço seu okey., Eu Inicialmente, ordenou esse carregador em 2020 durante a altura da pandemia, pois o carregador da Apple original parecia muito caro em Rs. 7500. Trabalhei bem por 8 meses antes de morrer e eu o substituí na garantia, a substituição foi rápida e eficaz. 3 meses depois, a substituição também morreu, então eu pedi um novo. A mesma história repetida novamente, por 8 meses o original funcionou e a substituição funcionou por 3 meses. 1/4 da vida. Cobra o laptop tão bem quanto o original.TLDR: é como um carregador anual baseado em assinatura, funcionará bem por um ano, então você deve solicitar um novo., Valor do dinheiro e até agora está funcionando perfeitamente. Em termos de qualidade, também não é tão ruim., O carregador está funcionando bem na minha tela Retina MacBook de 13 polegadas para o. últimos 5 meses</v>
      </c>
    </row>
    <row r="975">
      <c r="A975" s="9" t="s">
        <v>3861</v>
      </c>
      <c r="B975" s="29" t="str">
        <f>VLOOKUP(dados!A975, reviews!A:G, 5, FALSE)</f>
        <v>It's a good product but it could have been better,OK ok,nice choice,Imou Ranger 2 WFi Camera,Very good,Two side communications are appreciated. Mobile app quite complicated to understand and control cam,Ordered grey , received white colour camera,Nice</v>
      </c>
      <c r="C975" s="29" t="str">
        <f>VLOOKUP(dados!A975, reviews!A:G, 6, FALSE)</f>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v>
      </c>
      <c r="D975" s="29" t="str">
        <f>IFERROR(__xludf.DUMMYFUNCTION("GOOGLETRANSLATE(B975, ""en"", ""pt-br"")"),"É um bom produto, mas poderia ter sido melhor, ok, ok, boa escolha, é apreciada a câmera WFI do IMOU Ranger 2, muito boa, duas comunicações laterais são apreciadas. Aplicativo móvel bastante complicado de entender e controlar a câmera, encomendada cinza, "&amp;"recebeu uma câmera de cor branca, legal")</f>
        <v>É um bom produto, mas poderia ter sido melhor, ok, ok, boa escolha, é apreciada a câmera WFI do IMOU Ranger 2, muito boa, duas comunicações laterais são apreciadas. Aplicativo móvel bastante complicado de entender e controlar a câmera, encomendada cinza, recebeu uma câmera de cor branca, legal</v>
      </c>
      <c r="E975" s="29" t="str">
        <f>IFERROR(__xludf.DUMMYFUNCTION("GOOGLETRANSLATE(C975, ""en"", ""pt-br"")"),"O código de varredura é muito pequeno para configuração. Às vezes, a comunicação bidirecional tem poucos som de eco que se torna um pouco irritante. Como o título sugere que é um bom produto, mas poderia ter sido melhor, pois está competindo com várias ma"&amp;"rcas conhecidas no mercado por seus outros produtos., In Night Camera não funciona ... u in une Light para isso. . Somente trabalhe em condições diurnas, valor ao dinheiro, publicando esta revisão depois de usar uma semana. Vale a pena comprar. Dificuldad"&amp;"es de forma incial em definir a câmera e o estabelecimento de conexão. O comprimento da CABLE é de cerca de 6 pés. Como mencionou que ele gira 360 ° perfeitamente. A detecção de motiva também é perfeita. A área é totalmente iluminada com luzes, caso contr"&amp;"ário, a qualidade geral da imagem é boa. O rastreamento inteligente funciona bem. Você pode compartilhar este dispositivo até o total de 06 pessoas. Duas comunicação de maneira como a comunicação não é tão boa. A aplicação de mobile também é boa, mas o us"&amp;"o da opção de pan e inclinação está levando tempo para levar em vigor. Motion and Human Detection.Es trabalha apenas na rede de 2,4 GHz. A porta ETHERNET é fornecida para a rede com fio. Para operar esta câmera, você deve ter uma rede forte de 2,4 GHz. Nã"&amp;"o funciona bem na rede de dados móveis, pois está com frequência e reserve um tempo para Carregar ao vivo e gravar. Mas você não pode baixar. Para baixar no celular, você deve assinar o plano de proteção iMou, o que é caro. Sem internet, é inútil. Acho qu"&amp;"e todos os pontos acima são cobertos para tomar uma decisão para ir com o imou ranger 2.verall trabalha conforme o esperado., Bom, bom produto em preço ... ,, mastro")</f>
        <v>O código de varredura é muito pequeno para configuração. Às vezes, a comunicação bidirecional tem poucos som de eco que se torna um pouco irritante. Como o título sugere que é um bom produto, mas poderia ter sido melhor, pois está competindo com várias marcas conhecidas no mercado por seus outros produtos., In Night Camera não funciona ... u in une Light para isso. . Somente trabalhe em condições diurnas, valor ao dinheiro, publicando esta revisão depois de usar uma semana. Vale a pena comprar. Dificuldades de forma incial em definir a câmera e o estabelecimento de conexão. O comprimento da CABLE é de cerca de 6 pés. Como mencionou que ele gira 360 ° perfeitamente. A detecção de motiva também é perfeita. A área é totalmente iluminada com luzes, caso contrário, a qualidade geral da imagem é boa. O rastreamento inteligente funciona bem. Você pode compartilhar este dispositivo até o total de 06 pessoas. Duas comunicação de maneira como a comunicação não é tão boa. A aplicação de mobile também é boa, mas o uso da opção de pan e inclinação está levando tempo para levar em vigor. Motion and Human Detection.Es trabalha apenas na rede de 2,4 GHz. A porta ETHERNET é fornecida para a rede com fio. Para operar esta câmera, você deve ter uma rede forte de 2,4 GHz. Não funciona bem na rede de dados móveis, pois está com frequência e reserve um tempo para Carregar ao vivo e gravar. Mas você não pode baixar. Para baixar no celular, você deve assinar o plano de proteção iMou, o que é caro. Sem internet, é inútil. Acho que todos os pontos acima são cobertos para tomar uma decisão para ir com o imou ranger 2.verall trabalha conforme o esperado., Bom, bom produto em preço ... ,, mastro</v>
      </c>
    </row>
    <row r="976">
      <c r="A976" s="9" t="s">
        <v>316</v>
      </c>
      <c r="B976" s="29" t="str">
        <f>VLOOKUP(dados!A976, reviews!A:G, 5, FALSE)</f>
        <v>You can trust on this one,The best usb cable,Wel build just like original .,Nice!!,Working perfectly,Basic,Good,No issues</v>
      </c>
      <c r="C976" s="29" t="str">
        <f>VLOOKUP(dados!A976, reviews!A:G, 6, FALSE)</f>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v>
      </c>
      <c r="D976" s="29" t="str">
        <f>IFERROR(__xludf.DUMMYFUNCTION("GOOGLETRANSLATE(B976, ""en"", ""pt-br"")"),"Você pode confiar neste, o melhor cabo USB, WEL Construir como original., Bom !!, funcionando perfeitamente, básico, bom, sem problemas")</f>
        <v>Você pode confiar neste, o melhor cabo USB, WEL Construir como original., Bom !!, funcionando perfeitamente, básico, bom, sem problemas</v>
      </c>
      <c r="E976" s="29" t="str">
        <f>IFERROR(__xludf.DUMMYFUNCTION("GOOGLETRANSLATE(C976, ""en"", ""pt-br"")"),"Anteriormente comprou o cabo USB Tipo A e eu não durou muito, mas esse produto USB C parece fabricado com materiais de alta qualidade. Suporta engarrafamento rápido, fornecimento de dados etc. Basta seguir em frente, exlêmeo, muito satisfeito com esta com"&amp;"pra, assim como a qualidade orginal. Comprará novamente no futuro., Minha irmã está usando este cabo para carregar o telefone e o cabo é durável e bom o suficiente para o telefone da minha irmã. Adoro !!, eu comprei para usar o Android Auto no carro Tata "&amp;"Altroz, conectando -me ao meu Mobile One Plus 2T. Eu uso isso há mais de uma semana. Está funcionando perfeitamente ... Estou feliz com o produto até agora., Basic, grande dinheiro do produto, sem problemas")</f>
        <v>Anteriormente comprou o cabo USB Tipo A e eu não durou muito, mas esse produto USB C parece fabricado com materiais de alta qualidade. Suporta engarrafamento rápido, fornecimento de dados etc. Basta seguir em frente, exlêmeo, muito satisfeito com esta compra, assim como a qualidade orginal. Comprará novamente no futuro., Minha irmã está usando este cabo para carregar o telefone e o cabo é durável e bom o suficiente para o telefone da minha irmã. Adoro !!, eu comprei para usar o Android Auto no carro Tata Altroz, conectando -me ao meu Mobile One Plus 2T. Eu uso isso há mais de uma semana. Está funcionando perfeitamente ... Estou feliz com o produto até agora., Basic, grande dinheiro do produto, sem problemas</v>
      </c>
    </row>
    <row r="977">
      <c r="A977" s="9" t="s">
        <v>3866</v>
      </c>
      <c r="B977" s="29" t="str">
        <f>VLOOKUP(dados!A977, reviews!A:G, 5, FALSE)</f>
        <v>Lighting,TINY &amp; USEFUL.,Fair product,Worth for money, but for my case usb pin got broken after 1 month usage,Good,Small but Handy,Good product,Worth buying</v>
      </c>
      <c r="C977" s="29" t="str">
        <f>VLOOKUP(dados!A977, reviews!A:G, 6, FALSE)</f>
        <v>Recieved a wrong color.. But ok..,Simple and Quick solution for some night time study session.🤗 Bought it for 34 Rupees cuz I didn't wanna pay the 80🤨 Rs. shipping on my order of 466.🤣,Fair product,go for it. use it carefully while plugging in,Super,Purchased 2 pieces.  Kept one in my travel bag and use it during my travels to rural areas. I fix it to my power bank during  power cuts. The other one is in the car.,Good product,Value for money</v>
      </c>
      <c r="D977" s="29" t="str">
        <f>IFERROR(__xludf.DUMMYFUNCTION("GOOGLETRANSLATE(B977, ""en"", ""pt-br"")"),"Iluminação, minúscula e útil., Produto justo, valor por dinheiro, mas para o meu caso o USB Pin foi quebrado após um mês de uso, bom, pequeno, mas útil, bom produto, que vale a pena comprar")</f>
        <v>Iluminação, minúscula e útil., Produto justo, valor por dinheiro, mas para o meu caso o USB Pin foi quebrado após um mês de uso, bom, pequeno, mas útil, bom produto, que vale a pena comprar</v>
      </c>
      <c r="E977" s="29" t="str">
        <f>IFERROR(__xludf.DUMMYFUNCTION("GOOGLETRANSLATE(C977, ""en"", ""pt-br"")"),"Recebeu uma cor errada .. mas ok .., solução simples e rápida para uma sessão de estudo noturna. Envio no meu pedido de 466.🤣, produto justo, vá em frente. Use -o cuidadosamente ao conectar, Super, comprou 2 peças. Manteie um na minha bolsa de viagem e u"&amp;"sá -la durante minhas viagens a áreas rurais. Eu o corrigi no meu banco de energia durante os cortes de energia. O outro está no carro., Bom produto, valor ao dinheiro")</f>
        <v>Recebeu uma cor errada .. mas ok .., solução simples e rápida para uma sessão de estudo noturna. Envio no meu pedido de 466.🤣, produto justo, vá em frente. Use -o cuidadosamente ao conectar, Super, comprou 2 peças. Manteie um na minha bolsa de viagem e usá -la durante minhas viagens a áreas rurais. Eu o corrigi no meu banco de energia durante os cortes de energia. O outro está no carro., Bom produto, valor ao dinheiro</v>
      </c>
    </row>
    <row r="978">
      <c r="A978" s="9" t="s">
        <v>3870</v>
      </c>
      <c r="B978" s="29" t="str">
        <f>VLOOKUP(dados!A978, reviews!A:G, 5, FALSE)</f>
        <v>the only ANDROID tablet that makes sense in the non-sense tab market of India.,An impressive tablet for Android (at last),All good but miner bugs just don't upgrade it to 13.0.6.. New update details given,good tablet</v>
      </c>
      <c r="C978" s="29" t="str">
        <f>VLOOKUP(dados!A978, reviews!A:G, 6, FALSE)</f>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v>
      </c>
      <c r="D978" s="29" t="str">
        <f>IFERROR(__xludf.DUMMYFUNCTION("GOOGLETRANSLATE(B978, ""en"", ""pt-br"")"),"O único tablet Android que faz sentido no mercado de guias sem sentido da Índia., Um tablet impressionante para Android (finalmente), todos os bugs bons, exceto o mineiro, simplesmente não o atualizam para 13.0.6 .. Novos detalhes da atualização fornecido"&amp;"s, fornecidos Boa tablet")</f>
        <v>O único tablet Android que faz sentido no mercado de guias sem sentido da Índia., Um tablet impressionante para Android (finalmente), todos os bugs bons, exceto o mineiro, simplesmente não o atualizam para 13.0.6 .. Novos detalhes da atualização fornecidos, fornecidos Boa tablet</v>
      </c>
      <c r="E978" s="29" t="str">
        <f>IFERROR(__xludf.DUMMYFUNCTION("GOOGLETRANSLATE(C978, ""en"", ""pt-br"")"),"Primeiro, gostaria de comentar o mercado de guias da Índia. A coisa mais peculiar que eu já vi na Índia é que, quando um produto em particular é destinado a estudantes ou educação de repente, as empresas se esforçam para ordenhar dinheiro e entregar o máx"&amp;"imo possível. É exatamente oposto de como os alunos têm acesso à tecnologia nos EUA. Você assiste aos preços dos Chromebooks, tablets, ofertas de volta às aulas nos EUA e as compara com a Índia e parece extremamente desequilibrado. Após a pandemia, houve "&amp;"uma enorme onda no mercado de guias e as marcas de Nível 1 começaram a entregar lixo por 20000 rúpias. Snapdragon 400, Old MediaTek, 4 GB de RAM, tela abismal não IPS por 20k apenas para menta dinheiro e aproveitar o cenário pandêmico e as circunstâncias "&amp;"dos estudantes. Este tablet traz a revolução. Não sou aluno, mas comprei isso para uso diário e sou um usuário do iPad normal de 7ª geração da Big Buzel, para que minha revisão seja de natureza comparativa. Também comprei isso em 23000 rúpias para que meu"&amp;"s julgamentos estejam de acordo com o preço que paguei.1. Se você planeja comprar um iPad, compre -o considerando que 64 GB é suficiente para você e você o usa para cenários Normie. Você faz coisas do dia a dia que ficará satisfeito com seu iPad com suas "&amp;"atualizações eternas. mesmo para 27k está bem. A construção é boa, embora eu coloque um vidro temperado no próprio 1º dia. As costas são plásticas, mas os lados são de metal e as costas ficam bastante borrolas. A tela IPS é muito boa, não há sangramento n"&amp;"a luz de fundo, nem pixels mortos, como você pode ver na foto com o fundo escuro. Estou acostumado a telas OLED em telefones para que, na First Blacks, possa decepcionar, mas OLED é impossível a esse preço. A tela é melhor que a tela do meu iPad da 7ª ger"&amp;"ação. É mais brilhante, tem mais cores agudas, os pretos são mais escuros. Além desse painel de 120Hz, a certificação HDR, o suporte da Dolby Vision o torna ótimo para consumo de conteúdo. Seria um ótimo dispositivo para jogos de nuvem Xbox com o controla"&amp;"dor Xbox anexado a ele. A tela é a parte do dispositivo com o qual você mais interage e a tela é o ponto mais alto deste tablet. O Snapdragon 860 é bom em um mercado em que os Mediações mais antigas e os snapdragons médios mais baixos são despejados no me"&amp;"rcado. Por isso, digo que se você não quiser, basta comprar um iPad, mas não compre nenhum outro tablet Android a um preço de 20 a 30 mil. Todos são lixo. 860 foi bom com todos os jogos que governam o mercado hoje. Tem menos pixels para empurrar do que em"&amp;" um telefone e a maior área de superfície ajuda a melhor dissipação de calor, para que os jogos não tenham esforço. Não posso comentar como a bateria me servirá a longo prazo, mas por enquanto não vejo problemas de drenagem ou backup com o consumo de cont"&amp;"eúdo ou os jogos. Possui um carregador de 22,5 watts na caixa, embora suporta carregamento de 33 watts. A bateria maior leva algum tempo para carregar com o carregador da caixa de entrada, mas meu iPad leva ainda mais com seu carregador de lixo e possui u"&amp;"ma bateria maior e os dispositivos Apple são extremamente exigentes com os carregadores. A câmera está bem, assim como a maioria das câmeras de tablets. O iPad tem câmeras ainda piores. Para a digitalização de documentos, deve ser bom, mas fora isso, não "&amp;"é muito útil. Ainda é melhor do que o que a Samsung e a Lenovo fornecem em comprimidos de 25k. O segundo ponto mais alto deste tablet são os alto -falantes quad. Eles são altos, têm profundidade, não são sibilantes e têm uma separação estéreo brilhante e "&amp;"o palco sonoro. Eles são cada vez mais altos do que os laptops THICCC não-Ultrabook que custam 40-50k. Eles vão te atingir como uma grande surpresa. Eu não esperava muito bons palestrantes. Eles superam seriamente os barcos, cabras e alto -falantes genéri"&amp;"cos do CARACHO 700RS em termos de distorção em volumes máximos, separação e parte baixa. É claro que esses alto-falantes baratos seriam mais altos e mais estridentes, mas trata-se de qualidade versus quantidade.coming para o Cons-1. Foi coragem ou outra c"&amp;"oisa que Xiaomi não conseguiu encontrar um lugar para um conector de 3,5 mm. Nem mesmo um dongle na caixa. Eles devem parar seriamente de copiar os hábitos errados da Apple e, em vez disso, copiar seus bons hábitos, como suporte de dispositivo longo por m"&amp;"eio de atualizações. Embora eu tenha mitigado o problema usando DONGLE DONGLE PORTÁVEIS como Shanling UA1, Ibasso DC03 ..... etc, que geralmente uso com meus telefones e meu PC porque eles são muito melhores do que a bordo do áudio da maioria dos disposit"&amp;"ivos, exceto alguns dispositivos, como alguns Telefones LG com Quad DAC. Eu sou um entusiasta do áudio, então gasto dinheiro com esses produtos e você não precisa. Embora funcione com meu antigo dongle Mi A2 muito bem. Para 23000 rúpias, não espero a cane"&amp;"ta e as pessoas que esperam uma caneta com 23k tablet devem realmente abrir os olhos e olhar o desastre também conhecido como mercado de tablets indianos e suas ofertas, mas por 27k eles poderiam oferecer um pacote onde você paga 1k-2k rúpias mais e obten"&amp;"ha a caneta como um complemento. O mercado de acessórios pode não ser tão vibrante. Já não existem casos não oficiais disponíveis em boas marcas. Há um de Nillkin aqui na Amazon e o vendedor tem a audácia de preço de 5000 rúpias lol. O caso oficial do Xia"&amp;"omi Folio é um tapa magnético na parte de trás e não confio nesses tipos de casos. Mais uma questão que eu gostaria de salientar é que a Xiaomi ultimamente tem uma tendência a aumentar os preços por 500-1000 rúpias dentro Um mês ou dois fazendo o bom e ve"&amp;"lho ""mano GST"". Portanto, se alguma vez atingir 28-29k para a versão de 128 GB, feche os olhos e compre um iPad com desconto de cartão. Seus concorrentes são. Espero que isso tenha sido útil., Eu uso o Mi Pad 5 há mais de um mês e só estou feliz por não"&amp;" gastar mais em um iPad. Uma vez que a fase de terapia no varejo do dispositivo se apaga, o que resta é a experiência do usuário. Embora seja verdade para os dois dispositivos, acho que estou mais à vontade com o Mi Pad 5 para a aparência pura do conteúdo"&amp;" que assisto nele. Eu também passo muito tempo lendo livros e designs ilustrados (PDFs) e muitas vezes me senti impressionado (quase chocado) sobre o quão bom o conteúdo parecia. Essa tela recebe os elogios por um motivo. O Mi Pad 5 atende amplamente às m"&amp;"inhas expectativas e, quando as pessoas veem esse tablet, a comparação imediata que eles fazem é quanto se assemelha ao iPad (uma generalização bruta). Então, aqui está minha opinião sobre o iPad da Apple (9ª geração) vs. Xiaomi Pad 5 Se você já possui um"&amp;" dispositivo Apple e está especialmente procurando expandir o elemento de produtividade do tablet, você precisa aderir ao iPad. Não apenas porque vai regular o padrão, mas você definitivamente perderá os recursos que o Eco-System oferece. Então, compre o "&amp;"iPad se você: não está preocupado com o preço-tapare de projetar com o Apple Pencil e estão familiarizados com, ou usar o Procreateare fazendo um investimento com esta compra e não estará de volta ao mercado para um novo tablet em breve. O recurso 'Sideca"&amp;"r' - se você não o usar, apesar de comprar o iPad, está perdendo! Inscreva -se em muitas conferências oficiais de vídeo e está propenso a se mover e pode acidentalmente sair do quadro. O iPad possui um recurso que aborda isso até certo ponto. Não esperam "&amp;"resultados substancialmente mais altos do que o Mi Pad 5 da câmera embutida em geral. Ter uma tensão em relação ao design da Apple, suas decisões e geralmente ficam felizes com as opções de software A Apple faz com que você. Não se importe com os recursos"&amp;" além de uma lista rígida de atividades, você tem certeza de que o iPad pode fazer; e que é improvável que esta lista mude em um futuro próximo. Os custos, caso o rachado de vidro ou o painel traseiro sejam deliciosos, a necessidade de usar o toque Idon p"&amp;"or outro lado, compre o Mi Pad 5 se você está olhando para os jogos em uma infinidade de títulos que estão no Google Playstore e talvez não encontrados mais encontrados '' Não se preocupa muito com a experiência do cortador de biscoitos iOS e acho que a p"&amp;"ersonalização é a única maneira de você estar realmente feliz com o tablet que usa. Deunhe a melhor qualidade da captura de vídeo e foto de um tablet - o que significa melhor videoclipe e captura de vídeo . Isso não significa que a câmera substituirá o te"&amp;"lefone que você já possui, mas o Pad 5 é uma ferramenta que passa por uma milha extra de tirar imagens de boa qualidade, digitalizar documentos e permite edições em sua tela grande. Mi Pad câmera do que a IA que impulsiona a função de rastreamento de rost"&amp;"o oferece. do seu tempo no tablet assistindo a vídeos. Não gosta de limitações impostas a você, como no software que você usa (Sideload apks), enraizando, firmware personalizado, overclock, etc. Se você fizer um ou todos eles, esqueça o ipad.sá principalm"&amp;"ente usá-lo como um dispositivo divertido para assistir filmes ou consumir media-visual audiovisual que não espera pagar um braço e uma perna (comparativamente) para corrigir uma tela quebrada ou um painel traseiro danificado. estão bem sem uma impressão "&amp;"digital scanner e está bem com faceid, pino ou padrão para segurança. No final do dia, você como usuário do tablet gasta a maior parte do tempo olhando para a tela gloriosa do tablet e interagindo com o que dentro do dispositivo; Não é o logotipo na parte"&amp;" traseira., O tablet é totalmente bom, mas às vezes é resumido, há tantos bugs falhas de bugs que tenho contato com a Xiaomi, eles tentarão corrigi -lo. Um REQ não atualizou depois que você compra não precisa fazer 13.0.6. Após a atualização, nem um único"&amp;" aplicativo do Google está em execução na janela flutuante e, enquanto a tela dividida, às vezes há tantos manchas pretas ao redor da barra branca da barra. Belo tablet você pode ir com ele. E se você está pensando em produtividade multimídia, vá em frent"&amp;"e, porque principalmente como aluno faz com que o Excel fez anotações e todas as coisas e lidam com facilidade por este tablet, e eu o estou usando para jogos e outros propósitos, ele lida bem com isso, mas você tem que esperar pelo Android L porque o And"&amp;"roid 12L é bom para o tablet. Totalmente refinado do passado e do sistema está funcionando ótimo 120 Hertzs ​​agora parece incrível porque os bugs de animação foram corrigidos e a duração da bateria foi fixa agora está trabalhando mais de 10 horas felizme"&amp;"nte Dias porque estou fazendo o PPT Excel Sheet e outra documentação, é um trabalho totalmente bom e sim, essa é a nova atualização e vá para Xiaomi de volta 5. Sobre lápissoo, comprei o Xiaomi Pencil por 6000 e, se eu disser, a latência foi melhorada, ma"&amp;"s se você não tiver '' T que você tem o orçamento de 6000, vá para outro site de compras, que nomeia depois do carrinho F, sim🙂 e você pode comprar seu lápis f (Smart Buy) para 1500 rúpias, ele também funciona bem e você não precisa gastar 6000, você pod"&amp;"e ir com o 1500 Apenas você não terá esses principais recursos, como tirar capturas de tela e escrever algo nele ou toque duas vezes para anotar .., sobre tudo o que estou satisfeito com este tablet,")</f>
        <v>Primeiro, gostaria de comentar o mercado de guias da Índia. A coisa mais peculiar que eu já vi na Índia é que, quando um produto em particular é destinado a estudantes ou educação de repente, as empresas se esforçam para ordenhar dinheiro e entregar o máximo possível. É exatamente oposto de como os alunos têm acesso à tecnologia nos EUA. Você assiste aos preços dos Chromebooks, tablets, ofertas de volta às aulas nos EUA e as compara com a Índia e parece extremamente desequilibrado. Após a pandemia, houve uma enorme onda no mercado de guias e as marcas de Nível 1 começaram a entregar lixo por 20000 rúpias. Snapdragon 400, Old MediaTek, 4 GB de RAM, tela abismal não IPS por 20k apenas para menta dinheiro e aproveitar o cenário pandêmico e as circunstâncias dos estudantes. Este tablet traz a revolução. Não sou aluno, mas comprei isso para uso diário e sou um usuário do iPad normal de 7ª geração da Big Buzel, para que minha revisão seja de natureza comparativa. Também comprei isso em 23000 rúpias para que meus julgamentos estejam de acordo com o preço que paguei.1. Se você planeja comprar um iPad, compre -o considerando que 64 GB é suficiente para você e você o usa para cenários Normie. Você faz coisas do dia a dia que ficará satisfeito com seu iPad com suas atualizações eternas. mesmo para 27k está bem. A construção é boa, embora eu coloque um vidro temperado no próprio 1º dia. As costas são plásticas, mas os lados são de metal e as costas ficam bastante borrolas. A tela IPS é muito boa, não há sangramento na luz de fundo, nem pixels mortos, como você pode ver na foto com o fundo escuro. Estou acostumado a telas OLED em telefones para que, na First Blacks, possa decepcionar, mas OLED é impossível a esse preço. A tela é melhor que a tela do meu iPad da 7ª geração. É mais brilhante, tem mais cores agudas, os pretos são mais escuros. Além desse painel de 120Hz, a certificação HDR, o suporte da Dolby Vision o torna ótimo para consumo de conteúdo. Seria um ótimo dispositivo para jogos de nuvem Xbox com o controlador Xbox anexado a ele. A tela é a parte do dispositivo com o qual você mais interage e a tela é o ponto mais alto deste tablet. O Snapdragon 860 é bom em um mercado em que os Mediações mais antigas e os snapdragons médios mais baixos são despejados no mercado. Por isso, digo que se você não quiser, basta comprar um iPad, mas não compre nenhum outro tablet Android a um preço de 20 a 30 mil. Todos são lixo. 860 foi bom com todos os jogos que governam o mercado hoje. Tem menos pixels para empurrar do que em um telefone e a maior área de superfície ajuda a melhor dissipação de calor, para que os jogos não tenham esforço. Não posso comentar como a bateria me servirá a longo prazo, mas por enquanto não vejo problemas de drenagem ou backup com o consumo de conteúdo ou os jogos. Possui um carregador de 22,5 watts na caixa, embora suporta carregamento de 33 watts. A bateria maior leva algum tempo para carregar com o carregador da caixa de entrada, mas meu iPad leva ainda mais com seu carregador de lixo e possui uma bateria maior e os dispositivos Apple são extremamente exigentes com os carregadores. A câmera está bem, assim como a maioria das câmeras de tablets. O iPad tem câmeras ainda piores. Para a digitalização de documentos, deve ser bom, mas fora isso, não é muito útil. Ainda é melhor do que o que a Samsung e a Lenovo fornecem em comprimidos de 25k. O segundo ponto mais alto deste tablet são os alto -falantes quad. Eles são altos, têm profundidade, não são sibilantes e têm uma separação estéreo brilhante e o palco sonoro. Eles são cada vez mais altos do que os laptops THICCC não-Ultrabook que custam 40-50k. Eles vão te atingir como uma grande surpresa. Eu não esperava muito bons palestrantes. Eles superam seriamente os barcos, cabras e alto -falantes genéricos do CARACHO 700RS em termos de distorção em volumes máximos, separação e parte baixa. É claro que esses alto-falantes baratos seriam mais altos e mais estridentes, mas trata-se de qualidade versus quantidade.coming para o Cons-1. Foi coragem ou outra coisa que Xiaomi não conseguiu encontrar um lugar para um conector de 3,5 mm. Nem mesmo um dongle na caixa. Eles devem parar seriamente de copiar os hábitos errados da Apple e, em vez disso, copiar seus bons hábitos, como suporte de dispositivo longo por meio de atualizações. Embora eu tenha mitigado o problema usando DONGLE DONGLE PORTÁVEIS como Shanling UA1, Ibasso DC03 ..... etc, que geralmente uso com meus telefones e meu PC porque eles são muito melhores do que a bordo do áudio da maioria dos dispositivos, exceto alguns dispositivos, como alguns Telefones LG com Quad DAC. Eu sou um entusiasta do áudio, então gasto dinheiro com esses produtos e você não precisa. Embora funcione com meu antigo dongle Mi A2 muito bem. Para 23000 rúpias, não espero a caneta e as pessoas que esperam uma caneta com 23k tablet devem realmente abrir os olhos e olhar o desastre também conhecido como mercado de tablets indianos e suas ofertas, mas por 27k eles poderiam oferecer um pacote onde você paga 1k-2k rúpias mais e obtenha a caneta como um complemento. O mercado de acessórios pode não ser tão vibrante. Já não existem casos não oficiais disponíveis em boas marcas. Há um de Nillkin aqui na Amazon e o vendedor tem a audácia de preço de 5000 rúpias lol. O caso oficial do Xiaomi Folio é um tapa magnético na parte de trás e não confio nesses tipos de casos. Mais uma questão que eu gostaria de salientar é que a Xiaomi ultimamente tem uma tendência a aumentar os preços por 500-1000 rúpias dentro Um mês ou dois fazendo o bom e velho "mano GST". Portanto, se alguma vez atingir 28-29k para a versão de 128 GB, feche os olhos e compre um iPad com desconto de cartão. Seus concorrentes são. Espero que isso tenha sido útil., Eu uso o Mi Pad 5 há mais de um mês e só estou feliz por não gastar mais em um iPad. Uma vez que a fase de terapia no varejo do dispositivo se apaga, o que resta é a experiência do usuário. Embora seja verdade para os dois dispositivos, acho que estou mais à vontade com o Mi Pad 5 para a aparência pura do conteúdo que assisto nele. Eu também passo muito tempo lendo livros e designs ilustrados (PDFs) e muitas vezes me senti impressionado (quase chocado) sobre o quão bom o conteúdo parecia. Essa tela recebe os elogios por um motivo. O Mi Pad 5 atende amplamente às minhas expectativas e, quando as pessoas veem esse tablet, a comparação imediata que eles fazem é quanto se assemelha ao iPad (uma generalização bruta). Então, aqui está minha opinião sobre o iPad da Apple (9ª geração) vs. Xiaomi Pad 5 Se você já possui um dispositivo Apple e está especialmente procurando expandir o elemento de produtividade do tablet, você precisa aderir ao iPad. Não apenas porque vai regular o padrão, mas você definitivamente perderá os recursos que o Eco-System oferece. Então, compre o iPad se você: não está preocupado com o preço-tapare de projetar com o Apple Pencil e estão familiarizados com, ou usar o Procreateare fazendo um investimento com esta compra e não estará de volta ao mercado para um novo tablet em breve. O recurso 'Sidecar' - se você não o usar, apesar de comprar o iPad, está perdendo! Inscreva -se em muitas conferências oficiais de vídeo e está propenso a se mover e pode acidentalmente sair do quadro. O iPad possui um recurso que aborda isso até certo ponto. Não esperam resultados substancialmente mais altos do que o Mi Pad 5 da câmera embutida em geral. Ter uma tensão em relação ao design da Apple, suas decisões e geralmente ficam felizes com as opções de software A Apple faz com que você. Não se importe com os recursos além de uma lista rígida de atividades, você tem certeza de que o iPad pode fazer; e que é improvável que esta lista mude em um futuro próximo. Os custos, caso o rachado de vidro ou o painel traseiro sejam deliciosos, a necessidade de usar o toque Idon por outro lado, compre o Mi Pad 5 se você está olhando para os jogos em uma infinidade de títulos que estão no Google Playstore e talvez não encontrados mais encontrados '' Não se preocupa muito com a experiência do cortador de biscoitos iOS e acho que a personalização é a única maneira de você estar realmente feliz com o tablet que usa. Deunhe a melhor qualidade da captura de vídeo e foto de um tablet - o que significa melhor videoclipe e captura de vídeo . Isso não significa que a câmera substituirá o telefone que você já possui, mas o Pad 5 é uma ferramenta que passa por uma milha extra de tirar imagens de boa qualidade, digitalizar documentos e permite edições em sua tela grande. Mi Pad câmera do que a IA que impulsiona a função de rastreamento de rosto oferece. do seu tempo no tablet assistindo a vídeos. Não gosta de limitações impostas a você, como no software que você usa (Sideload apks), enraizando, firmware personalizado, overclock, etc. Se você fizer um ou todos eles, esqueça o ipad.sá principalmente usá-lo como um dispositivo divertido para assistir filmes ou consumir media-visual audiovisual que não espera pagar um braço e uma perna (comparativamente) para corrigir uma tela quebrada ou um painel traseiro danificado. estão bem sem uma impressão digital scanner e está bem com faceid, pino ou padrão para segurança. No final do dia, você como usuário do tablet gasta a maior parte do tempo olhando para a tela gloriosa do tablet e interagindo com o que dentro do dispositivo; Não é o logotipo na parte traseira., O tablet é totalmente bom, mas às vezes é resumido, há tantos bugs falhas de bugs que tenho contato com a Xiaomi, eles tentarão corrigi -lo. Um REQ não atualizou depois que você compra não precisa fazer 13.0.6. Após a atualização, nem um único aplicativo do Google está em execução na janela flutuante e, enquanto a tela dividida, às vezes há tantos manchas pretas ao redor da barra branca da barra. Belo tablet você pode ir com ele. E se você está pensando em produtividade multimídia, vá em frente, porque principalmente como aluno faz com que o Excel fez anotações e todas as coisas e lidam com facilidade por este tablet, e eu o estou usando para jogos e outros propósitos, ele lida bem com isso, mas você tem que esperar pelo Android L porque o Android 12L é bom para o tablet. Totalmente refinado do passado e do sistema está funcionando ótimo 120 Hertzs ​​agora parece incrível porque os bugs de animação foram corrigidos e a duração da bateria foi fixa agora está trabalhando mais de 10 horas felizmente Dias porque estou fazendo o PPT Excel Sheet e outra documentação, é um trabalho totalmente bom e sim, essa é a nova atualização e vá para Xiaomi de volta 5. Sobre lápissoo, comprei o Xiaomi Pencil por 6000 e, se eu disser, a latência foi melhorada, mas se você não tiver '' T que você tem o orçamento de 6000, vá para outro site de compras, que nomeia depois do carrinho F, sim🙂 e você pode comprar seu lápis f (Smart Buy) para 1500 rúpias, ele também funciona bem e você não precisa gastar 6000, você pode ir com o 1500 Apenas você não terá esses principais recursos, como tirar capturas de tela e escrever algo nele ou toque duas vezes para anotar .., sobre tudo o que estou satisfeito com este tablet,</v>
      </c>
    </row>
    <row r="979">
      <c r="A979" s="9" t="s">
        <v>3876</v>
      </c>
      <c r="B979" s="29" t="str">
        <f>VLOOKUP(dados!A979, reviews!A:G, 5, FALSE)</f>
        <v>A Quality Sound-Signature but leaves craving for a decent bass.Quite fragile too.Compared with Senn.HD 202 II &amp; Sony MDR XB50AP.,boAt 225 vs JBL CS100 vs Sennheisers cx180 | DETAILED Comparison after 1 YEAR of USE.</v>
      </c>
      <c r="C979" s="29" t="str">
        <f>VLOOKUP(dados!A979, reviews!A:G, 6, FALSE)</f>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Sony’s bass could get really deep &amp; low with its 12mm drivers and neodymium magnets. For purists senneheiser does its job quite honestly but in general as for sony “A little make-up won’t Hurt ”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.Sony’s wire were tangle free, earphone pieces felt indestructible, noise isolation was “Ultimate”.Next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 boAt - Flat cables which is tangle free in true sense. Metal housing holds up good, but colour sheds off after 5-6 months. Perfect "L" shaped connector which is apt for using with laptops while resting.● JBL - Small round cables, shredding off after 7-8 months of moderate usage. Plastic housing doing great so far.Connector is bent, but not in perfect "L" shape, so its quite pain to use while resting.● Sennheiser - Small round cables, holding up good after 1 year of rough use. Plastic housing has become slick, as rubber coating on it has shredded off. Perfect "L" shaped connector which is apt for using with laptops while resting.●● WINNER- boAt 225 ●●COMFORT :------------● boAt - comfortable enough when used while in upright position. These are VERY UNCOMFORTABLE when you use them while resting on couch or bed for watching movies or so. Has very long earphone head.● JBL - Comfortable enough in upright position. Slightly uncomfortable using while resting, as these have offset opening.● Sennheisers - Comfortable in both the position. These are apt for long duration usage.●● WINNER - sennheisers cx180 ●●LOUDNESS :-------------CX180 &gt; boAt 225 &gt; JBL CS100SI● boAt - tends to distort above 75% level of volume.● JBL - Crystal clear even at full volume, but has least sound level in all of three.● Sennheisers - tends to distort above 75% level of volume, but has greater sound level of all.●● WINNER - sennheisers cx180 ●●SOUND QUALITY ( Bass, mids &amp; lows ) :---------------------------------------------I noticed that all of them have almost same Mids &amp; lows, which are strong &amp; Crisp. But bass levels are different.● boAt - has average bass, I am very disappointed with it, since these earphones are marketed as bassheads.● JBL - has least bass of all, I felt treble is high in these.● Sennheisers - ton of bass and when used proper eartips, its just a treat for bass lovers.●● WINNER - sennheisers cx180 ●●SOUND QUALITY OVER CALL :----------------------------------● boAt - I noticed in early few months, quality over call was great, but started to deplete after 5-6 months. But its still good, not as good as new. Noise cancellation is good and noticeable by person on other side.● JBL - its quite average and has maintained the quality over a year now.● Sennheisers - their NO microphone, lol :PNOTE: boAt &amp; JBL both's mics works with android and iOS perfectly.●● WINNER - boAt 225 ●●CUSTOMER CARE :--------------------● boAt : 1 Year warranty. Had no issues till date, so didn't got chance to check it. But some of my friends who ran into issue had mixed experiences.● JBL : 1 Year warranty. Had issue with one ear piece and was replaced within 2 weeks after contacting nearest service center.●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 WINNER : sennheiser cx180 ●●CONNECTIVITY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v>
      </c>
      <c r="D979" s="29" t="str">
        <f>IFERROR(__xludf.DUMMYFUNCTION("GOOGLETRANSLATE(B979, ""en"", ""pt-br"")"),"Uma assinatura sonora de qualidade, mas deixa o desejo por um baixo decente. Comparação detalhada após 1 ano de uso.")</f>
        <v>Uma assinatura sonora de qualidade, mas deixa o desejo por um baixo decente. Comparação detalhada após 1 ano de uso.</v>
      </c>
      <c r="E979" s="29" t="str">
        <f>IFERROR(__xludf.DUMMYFUNCTION("GOOGLETRANSLATE(C979, ""en"", ""pt-br"")"),"Para quem procura uma revisão genuína e um breve resumo de comparação entre os três melhores fones de ouvido/fones de ouvido no segmento de orçamento ... Vamos ajudá-lo a fazer sua mente. A revisão é para Sennheiser 275 S Earness, mas os itens para compar"&amp;"ação são: 1.) Sennheiser HD 202 II sobre o fone de ouvido, 2.) Sennheiser CX 275 S em Earphone3.) Gostaria de mencionar, sou um fã terrível de bens eletrônicos e consegue cumprir minha paixão pelo ""sabor da qualidade"" de tempos em tempos. Agora, vamos c"&amp;"omeçar .. quando você começa a procurar fones de ouvido ou fones de ouvido, a Sennheiser é definitivamente uma marca que vale a pena procurar e, com razão, a marca adquiriu uma grande reputação de produzir algumas engrenagens de qualidade de primeira linh"&amp;"a em seu segmento. Eu também iniciei meu busca para comprar alguns dos melhores fones de ouvido com um poder razoável de compra de poder e excluir aqueles incrivelmente caros. Leia algumas resenhas muito boas do fone de ouvido profissional da Sennheiser H"&amp;"D 202 II da orelha profissional dos meus colegas amazônicos e comprou. razoavelmente bom, mas com certas desvantagens (pode referir minha revisão do HD202 na Amazon) que não estavam no meu gosto. × × × / x / x × / x × x × x × x / a. correr, certamente fal"&amp;"har. -anatomias e fornece isolamento de som decente, mas não o melhor. Você teve que distorcer os globos esféricos para ajustar o ajuste. Um caso ou caixa teria sido mais uma opção mais elegante. Apertando o fone de ouvido inteiro na bolsa Li'll sempre .."&amp;"naah !! Parece primitivo ..! Mas então são minhas duas peças. documentários. A falta de um baixo adequado pode até ficar perturbador às vezes. motoristas e ímãs de neodímio. Para os puristas, Senneheiser faz seu trabalho com muita honestidade, mas em gera"&amp;"l, pois para a Sony ""um pouco de maquiagem não vai doer"" lol. :xxxxxxxxxxxxxx* Lack of a decent bass &amp; extremely fragile design is unacceptable at a price range of 1600 bucks *For me ""Not worth it"".DETAILS &amp; COMPARISON :xxxxxxxxxxxxxxxxxxxxxxxxxxxxxxx"&amp;"I happened to test the quality &amp; performance of all the 3 renowned Sennheiser HD 202 II sobre o fone de ouvido, Sennheiser CX 275 s no fone de ouvido e por fim Sony MDR-XB50AP em fones de ouvido de baixo extra.Bass: xxxxxxxxxxxxxxxxSony &gt;&gt; senn.hd 202&gt; se"&amp;"nn.cx 275s, o baixo extra no Sony pode parecer fora do lugar em lugar Instâncias raras, mas nunca parecem baratas, redundantes ou desagradáveis ​​para os ouvidos. É um baixo timbre refinado de qualidade e não algumas coisas de baixa qualidade. O baixo HD "&amp;"202 estava ok, mas teve outros problemas com o som do som das almofadas e perturbando os outros. HD 202&gt; Senn.CX 275S. ASSONY's Wire eram livres de emaranhado, as peças do fone de ouvido pareciam indestrutíveis, o isolamento de ruído foi ""o final"" .next"&amp;" era senn.hd 202 e menos por qualquer padrões era senn.cx 275.O design frágil dos fios ao redor Microfone. Em senn.cx 275 pode ser um recurso de descarte para muitos. é a qualquer momento melhor que senn.cx 275 s, mas não tão hipnotizante quanto a qualida"&amp;"de da Sony.Sound é muito boa, nítida e clara.2.) Senn.cx 275 s pode ser bom para os puristas, mas mesmo com seus máximos e médios equilibrados. A séria falta de baixo mantém você desejando mais ... especialmente se você gosta mais de filmes, jogos e docum"&amp;"entários do que música. Além disso, seus fios finos extremamente frágeis e sempre emaranhados são um recurso constante irritante.3.) Sony MDR XB50AP recebe o mais evidente e graves profundos de alta qualidade refinados com médios nítidos e de alta qualida"&amp;"de. É um design exclusivo indestrutível oferece o melhor isolamento de ruído de todos e vem com os fios livres de emaranhados mais resistentes. ** Não considere graves mais altos como uma adulteração à música pura. baixo de qualidade com resposta de frequ"&amp;"ência tão baixa quanto 4 a 24000 Hz. Adiciona uma essência hipnotizante à qualidade do som que está ausente em outros dois. provavelmente como um super amadurecido com cores mais vivas que parecem mais piedosas e cheias de vida. final do dia é sua chamada"&amp;". Usando esses ouvidos desde o último ano e, enquanto isso, também uso os fones de ouvido JBL C100SI e Sennhesiers CX180, para comparar todos esses 3 fones de ouvido nesta revisão.@ Você recebe um conector em forma de ""L"" nesses ouvido, então observe Es"&amp;"tou dividindo esta revisão em vários subtópicos, declarando diretamente minha experiência do usuário e afirmando qual é o melhor fone de ouvido nessa qualidade subtópica e construída: -------------------- ● Boat- Cabos planos que são livres em emaranhados"&amp;" em verdadeiro sentido. A carcaça de metal se mantém bem, mas a cor derrama após 5-6 meses. Conector perfeito em forma de ""L"", que é adequado para usar com laptops enquanto descansa. ● JBL - pequenos cabos redondos, destruindo após 7-8 meses de uso mode"&amp;"rado. Habitação de plástico indo muito bem até agora.Connector está dobrado, mas não em perfeita forma ""L"", por isso é bastante dor de uso durante o descanso. ● Sennheiser - pequenos cabos redondos, segurando -se bem após 1 ano de uso bruto. A caixa de "&amp;"plástico ficou escorregadia, pois o revestimento de borracha desviou. Conector perfeito em forma de ""L"", que é adequado para usar com laptops durante o descanso. ●● Vencedor-barco 225 ●● Conforto: ------------ ● Boat-confortável o suficiente quando usad"&amp;"o na posição vertical. Isso é muito desconfortável quando você os usa enquanto descansa no sofá ou na cama para assistir filmes ou mais. Tem cabeça de fone de ouvido muito longa. ● JBL - confortável o suficiente na posição vertical. Um pouco desconfortáve"&amp;"l usando durante o descanso, pois eles têm a abertura do deslocamento. ● Sennheisers - confortável em ambas as posições. Eles são adequados para o uso de longa duração. ●● Vencedor-Sennheisers CX180 ●● Soilless: ------------- CX180&gt; Boat 225&gt; JBL CS100SI "&amp;"● Boat-tende a distorcer acima de 75% de nível de volume . ● JBL - Cristal claro mesmo em volume total, mas tem menos nível de som em todos os três. ● Sennheisers - tende a distorcer acima de 75% de nível de volume, mas tem maior nível de som de todos. ●●"&amp;" Vencedor - Sennheisers CX180 ●● ”. Qualidade do som (baixo, Mids &amp; Lows): -------------------------------------------- ----- Notei que todos eles têm quase o mesmo Mids &amp; Lows, que são fortes e crocantes. Mas os níveis de graves são diferentes. ● O barco"&amp;" - tem graves médios, estou muito decepcionado com ele, já que esses fones de ouvido são comercializados como Bassheads. ● JBL - tem menos baixo de todos, eu senti que é um triplo neles. ● Sennheisers - tonelada de Bass e quando usados ​​Eardipes adequado"&amp;"s, é apenas um deleite para os amantes do baixo. ●● Vencedor-Sennheisers CX180 ●● Qualidade do som sobre a chamada: -------------------------------- ------------ ● O barco-notei no início dos meses, a qualidade sobre a chamada foi ótima, mas começou a se "&amp;"esgotar após 5-6 meses. Mas ainda é bom, não tão bom quanto novo. O cancelamento de ruído é bom e perceptível por pessoa do outro lado. ● JBL - é bastante médio e mantém a qualidade há mais de um ano. ● Sennheisers - seu microfone sem microfone, lol: pnot"&amp;"e: Boat &amp; JBl Ambos os microfones de Android e iOS perfeitamente . ●● Vencedor-Boat 225 ●● Atendimento ao cliente: -------------------- ● Boat: 1 ano de garantia. Não tinha problemas até a data, então não tive a chance de verificar. Mas alguns dos meus am"&amp;"igos que encontraram problemas tiveram experiências contraditórias. ● JBL: Garantia de 1 ano. Teve problemas com uma peça de ouvido e foi substituída dentro de duas semanas após o contato com o centro de serviço mais próximo. ● Sennheisers: 2 anos de gara"&amp;"ntia. Eu tinha dois deles e um par parou de funcionar após um ano e meio, foi substituído imediatamente dentro de uma semana depois de entrar em contato com o centro de serviço mais próximo. serviço. Eu sugeriria isso a todos. ●● Vencedor: Sennheiser CX18"&amp;"0 ●● Conectividade: ------------------ Todos os fones de ouvido têm conector de 3,5 mm e funciona perfeitamente com Android e iOS Devices.Verdict: ---------- Não acho que preciso explicar mais nada agora, já que mencionei todos os pontos de todos esses fo"&amp;"nes de ouvido. Para resumir, eu diria que o barco 225 é bom, se você quiser usar muito o microtero e não usar esses fones de ouvido enquanto descansa no sofá para assistir filmes. Se você quer microfone e até quer assistir filmes descansando, vá para JBL "&amp;"CS100SI. Mas se você quer os fones de ouvido apenas para assistir aos filmes e ouvir músicas como eu, certamente opte por Sennheisers CX180.Há essa revisão ajuda a tomar uma decisão de som.")</f>
        <v>Para quem procura uma revisão genuína e um breve resumo de comparação entre os três melhores fones de ouvido/fones de ouvido no segmento de orçamento ... Vamos ajudá-lo a fazer sua mente. A revisão é para Sennheiser 275 S Earness, mas os itens para comparação são: 1.) Sennheiser HD 202 II sobre o fone de ouvido, 2.) Sennheiser CX 275 S em Earphone3.) Gostaria de mencionar, sou um fã terrível de bens eletrônicos e consegue cumprir minha paixão pelo "sabor da qualidade" de tempos em tempos. Agora, vamos começar .. quando você começa a procurar fones de ouvido ou fones de ouvido, a Sennheiser é definitivamente uma marca que vale a pena procurar e, com razão, a marca adquiriu uma grande reputação de produzir algumas engrenagens de qualidade de primeira linha em seu segmento. Eu também iniciei meu busca para comprar alguns dos melhores fones de ouvido com um poder razoável de compra de poder e excluir aqueles incrivelmente caros. Leia algumas resenhas muito boas do fone de ouvido profissional da Sennheiser HD 202 II da orelha profissional dos meus colegas amazônicos e comprou. razoavelmente bom, mas com certas desvantagens (pode referir minha revisão do HD202 na Amazon) que não estavam no meu gosto. × × × / x / x × / x × x × x × x / a. correr, certamente falhar. -anatomias e fornece isolamento de som decente, mas não o melhor. Você teve que distorcer os globos esféricos para ajustar o ajuste. Um caso ou caixa teria sido mais uma opção mais elegante. Apertando o fone de ouvido inteiro na bolsa Li'll sempre ..naah !! Parece primitivo ..! Mas então são minhas duas peças. documentários. A falta de um baixo adequado pode até ficar perturbador às vezes. motoristas e ímãs de neodímio. Para os puristas, Senneheiser faz seu trabalho com muita honestidade, mas em geral, pois para a Sony "um pouco de maquiagem não vai doer" lol. :xxxxxxxxxxxxxx* Lack of a decent bass &amp; extremely fragile design is unacceptable at a price range of 1600 bucks *For me "Not worth it".DETAILS &amp; COMPARISON :xxxxxxxxxxxxxxxxxxxxxxxxxxxxxxxI happened to test the quality &amp; performance of all the 3 renowned Sennheiser HD 202 II sobre o fone de ouvido, Sennheiser CX 275 s no fone de ouvido e por fim Sony MDR-XB50AP em fones de ouvido de baixo extra.Bass: xxxxxxxxxxxxxxxxSony &gt;&gt; senn.hd 202&gt; senn.cx 275s, o baixo extra no Sony pode parecer fora do lugar em lugar Instâncias raras, mas nunca parecem baratas, redundantes ou desagradáveis ​​para os ouvidos. É um baixo timbre refinado de qualidade e não algumas coisas de baixa qualidade. O baixo HD 202 estava ok, mas teve outros problemas com o som do som das almofadas e perturbando os outros. HD 202&gt; Senn.CX 275S. ASSONY's Wire eram livres de emaranhado, as peças do fone de ouvido pareciam indestrutíveis, o isolamento de ruído foi "o final" .next era senn.hd 202 e menos por qualquer padrões era senn.cx 275.O design frágil dos fios ao redor Microfone. Em senn.cx 275 pode ser um recurso de descarte para muitos. é a qualquer momento melhor que senn.cx 275 s, mas não tão hipnotizante quanto a qualidade da Sony.Sound é muito boa, nítida e clara.2.) Senn.cx 275 s pode ser bom para os puristas, mas mesmo com seus máximos e médios equilibrados. A séria falta de baixo mantém você desejando mais ... especialmente se você gosta mais de filmes, jogos e documentários do que música. Além disso, seus fios finos extremamente frágeis e sempre emaranhados são um recurso constante irritante.3.) Sony MDR XB50AP recebe o mais evidente e graves profundos de alta qualidade refinados com médios nítidos e de alta qualidade. É um design exclusivo indestrutível oferece o melhor isolamento de ruído de todos e vem com os fios livres de emaranhados mais resistentes. ** Não considere graves mais altos como uma adulteração à música pura. baixo de qualidade com resposta de frequência tão baixa quanto 4 a 24000 Hz. Adiciona uma essência hipnotizante à qualidade do som que está ausente em outros dois. provavelmente como um super amadurecido com cores mais vivas que parecem mais piedosas e cheias de vida. final do dia é sua chamada. Usando esses ouvidos desde o último ano e, enquanto isso, também uso os fones de ouvido JBL C100SI e Sennhesiers CX180, para comparar todos esses 3 fones de ouvido nesta revisão.@ Você recebe um conector em forma de "L" nesses ouvido, então observe Estou dividindo esta revisão em vários subtópicos, declarando diretamente minha experiência do usuário e afirmando qual é o melhor fone de ouvido nessa qualidade subtópica e construída: -------------------- ● Boat- Cabos planos que são livres em emaranhados em verdadeiro sentido. A carcaça de metal se mantém bem, mas a cor derrama após 5-6 meses. Conector perfeito em forma de "L", que é adequado para usar com laptops enquanto descansa. ● JBL - pequenos cabos redondos, destruindo após 7-8 meses de uso moderado. Habitação de plástico indo muito bem até agora.Connector está dobrado, mas não em perfeita forma "L", por isso é bastante dor de uso durante o descanso. ● Sennheiser - pequenos cabos redondos, segurando -se bem após 1 ano de uso bruto. A caixa de plástico ficou escorregadia, pois o revestimento de borracha desviou. Conector perfeito em forma de "L", que é adequado para usar com laptops durante o descanso. ●● Vencedor-barco 225 ●● Conforto: ------------ ● Boat-confortável o suficiente quando usado na posição vertical. Isso é muito desconfortável quando você os usa enquanto descansa no sofá ou na cama para assistir filmes ou mais. Tem cabeça de fone de ouvido muito longa. ● JBL - confortável o suficiente na posição vertical. Um pouco desconfortável usando durante o descanso, pois eles têm a abertura do deslocamento. ● Sennheisers - confortável em ambas as posições. Eles são adequados para o uso de longa duração. ●● Vencedor-Sennheisers CX180 ●● Soilless: ------------- CX180&gt; Boat 225&gt; JBL CS100SI ● Boat-tende a distorcer acima de 75% de nível de volume . ● JBL - Cristal claro mesmo em volume total, mas tem menos nível de som em todos os três. ● Sennheisers - tende a distorcer acima de 75% de nível de volume, mas tem maior nível de som de todos. ●● Vencedor - Sennheisers CX180 ●● ”. Qualidade do som (baixo, Mids &amp; Lows): -------------------------------------------- ----- Notei que todos eles têm quase o mesmo Mids &amp; Lows, que são fortes e crocantes. Mas os níveis de graves são diferentes. ● O barco - tem graves médios, estou muito decepcionado com ele, já que esses fones de ouvido são comercializados como Bassheads. ● JBL - tem menos baixo de todos, eu senti que é um triplo neles. ● Sennheisers - tonelada de Bass e quando usados ​​Eardipes adequados, é apenas um deleite para os amantes do baixo. ●● Vencedor-Sennheisers CX180 ●● Qualidade do som sobre a chamada: -------------------------------- ------------ ● O barco-notei no início dos meses, a qualidade sobre a chamada foi ótima, mas começou a se esgotar após 5-6 meses. Mas ainda é bom, não tão bom quanto novo. O cancelamento de ruído é bom e perceptível por pessoa do outro lado. ● JBL - é bastante médio e mantém a qualidade há mais de um ano. ● Sennheisers - seu microfone sem microfone, lol: pnote: Boat &amp; JBl Ambos os microfones de Android e iOS perfeitamente . ●● Vencedor-Boat 225 ●● Atendimento ao cliente: -------------------- ● Boat: 1 ano de garantia. Não tinha problemas até a data, então não tive a chance de verificar. Mas alguns dos meus amigos que encontraram problemas tiveram experiências contraditórias. ● JBL: Garantia de 1 ano. Teve problemas com uma peça de ouvido e foi substituída dentro de duas semanas após o contato com o centro de serviço mais próximo. ● Sennheisers: 2 anos de garantia. Eu tinha dois deles e um par parou de funcionar após um ano e meio, foi substituído imediatamente dentro de uma semana depois de entrar em contato com o centro de serviço mais próximo. serviço. Eu sugeriria isso a todos. ●● Vencedor: Sennheiser CX180 ●● Conectividade: ------------------ Todos os fones de ouvido têm conector de 3,5 mm e funciona perfeitamente com Android e iOS Devices.Verdict: ---------- Não acho que preciso explicar mais nada agora, já que mencionei todos os pontos de todos esses fones de ouvido. Para resumir, eu diria que o barco 225 é bom, se você quiser usar muito o microtero e não usar esses fones de ouvido enquanto descansa no sofá para assistir filmes. Se você quer microfone e até quer assistir filmes descansando, vá para JBL CS100SI. Mas se você quer os fones de ouvido apenas para assistir aos filmes e ouvir músicas como eu, certamente opte por Sennheisers CX180.Há essa revisão ajuda a tomar uma decisão de som.</v>
      </c>
    </row>
    <row r="980">
      <c r="A980" s="9" t="s">
        <v>3880</v>
      </c>
      <c r="B980" s="29" t="str">
        <f>VLOOKUP(dados!A980, reviews!A:G, 5, FALSE)</f>
        <v>Good product but one-leg-rubber missing,Stong and sturdy,Good,Height Adjustable,Superb,Value for money,fabulous,A valuable purchase, good one</v>
      </c>
      <c r="C980" s="29" t="str">
        <f>VLOOKUP(dados!A980, reviews!A:G, 6, FALSE)</f>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v>
      </c>
      <c r="D980" s="29" t="str">
        <f>IFERROR(__xludf.DUMMYFUNCTION("GOOGLETRANSLATE(B980, ""en"", ""pt-br"")"),"Bom produto, mas faltando uma borracha de uma perna, stong e resistente, boa, altura ajustável, soberbo, valor ao dinheiro, fabuloso, uma compra valiosa, boa")</f>
        <v>Bom produto, mas faltando uma borracha de uma perna, stong e resistente, boa, altura ajustável, soberbo, valor ao dinheiro, fabuloso, uma compra valiosa, boa</v>
      </c>
      <c r="E980" s="29" t="str">
        <f>IFERROR(__xludf.DUMMYFUNCTION("GOOGLETRANSLATE(C980, ""en"", ""pt-br"")"),"A qualidade é boa, mas está ausente em uma das pernas do suporte de alptop, bom produto, forte e resistente. O preço pode ser um pouco menos em torno de 250-300., Comprei com isso em mente que o pensamento foi cumprido., A altura ajustável não é igual e p"&amp;"erfeita., É muito útil e valor para o dinheiro, suporte ajustável acessível para laptops. É realmente leve e não ocupa muito espaço. Fácil de transportar. O suporte é estável em superfícies planas. Simples de dobrar e desdobrar. É bom comprar este produto"&amp;"., Produto fabuloso, um bom, deve comprar, valor ao dinheiro")</f>
        <v>A qualidade é boa, mas está ausente em uma das pernas do suporte de alptop, bom produto, forte e resistente. O preço pode ser um pouco menos em torno de 250-300., Comprei com isso em mente que o pensamento foi cumprido., A altura ajustável não é igual e perfeita., É muito útil e valor para o dinheiro, suporte ajustável acessível para laptops. É realmente leve e não ocupa muito espaço. Fácil de transportar. O suporte é estável em superfícies planas. Simples de dobrar e desdobrar. É bom comprar este produto., Produto fabuloso, um bom, deve comprar, valor ao dinheiro</v>
      </c>
    </row>
    <row r="981">
      <c r="A981" s="9" t="s">
        <v>320</v>
      </c>
      <c r="B981" s="29" t="str">
        <f>VLOOKUP(dados!A981, reviews!A:G, 5, FALSE)</f>
        <v>It worked well for some days later it is not working , I want it to replace.,Extremely fine,Superb product,This is very decent, quality is super good!,Good,Awesome Product Quantity &amp; Value For Money,Go for it..,Be(a)st in the market.</v>
      </c>
      <c r="C981" s="29" t="str">
        <f>VLOOKUP(dados!A981, reviews!A:G, 6, FALSE)</f>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v>
      </c>
      <c r="D981" s="29" t="str">
        <f>IFERROR(__xludf.DUMMYFUNCTION("GOOGLETRANSLATE(B981, ""en"", ""pt-br"")"),"Funcionou bem por alguns dias depois, não está funcionando, eu quero que ele substitua., Produto extremamente bom e excelente, isso é muito decente, a qualidade é super boa!, Bom, quantidade incrível de quantidade e valor para o dinheiro, vá em frente. .,"&amp;" Seja (a) ST no mercado.")</f>
        <v>Funcionou bem por alguns dias depois, não está funcionando, eu quero que ele substitua., Produto extremamente bom e excelente, isso é muito decente, a qualidade é super boa!, Bom, quantidade incrível de quantidade e valor para o dinheiro, vá em frente. ., Seja (a) ST no mercado.</v>
      </c>
      <c r="E981" s="29" t="str">
        <f>IFERROR(__xludf.DUMMYFUNCTION("GOOGLETRANSLATE(C981, ""en"", ""pt-br"")"),"Funcionou bem por alguns dias depois, não está funcionando, eu quero que ele substitua., Produto agradável e excelente com luzes brancas nas duas extremidades ao carregar. A cor e a qualidade parecem muito premium., https: //m.media-amazon.com/images/i/81"&amp;"u-ab650vl._sy88.jpg,guod, boa qualidade de construção. Bom produto e altamente recomendado., De boa qualidade e está linda ... eu certamente recomendarei (depois de usá -lo por 3 semanas). Eu uso o Samsung M51, alguns meses atrás, meu cabo USB estava rasg"&amp;"ado, então não consegui uma carga rápida. Demorou uma década para cobrar de 20 a 90%. O cabo original da Samsung era muito caro e muito frágil, então eu estava procurando por algo durável. Ao navegar pela página do produto, fiquei cético em fazer um pedid"&amp;"o, pois a empresa reivindicou muitos recursos a um preço tão baixo. Mantendo os pensamentos negativos à parte, pedi de qualquer maneira. O produto foi entregue com bastante antecedência, o que me deixou feliz. Eu não caixa e conectado ao cabo, para minha "&amp;"surpresa, o cabo entregou tudo o que a empresa reivindicou. As extremidades têm carcaça de alumínio, o que o torna durável e longe do desgaste regular, ele tem um indicador de LED nas duas extremidades, que liga quando o carregador está conectado ao telef"&amp;"one. Além disso, a caixa que ela vem tem um código secreto que você precisa arranhar para revelar o que ajuda a verificar sua autenticidade. É facilmente rápido meu telefone em uma hora. No geral, estou muito feliz com o produto. Recomendo este cabo para "&amp;"quem precisa de um cabo de carregamento do tipo C de carregamento rápido. Atualizará esta revisão se alguma alteração for observada.")</f>
        <v>Funcionou bem por alguns dias depois, não está funcionando, eu quero que ele substitua., Produto agradável e excelente com luzes brancas nas duas extremidades ao carregar. A cor e a qualidade parecem muito premium., https: //m.media-amazon.com/images/i/81u-ab650vl._sy88.jpg,guod, boa qualidade de construção. Bom produto e altamente recomendado., De boa qualidade e está linda ... eu certamente recomendarei (depois de usá -lo por 3 semanas). Eu uso o Samsung M51, alguns meses atrás, meu cabo USB estava rasgado, então não consegui uma carga rápida. Demorou uma década para cobrar de 20 a 90%. O cabo original da Samsung era muito caro e muito frágil, então eu estava procurando por algo durável. Ao navegar pela página do produto, fiquei cético em fazer um pedido, pois a empresa reivindicou muitos recursos a um preço tão baixo. Mantendo os pensamentos negativos à parte, pedi de qualquer maneira. O produto foi entregue com bastante antecedência, o que me deixou feliz. Eu não caixa e conectado ao cabo, para minha surpresa, o cabo entregou tudo o que a empresa reivindicou. As extremidades têm carcaça de alumínio, o que o torna durável e longe do desgaste regular, ele tem um indicador de LED nas duas extremidades, que liga quando o carregador está conectado ao telefone. Além disso, a caixa que ela vem tem um código secreto que você precisa arranhar para revelar o que ajuda a verificar sua autenticidade. É facilmente rápido meu telefone em uma hora. No geral, estou muito feliz com o produto. Recomendo este cabo para quem precisa de um cabo de carregamento do tipo C de carregamento rápido. Atualizará esta revisão se alguma alteração for observada.</v>
      </c>
    </row>
    <row r="982">
      <c r="A982" s="9" t="s">
        <v>3885</v>
      </c>
      <c r="B982" s="29" t="str">
        <f>VLOOKUP(dados!A982, reviews!A:G, 5, FALSE)</f>
        <v>Decent product.,Good,Good quality,It is original hp 65w chrger,Right product,100% authentic,Good Quality,Decent</v>
      </c>
      <c r="C982" s="29" t="str">
        <f>VLOOKUP(dados!A982, reviews!A:G, 6, FALSE)</f>
        <v>It was what I expected.  Does the job.,Recommended.,Nice quality and durable,It is exact same volt and watt as my old charger is.,Best product in this price and overall ok,100% Original,Quality assurance,Decent performance</v>
      </c>
      <c r="D982" s="29" t="str">
        <f>IFERROR(__xludf.DUMMYFUNCTION("GOOGLETRANSLATE(B982, ""en"", ""pt-br"")"),"Produto decente., Boa, boa qualidade, é o HP 65W Chrger original, produto certo, 100% autêntico, boa qualidade, decente")</f>
        <v>Produto decente., Boa, boa qualidade, é o HP 65W Chrger original, produto certo, 100% autêntico, boa qualidade, decente</v>
      </c>
      <c r="E982" s="29" t="str">
        <f>IFERROR(__xludf.DUMMYFUNCTION("GOOGLETRANSLATE(C982, ""en"", ""pt-br"")"),"Era o que eu esperava. O trabalho., Recomendado., Boa qualidade e durável, é exatamente o mesmo volt e watt que meu carregador antigo é., Melhor produto nesse preço e ok geral, 100% original, garantia de qualidade, desempenho decente")</f>
        <v>Era o que eu esperava. O trabalho., Recomendado., Boa qualidade e durável, é exatamente o mesmo volt e watt que meu carregador antigo é., Melhor produto nesse preço e ok geral, 100% original, garantia de qualidade, desempenho decente</v>
      </c>
    </row>
    <row r="983">
      <c r="A983" s="9" t="s">
        <v>3889</v>
      </c>
      <c r="B983" s="29" t="str">
        <f>VLOOKUP(dados!A983, reviews!A:G, 5, FALSE)</f>
        <v>Good product,Good,Decent product,Good stand as per the price,Good ,not great,Not so good, not so bad,No provision to tight top up-down part. It gots loose in 3-4 days and leaning downward.,good product</v>
      </c>
      <c r="C983" s="29" t="str">
        <f>VLOOKUP(dados!A983, reviews!A:G, 6, FALSE)</f>
        <v>Value for money,Good 👍,The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v>
      </c>
      <c r="D983" s="29" t="str">
        <f>IFERROR(__xludf.DUMMYFUNCTION("GOOGLETRANSLATE(B983, ""en"", ""pt-br"")"),"Bom produto, produto bom e decente, bom suporte de acordo com o preço, bom, não ótimo, não tão bom, não tão ruim, sem provisão para a parte de cima para baixo. Ele se solta em 3-4 dias e se inclinando para baixo., Bom produto")</f>
        <v>Bom produto, produto bom e decente, bom suporte de acordo com o preço, bom, não ótimo, não tão bom, não tão ruim, sem provisão para a parte de cima para baixo. Ele se solta em 3-4 dias e se inclinando para baixo., Bom produto</v>
      </c>
      <c r="E983" s="29" t="str">
        <f>IFERROR(__xludf.DUMMYFUNCTION("GOOGLETRANSLATE(C983, ""en"", ""pt-br"")"),"Valor do dinheiro, bom 👍, o suporte para celular/guia é um produto bem feito. Ajuste de inclinação e altura são uma ótima vantagem. Bolas resistentes o suficiente para 8/10 "". A qualidade das variantes brancas, mas as variantes brancas é melhor que a pr"&amp;"eta, não durável, é necessária durabilidade, ordenou isso, pois gostei da simplicidade deste produto. Ficava pouco decepcionado quando recebi isso por causa dos seguintes motivos: 1. Tive arranhões em Provavelmente, alguém devolveu isso antes, e foi conse"&amp;"rtado e enviado para mim.2. Os parafusos estão pouco soltos, reduziu uma estrela.3. Quando fechado, pode ver a lacuna, por isso não é tão perfeita. No final, decidido Para aceitar as falhas e mantê -lo em vez de substituí -lo (não queria passar pelo proce"&amp;"sso), pois as falhas não são tão ruins., sem preços para manter a parte superior estável, produto utilitário para a guia móvel etc.")</f>
        <v>Valor do dinheiro, bom 👍, o suporte para celular/guia é um produto bem feito. Ajuste de inclinação e altura são uma ótima vantagem. Bolas resistentes o suficiente para 8/10 ". A qualidade das variantes brancas, mas as variantes brancas é melhor que a preta, não durável, é necessária durabilidade, ordenou isso, pois gostei da simplicidade deste produto. Ficava pouco decepcionado quando recebi isso por causa dos seguintes motivos: 1. Tive arranhões em Provavelmente, alguém devolveu isso antes, e foi consertado e enviado para mim.2. Os parafusos estão pouco soltos, reduziu uma estrela.3. Quando fechado, pode ver a lacuna, por isso não é tão perfeita. No final, decidido Para aceitar as falhas e mantê -lo em vez de substituí -lo (não queria passar pelo processo), pois as falhas não são tão ruins., sem preços para manter a parte superior estável, produto utilitário para a guia móvel etc.</v>
      </c>
    </row>
    <row r="984">
      <c r="A984" s="9" t="s">
        <v>3893</v>
      </c>
      <c r="B984" s="29" t="str">
        <f>VLOOKUP(dados!A984, reviews!A:G, 5, FALSE)</f>
        <v>Very useful product to organize cable,Great, but a piece missing,Must Have for WFH Setup,Value,Exactly what I expected,Great product with a neat finish,Love it . Little Expensive but can't complain,Very useful product</v>
      </c>
      <c r="C984" s="29" t="str">
        <f>VLOOKUP(dados!A984, reviews!A:G, 6, FALSE)</f>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v>
      </c>
      <c r="D984" s="29" t="str">
        <f>IFERROR(__xludf.DUMMYFUNCTION("GOOGLETRANSLATE(B984, ""en"", ""pt-br"")"),"Produto muito útil para organizar o cabo, ótimo, mas uma peça faltando, deve ter para a configuração do WFH, valor, exatamente o que eu esperava, ótimo produto com um acabamento elegante, adoro. Pouco caro, mas não pode reclamar, produto muito útil")</f>
        <v>Produto muito útil para organizar o cabo, ótimo, mas uma peça faltando, deve ter para a configuração do WFH, valor, exatamente o que eu esperava, ótimo produto com um acabamento elegante, adoro. Pouco caro, mas não pode reclamar, produto muito útil</v>
      </c>
      <c r="E984" s="29" t="str">
        <f>IFERROR(__xludf.DUMMYFUNCTION("GOOGLETRANSLATE(C984, ""en"", ""pt-br"")"),"Eu tenho muitos cabos em execução entre meu sistema de som, caixa de setão, TV e entre meus roteadores, AccessPoint. Estava meio bagunçado antes. Eu o organizei usando um cabo de amarração de metal fino isolado. Mas quando abro para adicionar mais cabos o"&amp;"u remover o cabo, ele foi quebrado e não parece bom. Também tive medo de que o aperto do cabo de amarração possa curar o fio, pois era tão fino e o isolamento também é muito fino. Mas depois que eu uso isso, parece tão arrumado e é fácil remover ou adicio"&amp;"nar mais cabo sempre que necessário. A adesão do Wellgrow é boa. No geral, eu gosto que este produto sugiro não serve para cortar com precisão o crescimento. Adicione cerca de 50-70% do comprimento extra, o que permitirá adicionar mais cabos no futuro, se"&amp;" necessário, tudo foi bom, mas recebi 6 peças em vez de 7. Como já usei 1, não vou devolvê-lo. Apenas solicitando aos vendedores que entregassem conforme prometido. Fora isso, o produto2 é ótimo e funciona muito bem., Não apenas a configuração do WFH, mas"&amp;" também se você estiver lidando com muitos fios, é o caminho a seguir. E fácil de amarrar. É útil para manter os fios organizados na mesa de trabalho (carregador de laptop, cargas móveis etc.), tive que unir o número variável de fios em locais diferentes "&amp;"e isso funcionou muito bem sem desperdício., Útil para organizar o fio. Pouco caro, mas não tenho tempo para encontrá -lo na minha localidade e qualidade também é bom., Estes são fortes e melhores que as etiquetas de plástico que você normalmente usa para"&amp;" manter os fios em ordem. Estes podem ser removidos e reutilizados. Eles também são muito fortes, pois estão apoiando minha barra de som Bluetooth, que eu pendurei no meu quarto.")</f>
        <v>Eu tenho muitos cabos em execução entre meu sistema de som, caixa de setão, TV e entre meus roteadores, AccessPoint. Estava meio bagunçado antes. Eu o organizei usando um cabo de amarração de metal fino isolado. Mas quando abro para adicionar mais cabos ou remover o cabo, ele foi quebrado e não parece bom. Também tive medo de que o aperto do cabo de amarração possa curar o fio, pois era tão fino e o isolamento também é muito fino. Mas depois que eu uso isso, parece tão arrumado e é fácil remover ou adicionar mais cabo sempre que necessário. A adesão do Wellgrow é boa. No geral, eu gosto que este produto sugiro não serve para cortar com precisão o crescimento. Adicione cerca de 50-70% do comprimento extra, o que permitirá adicionar mais cabos no futuro, se necessário, tudo foi bom, mas recebi 6 peças em vez de 7. Como já usei 1, não vou devolvê-lo. Apenas solicitando aos vendedores que entregassem conforme prometido. Fora isso, o produto2 é ótimo e funciona muito bem., Não apenas a configuração do WFH, mas também se você estiver lidando com muitos fios, é o caminho a seguir. E fácil de amarrar. É útil para manter os fios organizados na mesa de trabalho (carregador de laptop, cargas móveis etc.), tive que unir o número variável de fios em locais diferentes e isso funcionou muito bem sem desperdício., Útil para organizar o fio. Pouco caro, mas não tenho tempo para encontrá -lo na minha localidade e qualidade também é bom., Estes são fortes e melhores que as etiquetas de plástico que você normalmente usa para manter os fios em ordem. Estes podem ser removidos e reutilizados. Eles também são muito fortes, pois estão apoiando minha barra de som Bluetooth, que eu pendurei no meu quarto.</v>
      </c>
    </row>
    <row r="985">
      <c r="A985" s="9" t="s">
        <v>332</v>
      </c>
      <c r="B985" s="29" t="str">
        <f>VLOOKUP(dados!A985, reviews!A:G, 5, FALSE)</f>
        <v>Very good product and met my need.  Thanks,Decent value,Nice quality… trustable…,Just well in this price.,supports 2.4 amps fast charging,Nice,Nice.,Value for money</v>
      </c>
      <c r="C985" s="29" t="str">
        <f>VLOOKUP(dados!A985, reviews!A:G, 6, FALSE)</f>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v>
      </c>
      <c r="D985" s="29" t="str">
        <f>IFERROR(__xludf.DUMMYFUNCTION("GOOGLETRANSLATE(B985, ""en"", ""pt-br"")"),"Muito bom produto e atendeu à minha necessidade. Obrigado, valor decente, boa qualidade ... confiável ..., bem nesse preço., Suporta 2,4 amperes de carregamento rápido, bom, bom., Valor do dinheiro")</f>
        <v>Muito bom produto e atendeu à minha necessidade. Obrigado, valor decente, boa qualidade ... confiável ..., bem nesse preço., Suporta 2,4 amperes de carregamento rápido, bom, bom., Valor do dinheiro</v>
      </c>
      <c r="E985" s="29" t="str">
        <f>IFERROR(__xludf.DUMMYFUNCTION("GOOGLETRANSLATE(C985, ""en"", ""pt-br"")"),"Gostei do produto. Preciso para o meu aparelho USB., Bom valor, até agora eu havia comprado cerca de 20 cabos Micro e C tipo para mim e minha família neste último ano. É tudo porque essa marca ganha minha confiança, fornecendo ótima qualidade com preço ra"&amp;"zoável, NA, testado com carregador e telefone de 2,4 amperes. fornece energia completa de 2,4 amperes ao telefone. O cabo parece espesso e possui uma textura agradável. Apesar disso, tenho certeza de que não é muito durável. Os conectores USB são extremam"&amp;"ente resistentes e não dobram ou flexionam. O fio quebrará antes do conector !! Aviso: o micro conector USB tem um gancho forte. Tenha cuidado ao conectar e desconectar, ou você pode danificar seu dispositivo. Cabo muito barato e utilizável por 120 Rs, Su"&amp;"per Power, Nice Produto., Neste preço, este é o melhor")</f>
        <v>Gostei do produto. Preciso para o meu aparelho USB., Bom valor, até agora eu havia comprado cerca de 20 cabos Micro e C tipo para mim e minha família neste último ano. É tudo porque essa marca ganha minha confiança, fornecendo ótima qualidade com preço razoável, NA, testado com carregador e telefone de 2,4 amperes. fornece energia completa de 2,4 amperes ao telefone. O cabo parece espesso e possui uma textura agradável. Apesar disso, tenho certeza de que não é muito durável. Os conectores USB são extremamente resistentes e não dobram ou flexionam. O fio quebrará antes do conector !! Aviso: o micro conector USB tem um gancho forte. Tenha cuidado ao conectar e desconectar, ou você pode danificar seu dispositivo. Cabo muito barato e utilizável por 120 Rs, Super Power, Nice Produto., Neste preço, este é o melhor</v>
      </c>
    </row>
    <row r="986">
      <c r="A986" s="9" t="s">
        <v>3900</v>
      </c>
      <c r="B986" s="29" t="str">
        <f>VLOOKUP(dados!A986, reviews!A:G, 5, FALSE)</f>
        <v>Good product,Decent,Highly recommended,Kids love colour,Most awesome choice for your little artist and you,Good product excellent quality,Good product,This give happiness to my students</v>
      </c>
      <c r="C986" s="29" t="str">
        <f>VLOOKUP(dados!A986, reviews!A:G, 6, FALSE)</f>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 The colours are smooth and bright, blends very well. It is good for any types of portraits, even those with bold colours.,Easy to use,Good product but easily breaking in pieces when applying more pressure,Good</v>
      </c>
      <c r="D986" s="29" t="str">
        <f>IFERROR(__xludf.DUMMYFUNCTION("GOOGLETRANSLATE(B986, ""en"", ""pt-br"")"),"Bom produto, decente, altamente recomendado, as crianças adoram a cor, a escolha mais incrível para o seu pequeno artista e você, bom produto de excelente qualidade, bom produto, isso dá felicidade aos meus alunos")</f>
        <v>Bom produto, decente, altamente recomendado, as crianças adoram a cor, a escolha mais incrível para o seu pequeno artista e você, bom produto de excelente qualidade, bom produto, isso dá felicidade aos meus alunos</v>
      </c>
      <c r="E986" s="29" t="str">
        <f>IFERROR(__xludf.DUMMYFUNCTION("GOOGLETRANSLATE(C986, ""en"", ""pt-br"")"),"Bom produto, pode ir em frente, https: //m.media-amazon.com/images/w/webp_402378-t2/images/i/711qovrocil._sy88.jpg.brought para meu sobrinho de 3 anos, ele é apenas Apaixonado por essas cores de camelo., É bom usar e manusear a cor do BOC, comprei isso pa"&amp;"ra os meus 5 anos de idade que não gostam de parar de desenhar. A gama de cores cobre todos os tons desejáveis. Ela está apaixonada por isso desde o dia em que chegou. Não pude resistir a mim mesmo de usar esse conjunto (é claro, quando ela estava longe)."&amp;" As cores são lisas e brilhantes, combina muito bem. É bom para qualquer tipo de retrato, mesmo aqueles com cores ousadas., Fácil de usar, bom produto, mas facilmente quebrando em pedaços ao aplicar mais pressão, bom")</f>
        <v>Bom produto, pode ir em frente, https: //m.media-amazon.com/images/w/webp_402378-t2/images/i/711qovrocil._sy88.jpg.brought para meu sobrinho de 3 anos, ele é apenas Apaixonado por essas cores de camelo., É bom usar e manusear a cor do BOC, comprei isso para os meus 5 anos de idade que não gostam de parar de desenhar. A gama de cores cobre todos os tons desejáveis. Ela está apaixonada por isso desde o dia em que chegou. Não pude resistir a mim mesmo de usar esse conjunto (é claro, quando ela estava longe). As cores são lisas e brilhantes, combina muito bem. É bom para qualquer tipo de retrato, mesmo aqueles com cores ousadas., Fácil de usar, bom produto, mas facilmente quebrando em pedaços ao aplicar mais pressão, bom</v>
      </c>
    </row>
    <row r="987">
      <c r="A987" s="9" t="s">
        <v>336</v>
      </c>
      <c r="B987" s="29" t="str">
        <f>VLOOKUP(dados!A987, reviews!A:G, 5, FALSE)</f>
        <v>Better..!!,Charging speed is not guaranteed!,Exactly as advertised,Excellent warp charge cable,Nice,Amazing cable,Best fast charging cable,Really a good cable, Recommend</v>
      </c>
      <c r="C987" s="29" t="str">
        <f>VLOOKUP(dados!A987, reviews!A:G, 6, FALSE)</f>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v>
      </c>
      <c r="D987" s="29" t="str">
        <f>IFERROR(__xludf.DUMMYFUNCTION("GOOGLETRANSLATE(B987, ""en"", ""pt-br"")"),"Melhor .. !!, a velocidade de carregamento não é garantida!, Exatamente como anunciado, excelente cabo de carga, bom, cabo incrível, melhor cabo de carregamento rápido, realmente um bom cabo, recomendo")</f>
        <v>Melhor .. !!, a velocidade de carregamento não é garantida!, Exatamente como anunciado, excelente cabo de carga, bom, cabo incrível, melhor cabo de carregamento rápido, realmente um bom cabo, recomendo</v>
      </c>
      <c r="E987" s="29" t="str">
        <f>IFERROR(__xludf.DUMMYFUNCTION("GOOGLETRANSLATE(C987, ""en"", ""pt-br"")"),"Sim, esse suporte a cabo 65W Carregamento rápido testado no meu tijolo de 65W do Realme 7 Pro .. Cable e Pins Qualidade parece boa. Como não consegui encontrar o cabo original para o carregador de 65W do Realme, eu estava procurando por um bom tempo para "&amp;"um bom ...,, A velocidade de carregamento depende do número de fatores e somente em melhores condições ele vai acima de 50 watts e a marca afirma apenas que 65 watts cobrará se você usar o carregador da caixa de entrada da marca. Para mim, pessoalmente, t"&amp;"estei em várias ocasiões usando -o por um mês ou dois nunca recebi velocidade acima de 38 watts e testei com o cabo que recebi da caixa e também me deu a mesma velocidade, então compre com cuidado se você ' As condições são boas e você obtém velocidade ma"&amp;"is tha 50wats do que só você deve comprá -lo ou deve ir com cabos 3a/4a, pois eles são mais baratos e mais duráveis ​​cabos trançados, o cabo suporta carregamento rápido (estou usando um carregador OnePlus 65W ) como anunciado. Se pudesse ter sido redondo"&amp;" e trançado em vez de um cabo de fita plana, isso o tornaria mais durável. Na minha experiência, os cabos trançados são fáceis de embrulhar e armazenar quando não estão em uso e não ficam desgastados facilmente. Meu cabo parou de carregamento rápido após "&amp;"dois meses de uso, mas o suporte à garantia foi excelente, enviei o cabo em um centro próximo e um novo cabo foi enviado em 3 dias. Eu uso cabos de barco há cerca de 6 anos (um cabo de um telefone Moto G4 ainda está comigo e em uso) e vai se ater a eles. "&amp;".It Warp cobra, pois suporta a fonte de alimentação 6A. O cabo é longo e resistente em comparação com o cabo OnePlus típico na caixa. O preço do cabo OnePlus original é 890 MRP, mas eu tenho 400 e não é diferente de outros fios de terceiros. Definitivamen"&amp;"te vale a pena. 👍🏻, melhor no segmento de preços e em emaranhado de material durável Alsi sem 3 anos de garantia, basta comprá -lo, um cabo de carregamento rápido de muito boa qualidade, obtendo um bom carregamento rápido através do laptop também.Flat C"&amp;"able Design o torna mais durável., Eu tenho um OnePlus 7T com carga de 30 watts, meu fio original foi destruído Alguns anos atrás e estava procurando um cabo com 6V-5A para carregamento rápido, eu havia comprado muitos fios, mas o telefone não estava carr"&amp;"egando tão rápido quanto o 5He original. Este fio tem uma boa qualidade de construção e pode fazer 65 watts (6.5a).")</f>
        <v>Sim, esse suporte a cabo 65W Carregamento rápido testado no meu tijolo de 65W do Realme 7 Pro .. Cable e Pins Qualidade parece boa. Como não consegui encontrar o cabo original para o carregador de 65W do Realme, eu estava procurando por um bom tempo para um bom ...,, A velocidade de carregamento depende do número de fatores e somente em melhores condições ele vai acima de 50 watts e a marca afirma apenas que 65 watts cobrará se você usar o carregador da caixa de entrada da marca. Para mim, pessoalmente, testei em várias ocasiões usando -o por um mês ou dois nunca recebi velocidade acima de 38 watts e testei com o cabo que recebi da caixa e também me deu a mesma velocidade, então compre com cuidado se você ' As condições são boas e você obtém velocidade mais tha 50wats do que só você deve comprá -lo ou deve ir com cabos 3a/4a, pois eles são mais baratos e mais duráveis ​​cabos trançados, o cabo suporta carregamento rápido (estou usando um carregador OnePlus 65W ) como anunciado. Se pudesse ter sido redondo e trançado em vez de um cabo de fita plana, isso o tornaria mais durável. Na minha experiência, os cabos trançados são fáceis de embrulhar e armazenar quando não estão em uso e não ficam desgastados facilmente. Meu cabo parou de carregamento rápido após dois meses de uso, mas o suporte à garantia foi excelente, enviei o cabo em um centro próximo e um novo cabo foi enviado em 3 dias. Eu uso cabos de barco há cerca de 6 anos (um cabo de um telefone Moto G4 ainda está comigo e em uso) e vai se ater a eles. .It Warp cobra, pois suporta a fonte de alimentação 6A. O cabo é longo e resistente em comparação com o cabo OnePlus típico na caixa. O preço do cabo OnePlus original é 890 MRP, mas eu tenho 400 e não é diferente de outros fios de terceiros. Definitivamente vale a pena. 👍🏻, melhor no segmento de preços e em emaranhado de material durável Alsi sem 3 anos de garantia, basta comprá -lo, um cabo de carregamento rápido de muito boa qualidade, obtendo um bom carregamento rápido através do laptop também.Flat Cable Design o torna mais durável., Eu tenho um OnePlus 7T com carga de 30 watts, meu fio original foi destruído Alguns anos atrás e estava procurando um cabo com 6V-5A para carregamento rápido, eu havia comprado muitos fios, mas o telefone não estava carregando tão rápido quanto o 5He original. Este fio tem uma boa qualidade de construção e pode fazer 65 watts (6.5a).</v>
      </c>
    </row>
    <row r="988">
      <c r="A988" s="9" t="s">
        <v>3906</v>
      </c>
      <c r="B988" s="29" t="str">
        <f>VLOOKUP(dados!A988, reviews!A:G, 5, FALSE)</f>
        <v>mast mouse hain,Awesome and cheap for gaming mouse,sensitive as I expected,Mouse gaming,Build quality is very worst,awesome design from HP,Best Buy,Perfect 👍</v>
      </c>
      <c r="C988" s="29" t="str">
        <f>VLOOKUP(dados!A988, reviews!A:G, 6, FALSE)</f>
        <v>it has a good grip and a good handling, smooth chalta hain aur speed changing button se mast se speed change hoti hain. only thing i am worried is that the cord will damage with wear and tear.,Very awesome and smooth to use, very helpful while gaming .,Good,Looking for gaming 😏,Actualy performance is awesome ..but its build quality is very worst .. plastic which is use in left and right click buttons has highly chance of breaking.... So this product not satisfied me,Nice gaming Mouse from HP in the price range. Thank you Amazon for the fast delivery.,,👍🤗</v>
      </c>
      <c r="D988" s="29" t="str">
        <f>IFERROR(__xludf.DUMMYFUNCTION("GOOGLETRANSLATE(B988, ""en"", ""pt-br"")"),"mastro mouse hain, incrível e barato para mouse de jogos, sensível como eu esperava, jogos de mouse, a qualidade de construção é muito pior, design incrível da HP, Best Buy, Perfect 👍")</f>
        <v>mastro mouse hain, incrível e barato para mouse de jogos, sensível como eu esperava, jogos de mouse, a qualidade de construção é muito pior, design incrível da HP, Best Buy, Perfect 👍</v>
      </c>
      <c r="E988" s="29" t="str">
        <f>IFERROR(__xludf.DUMMYFUNCTION("GOOGLETRANSLATE(C988, ""en"", ""pt-br"")"),"Ele tem uma boa aderência e um bom manuseio, chalta chalta hain aur troca de botão SE MAST SE VELOCIDADE HOTI HAIN. A única coisa que estou preocupada é que o cordão danifique com desgaste., muito incrível e suave de usar, muito útil durante os jogos., Bo"&amp;"m, procurando jogos 😏, desempenho real é incrível ... mas sua qualidade de construção é a pior .. O plástico que é usado nos botões de clique esquerdo e direito tem muito chance de quebrar .... Portanto, este produto não me satisfez, Bom Gaming Mouse da "&amp;"HP na faixa de preço. Obrigado Amazon pela entrega rápida. ,, 👍🤗")</f>
        <v>Ele tem uma boa aderência e um bom manuseio, chalta chalta hain aur troca de botão SE MAST SE VELOCIDADE HOTI HAIN. A única coisa que estou preocupada é que o cordão danifique com desgaste., muito incrível e suave de usar, muito útil durante os jogos., Bom, procurando jogos 😏, desempenho real é incrível ... mas sua qualidade de construção é a pior .. O plástico que é usado nos botões de clique esquerdo e direito tem muito chance de quebrar .... Portanto, este produto não me satisfez, Bom Gaming Mouse da HP na faixa de preço. Obrigado Amazon pela entrega rápida. ,, 👍🤗</v>
      </c>
    </row>
    <row r="989">
      <c r="A989" s="9" t="s">
        <v>3910</v>
      </c>
      <c r="B989" s="29" t="str">
        <f>VLOOKUP(dados!A989, reviews!A:G, 5, FALSE)</f>
        <v>It is value for money,No problem,Nice,Quality,GOOD QUALITY,Nice product,Good,SATISFACTORY</v>
      </c>
      <c r="C989" s="29" t="str">
        <f>VLOOKUP(dados!A989, reviews!A:G, 6, FALSE)</f>
        <v>Product is good, print quality is good,Super printing,Like,Good prospect I am recommending,I USED FOR 20 DAYS BUT I DONT KNOW AFTER THAT WILL PARFORMANCE,Nice product,Good,SATISFACTORY</v>
      </c>
      <c r="D989" s="29" t="str">
        <f>IFERROR(__xludf.DUMMYFUNCTION("GOOGLETRANSLATE(B989, ""en"", ""pt-br"")"),"É uma relação custo")</f>
        <v>É uma relação custo</v>
      </c>
      <c r="E989" s="29" t="str">
        <f>IFERROR(__xludf.DUMMYFUNCTION("GOOGLETRANSLATE(C989, ""en"", ""pt-br"")"),"O produto é bom, a qualidade da impressão é boa, a super impressão, tipo, boa perspectiva que estou recomendando, usei por 20 dias, mas não sei que depois disso será o desempenho, bom produto, bom, bom, satisfatório")</f>
        <v>O produto é bom, a qualidade da impressão é boa, a super impressão, tipo, boa perspectiva que estou recomendando, usei por 20 dias, mas não sei que depois disso será o desempenho, bom produto, bom, bom, satisfatório</v>
      </c>
    </row>
    <row r="990">
      <c r="A990" s="9" t="s">
        <v>3916</v>
      </c>
      <c r="B990" s="29" t="str">
        <f>VLOOKUP(dados!A990, reviews!A:G, 5, FALSE)</f>
        <v>Good,No guide stickers provided,Value for money,Ok,Packaging was best actually great,Alignments are not proper,Screen guard,Good</v>
      </c>
      <c r="C990" s="29" t="str">
        <f>VLOOKUP(dados!A990, reviews!A:G, 6, FALSE)</f>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v>
      </c>
      <c r="D990" s="29" t="str">
        <f>IFERROR(__xludf.DUMMYFUNCTION("GOOGLETRANSLATE(B990, ""en"", ""pt-br"")"),"Bom, sem adesivos guia fornecidos, valor ao dinheiro, ok, a embalagem foi melhor, na verdade, os alinhamentos não são adequados, proteção de tela, bom")</f>
        <v>Bom, sem adesivos guia fornecidos, valor ao dinheiro, ok, a embalagem foi melhor, na verdade, os alinhamentos não são adequados, proteção de tela, bom</v>
      </c>
      <c r="E990" s="29" t="str">
        <f>IFERROR(__xludf.DUMMYFUNCTION("GOOGLETRANSLATE(C990, ""en"", ""pt-br"")"),"De acordo com as expectativas, a esse preço, os adesivos de guia devem ser fornecidos. A instalação sem esses adesivos de guia é um desafio para o leigo. Acabei tendo que levantar o adesivo várias vezes para me realinhar e isso resultou em imperfeições em"&amp;" poucos lugares e agora existem búlicas das quais não posso fazer nada., Comitos corretamente. Boa qualidade por dinheiro, OK, gostei do produto e da embalagem era muito impressionante, em termos de qualidade e em termos de uso, o vidro é bom, mas os alin"&amp;"hamentos não são adequados para o meu tablet. Na Samsung Galaxy Tab A8 (2022), o alinhamento de vidro ( Centraling) nas proximidades, a câmera frontal não é adequada (consulte minhas fotos carregadas) .Rest está bem., Fi perfeito. Sem bolha ou mancha, mas"&amp;" o preço é um pouco mais alto. Caso contrário, ok., Bom")</f>
        <v>De acordo com as expectativas, a esse preço, os adesivos de guia devem ser fornecidos. A instalação sem esses adesivos de guia é um desafio para o leigo. Acabei tendo que levantar o adesivo várias vezes para me realinhar e isso resultou em imperfeições em poucos lugares e agora existem búlicas das quais não posso fazer nada., Comitos corretamente. Boa qualidade por dinheiro, OK, gostei do produto e da embalagem era muito impressionante, em termos de qualidade e em termos de uso, o vidro é bom, mas os alinhamentos não são adequados para o meu tablet. Na Samsung Galaxy Tab A8 (2022), o alinhamento de vidro ( Centraling) nas proximidades, a câmera frontal não é adequada (consulte minhas fotos carregadas) .Rest está bem., Fi perfeito. Sem bolha ou mancha, mas o preço é um pouco mais alto. Caso contrário, ok., Bom</v>
      </c>
    </row>
    <row r="991">
      <c r="A991" s="9" t="s">
        <v>3920</v>
      </c>
      <c r="B991" s="29" t="str">
        <f>VLOOKUP(dados!A991, reviews!A:G, 5, FALSE)</f>
        <v>Good product,Metal but still the hinges can be made little stronger,Need to have slot to keep the stand more steady,Decent product,Good product,Just fine.,Nice,Costly but as per product description. You might get very cheaper in local market</v>
      </c>
      <c r="C991" s="29" t="str">
        <f>VLOOKUP(dados!A991, reviews!A:G, 6, FALSE)</f>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v>
      </c>
      <c r="D991" s="29" t="str">
        <f>IFERROR(__xludf.DUMMYFUNCTION("GOOGLETRANSLATE(B991, ""en"", ""pt-br"")"),"Bom produto, metal, mas ainda assim as dobradiças podem ser um pouco mais fortes, precisam ter um slot para manter o produto mais constante e decente, um bom produto, muito bem., Nice, caro, mas conforme a descrição do produto. Você pode ficar muito mais "&amp;"barato no mercado local")</f>
        <v>Bom produto, metal, mas ainda assim as dobradiças podem ser um pouco mais fortes, precisam ter um slot para manter o produto mais constante e decente, um bom produto, muito bem., Nice, caro, mas conforme a descrição do produto. Você pode ficar muito mais barato no mercado local</v>
      </c>
      <c r="E991" s="29" t="str">
        <f>IFERROR(__xludf.DUMMYFUNCTION("GOOGLETRANSLATE(C991, ""en"", ""pt-br"")"),"Bom produto, estabilidade: oksturdiness: MediumMaterial: AluminiumiumEall Quality: Fairde o trabalho!, Precisa ter mais titular para manter o nbook mais estável, faz o trabalho, mas um pouco balançado para laptops maiores, metal construído .. uma peça úti"&amp;"l de equipamentos, Se você deseja melhorar o fluxo de ar do seu laptop, bem como sua postura nas costas., Está tudo bem., bom produto, caro, mas de acordo com a descrição do produto. Você pode ficar muito mais barato no mercado local")</f>
        <v>Bom produto, estabilidade: oksturdiness: MediumMaterial: AluminiumiumEall Quality: Fairde o trabalho!, Precisa ter mais titular para manter o nbook mais estável, faz o trabalho, mas um pouco balançado para laptops maiores, metal construído .. uma peça útil de equipamentos, Se você deseja melhorar o fluxo de ar do seu laptop, bem como sua postura nas costas., Está tudo bem., bom produto, caro, mas de acordo com a descrição do produto. Você pode ficar muito mais barato no mercado local</v>
      </c>
    </row>
    <row r="992">
      <c r="A992" s="9" t="s">
        <v>340</v>
      </c>
      <c r="B992" s="29" t="str">
        <f>VLOOKUP(dados!A992, reviews!A:G, 5, FALSE)</f>
        <v>Good product,Its good, but micro usb doesn't fit my phone.,Good and useful item,It is very best cable,good,2 in 1 Charging Cable.,Sturdy cable overall,Nice &amp; Best Charger Cabel</v>
      </c>
      <c r="C992" s="29" t="str">
        <f>VLOOKUP(dados!A992, reviews!A:G, 6, FALSE)</f>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v>
      </c>
      <c r="D992" s="29" t="str">
        <f>IFERROR(__xludf.DUMMYFUNCTION("GOOGLETRANSLATE(B992, ""en"", ""pt-br"")"),"Bom produto, é bom, mas o micro USB não se encaixa no meu telefone., Item bom e útil, é o melhor cabo, bom, 2 em 1 cabo de carregamento.")</f>
        <v>Bom produto, é bom, mas o micro USB não se encaixa no meu telefone., Item bom e útil, é o melhor cabo, bom, 2 em 1 cabo de carregamento.</v>
      </c>
      <c r="E992" s="29" t="str">
        <f>IFERROR(__xludf.DUMMYFUNCTION("GOOGLETRANSLATE(C992, ""en"", ""pt-br"")"),"O produto é bom, e também é o STRUDINE. Mas não há carregamento rápido neste cabo, normalmente é carregada. Adoro porque é suportado no micro USB, ou tipo C. Em todos os bons .Pros / vantagem:- -1) 1,5 metro de fio 2) mais durável3) suportado tipo duplo t"&amp;"ipo C, micro usbcons / desvantagens:- carregamento normal, não carregamento rápido, embora seja trançado, mas não é forte como barco. Mas não há problema em usá -lo. Suporta turboalimentação., Trabalhando bem após meses de uso. A única coisa é que, se hou"&amp;"ver leve pressão, o adaptador do tipo C sairá da cabeça micro USB. Tão melhor ver que o cabo não está esticado ao usar o adaptador do tipo C. Caso contrário, funcionando bem e muito conveniente para mim, pois geralmente tenho um telefone com carregamento "&amp;"do tipo C e uma pequena guia com carregamento micro USB quando viajo. Preciso carregar apenas um cabo agora com meu PowerBank. Recomendará., Melhor cabo, bom, os conectores Micro USB e Tipo C estão recebendo carga. Para aplicar uma força de um bit para re"&amp;"mover (IG, ele se desgastará após o uso). Em comparação, o barco tem uma melhor qualidade, eu diria que se você receber isso em oferta, pois possui cabo trançado de metal e melhor pino de microgurada de qualidade., Gosto O produto Bcuz é me ajuda a carreg"&amp;"ar ambos os tipos de telefone C &amp; Micro Cabel")</f>
        <v>O produto é bom, e também é o STRUDINE. Mas não há carregamento rápido neste cabo, normalmente é carregada. Adoro porque é suportado no micro USB, ou tipo C. Em todos os bons .Pros / vantagem:- -1) 1,5 metro de fio 2) mais durável3) suportado tipo duplo tipo C, micro usbcons / desvantagens:- carregamento normal, não carregamento rápido, embora seja trançado, mas não é forte como barco. Mas não há problema em usá -lo. Suporta turboalimentação., Trabalhando bem após meses de uso. A única coisa é que, se houver leve pressão, o adaptador do tipo C sairá da cabeça micro USB. Tão melhor ver que o cabo não está esticado ao usar o adaptador do tipo C. Caso contrário, funcionando bem e muito conveniente para mim, pois geralmente tenho um telefone com carregamento do tipo C e uma pequena guia com carregamento micro USB quando viajo. Preciso carregar apenas um cabo agora com meu PowerBank. Recomendará., Melhor cabo, bom, os conectores Micro USB e Tipo C estão recebendo carga. Para aplicar uma força de um bit para remover (IG, ele se desgastará após o uso). Em comparação, o barco tem uma melhor qualidade, eu diria que se você receber isso em oferta, pois possui cabo trançado de metal e melhor pino de microgurada de qualidade., Gosto O produto Bcuz é me ajuda a carregar ambos os tipos de telefone C &amp; Micro Cabel</v>
      </c>
    </row>
    <row r="993">
      <c r="A993" s="9" t="s">
        <v>3925</v>
      </c>
      <c r="B993" s="29" t="str">
        <f>VLOOKUP(dados!A993, reviews!A:G, 5, FALSE)</f>
        <v>Best product,So good,Nice,Worth it,Used it for more than 3 months. No complaints so far,Working as expected,Battery use more,Overall satisfied</v>
      </c>
      <c r="C993" s="29" t="str">
        <f>VLOOKUP(dados!A993, reviews!A:G, 6, FALSE)</f>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v>
      </c>
      <c r="D993" s="29" t="str">
        <f>IFERROR(__xludf.DUMMYFUNCTION("GOOGLETRANSLATE(B993, ""en"", ""pt-br"")"),"O melhor produto, tão bom, agradável, vale a pena, o usou por mais de 3 meses. Não há queixas até agora, trabalhando como esperado, o uso de bateria mais, em geral satisfeito")</f>
        <v>O melhor produto, tão bom, agradável, vale a pena, o usou por mais de 3 meses. Não há queixas até agora, trabalhando como esperado, o uso de bateria mais, em geral satisfeito</v>
      </c>
      <c r="E993" s="29" t="str">
        <f>IFERROR(__xludf.DUMMYFUNCTION("GOOGLETRANSLATE(C993, ""en"", ""pt-br"")"),"Após 1 mês de uso, posso dizer que este é o melhor dispositivo para o laptop Lenovo. Fácil de usar, altamente recomendado Este bom produto, funciona bem, muito bom, o usou por mais de 3 meses. Sem queixas até agora. Ótimo mouse para uso diário de escritór"&amp;"io., O mouse está funcionando perfeitamente, e eu é melhor de acordo com o orçamento. Problema, tamanho é ok, conectividade é boa, o sensor funciona bem .. você pode ir em frente")</f>
        <v>Após 1 mês de uso, posso dizer que este é o melhor dispositivo para o laptop Lenovo. Fácil de usar, altamente recomendado Este bom produto, funciona bem, muito bom, o usou por mais de 3 meses. Sem queixas até agora. Ótimo mouse para uso diário de escritório., O mouse está funcionando perfeitamente, e eu é melhor de acordo com o orçamento. Problema, tamanho é ok, conectividade é boa, o sensor funciona bem .. você pode ir em frente</v>
      </c>
    </row>
    <row r="994">
      <c r="A994" s="9" t="s">
        <v>344</v>
      </c>
      <c r="B994" s="29" t="str">
        <f>VLOOKUP(dados!A994, reviews!A:G, 5, FALSE)</f>
        <v>GOOD,Thank you  Amazon very good charging cable,Good,Very good product,good quality,Very Good Product,This is fast charging USB!,Simply perfect at the price of below 100</v>
      </c>
      <c r="C994" s="29" t="str">
        <f>VLOOKUP(dados!A994, reviews!A:G, 6, FALSE)</f>
        <v>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v>
      </c>
      <c r="D994" s="29" t="str">
        <f>IFERROR(__xludf.DUMMYFUNCTION("GOOGLETRANSLATE(B994, ""en"", ""pt-br"")"),"Bom, obrigado Amazon Cable de carregamento muito bom, bom, muito bom produto, boa qualidade, produto muito bom, este é um USB de carregamento rápido!, Simplesmente perfeito pelo preço abaixo de 100")</f>
        <v>Bom, obrigado Amazon Cable de carregamento muito bom, bom, muito bom produto, boa qualidade, produto muito bom, este é um USB de carregamento rápido!, Simplesmente perfeito pelo preço abaixo de 100</v>
      </c>
      <c r="E994" s="29" t="str">
        <f>IFERROR(__xludf.DUMMYFUNCTION("GOOGLETRANSLATE(C994, ""en"", ""pt-br"")"),"Está tudo bem, mas é volumoso e difícil, deve ser mais suave e mais fino ....., obrigado Amazon Cabo de carregamento muito bom 👍, bom, bom, a qualidade é boa. Vale 150-200 ₹. curto, mas durável., produto muito bom. Satisfeito .., este é um pino de carreg"&amp;"amento rápido C USB! Você pode comprá -lo., Bom produto a preço abaixo de 100")</f>
        <v>Está tudo bem, mas é volumoso e difícil, deve ser mais suave e mais fino ....., obrigado Amazon Cabo de carregamento muito bom 👍, bom, bom, a qualidade é boa. Vale 150-200 ₹. curto, mas durável., produto muito bom. Satisfeito .., este é um pino de carregamento rápido C USB! Você pode comprá -lo., Bom produto a preço abaixo de 100</v>
      </c>
    </row>
    <row r="995">
      <c r="A995" s="9" t="s">
        <v>3930</v>
      </c>
      <c r="B995" s="29" t="str">
        <f>VLOOKUP(dados!A995, reviews!A:G, 5, FALSE)</f>
        <v>Good... 😊,Nice pen but it has some problems.,A great buy,Good pen but finished really quick,It's ink gets finished after using it only for 2 or 3 times,Very nice pen,Best for neat homework.,It's help me earn my bread butter</v>
      </c>
      <c r="C995" s="29" t="str">
        <f>VLOOKUP(dados!A995, reviews!A:G, 6, FALSE)</f>
        <v>Bahut aacha hai ye pen sach me likhne ke Baad erase ho jata hai, so nice... 😍💫,I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v>
      </c>
      <c r="D995" s="29" t="str">
        <f>IFERROR(__xludf.DUMMYFUNCTION("GOOGLETRANSLATE(B995, ""en"", ""pt-br"")"),"Bom ... 😊, caneta bonita, mas tem alguns problemas., Uma ótima compra, boa caneta, mas terminado muito rápido, sua tinta termina depois de usá -la apenas por 2 ou 3 vezes, caneta muito agradável, melhor para a lição de casa., É me ajude a ganhar minha ma"&amp;"nteiga de pão")</f>
        <v>Bom ... 😊, caneta bonita, mas tem alguns problemas., Uma ótima compra, boa caneta, mas terminado muito rápido, sua tinta termina depois de usá -la apenas por 2 ou 3 vezes, caneta muito agradável, melhor para a lição de casa., É me ajude a ganhar minha manteiga de pão</v>
      </c>
      <c r="E995" s="29" t="str">
        <f>IFERROR(__xludf.DUMMYFUNCTION("GOOGLETRANSLATE(C995, ""en"", ""pt-br"")"),"Bahut aacha hai ye caneta me sach me likhne ke baad apagar ho jata hai, tão bom ... 😍💫, eu havia comprado 5 deles e eles são excelentes canetas pelo preço, mas mesmo depois de esperar a tinta secar para que eu possa apagar A tinta corretamente, ainda de"&amp;"ixou uma mancha e também depois de manter meu caderno à temperatura ambiente que começou a mostrar a tinta em uma cor azul claro que não era muito perceptível, portanto, estou dando a este produto 4 estrelas. Além disso, eu gosto de coletar muitos artigos"&amp;" de papelaria de fabricantes japoneses e isso não era tão bom quanto eu esperava, então prefiro comprar um ar uni-ball ou um sinal ou um Sarasa. Não esperava tanto compromisso de uma marca como o Pilot, cujo sinal V é colocado pelo mesmo preço e definitiv"&amp;"amente não teve nenhum compromisso de qualidade. De qualquer forma, se você quiser uma caneta inicial, pegue o V7 ou algo assim., Minha caneta atual. É altamente recomendável se você é alguém que por acaso faz muito rabiscos ao escrever um papel de exame."&amp;" Realmente ótimo para anotar coisas que você pode apagar e corrigir como e quando necessário, a caneta realmente apaga, mas; o tinta fila apenas em uma semana½; Portanto, para não usar essa caneta se você é um aluno como eu. Você precisa aplicar mais forç"&amp;"a e mover sua mão rapidamente para apagar o que você escreveu, é uma caneta muito bonita, escreve muito suave, comparável a uma caneta de gel Energel, Pentel, A aderência é confortável, ele tem um bom som de clique quando retraído, a parte do apagador fic"&amp;"a suja com óleos e sujeira às vezes, que ao apagar com deixa uma mancha marrom fraca devido ao óleo n sujeira, apenas limpe -o com um pouco de pano como sua camisa e sua camisa e Você vai ficar bem. O desejo de reabastecer era facilmente acessível., Melho"&amp;"r para a lição de casa, se seu filho cometer muitos erros de ortografia. Um pouco caro. Ocasionalmente encontrado tinta seca., Fácil de usar, escreva apenas no papel que não há mais valor para o dinheiro")</f>
        <v>Bahut aacha hai ye caneta me sach me likhne ke baad apagar ho jata hai, tão bom ... 😍💫, eu havia comprado 5 deles e eles são excelentes canetas pelo preço, mas mesmo depois de esperar a tinta secar para que eu possa apagar A tinta corretamente, ainda deixou uma mancha e também depois de manter meu caderno à temperatura ambiente que começou a mostrar a tinta em uma cor azul claro que não era muito perceptível, portanto, estou dando a este produto 4 estrelas. Além disso, eu gosto de coletar muitos artigos de papelaria de fabricantes japoneses e isso não era tão bom quanto eu esperava, então prefiro comprar um ar uni-ball ou um sinal ou um Sarasa. Não esperava tanto compromisso de uma marca como o Pilot, cujo sinal V é colocado pelo mesmo preço e definitivamente não teve nenhum compromisso de qualidade. De qualquer forma, se você quiser uma caneta inicial, pegue o V7 ou algo assim., Minha caneta atual. É altamente recomendável se você é alguém que por acaso faz muito rabiscos ao escrever um papel de exame. Realmente ótimo para anotar coisas que você pode apagar e corrigir como e quando necessário, a caneta realmente apaga, mas; o tinta fila apenas em uma semana½; Portanto, para não usar essa caneta se você é um aluno como eu. Você precisa aplicar mais força e mover sua mão rapidamente para apagar o que você escreveu, é uma caneta muito bonita, escreve muito suave, comparável a uma caneta de gel Energel, Pentel, A aderência é confortável, ele tem um bom som de clique quando retraído, a parte do apagador fica suja com óleos e sujeira às vezes, que ao apagar com deixa uma mancha marrom fraca devido ao óleo n sujeira, apenas limpe -o com um pouco de pano como sua camisa e sua camisa e Você vai ficar bem. O desejo de reabastecer era facilmente acessível., Melhor para a lição de casa, se seu filho cometer muitos erros de ortografia. Um pouco caro. Ocasionalmente encontrado tinta seca., Fácil de usar, escreva apenas no papel que não há mais valor para o dinheiro</v>
      </c>
    </row>
    <row r="996">
      <c r="A996" s="9" t="s">
        <v>3935</v>
      </c>
      <c r="B996" s="29" t="str">
        <f>VLOOKUP(dados!A996, reviews!A:G, 5, FALSE)</f>
        <v>Overall good product,Perfect,Amazing product for Laptop,Good product,Very good, can be better,Good product,Good product,Not worth the money!</v>
      </c>
      <c r="C996" s="29" t="str">
        <f>VLOOKUP(dados!A996, reviews!A:G, 6, FALSE)</f>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v>
      </c>
      <c r="D996" s="29" t="str">
        <f>IFERROR(__xludf.DUMMYFUNCTION("GOOGLETRANSLATE(B996, ""en"", ""pt-br"")"),"No geral, bom produto, produto perfeito, incrível para laptop, bom produto, muito bom, pode ser melhor, bom produto, bom produto, não vale o dinheiro!")</f>
        <v>No geral, bom produto, produto perfeito, incrível para laptop, bom produto, muito bom, pode ser melhor, bom produto, bom produto, não vale o dinheiro!</v>
      </c>
      <c r="E996" s="29" t="str">
        <f>IFERROR(__xludf.DUMMYFUNCTION("GOOGLETRANSLATE(C996, ""en"", ""pt-br"")"),"É realmente bom, melhor dos outros no preço, em estabilidade e na marca e aparência, eu trabalho com uma tela grande e laptop lado a lado. Ao usar isso, posso trazer a tela do laptop para o mesmo nível da tela grande que realmente reduziu a dor do meu pes"&amp;"coço. Também é realmente robusto e leve. um ano. muito portátil Isso é praticamente algo na minha bolsa de laptop. Os ângulos de fenda são muito bons e bastante convenientes e confortáveis ​​para usar o laptop. Eu também o uso para o meu iPad, e isso func"&amp;"iona como um charme., Gosto do produza qualidade. É bom, é resistente, é leve e veio com uma boa bolsa para transportar. Uma área de melhoria - você sempre precisa das duas mãos para ajustar a altura com o laptop. E se você estiver movendo, o nível de alt"&amp;"ura / ajuste entrará em colapso. Eu gostaria que a altura fosse travável para que, se você estiver movendo o suporte, não entra em colapso., O Produt é bom, valor para dinheiro, é melhor você obter um de madeira. É difícil de ajustar, parece uma qualidade"&amp;" barata. Se você Tenha requisito para movê -lo, não compre isso. Se você receber alguma oferta e não estaria se movendo muito. Boa coisa a ser colocada no canto.")</f>
        <v>É realmente bom, melhor dos outros no preço, em estabilidade e na marca e aparência, eu trabalho com uma tela grande e laptop lado a lado. Ao usar isso, posso trazer a tela do laptop para o mesmo nível da tela grande que realmente reduziu a dor do meu pescoço. Também é realmente robusto e leve. um ano. muito portátil Isso é praticamente algo na minha bolsa de laptop. Os ângulos de fenda são muito bons e bastante convenientes e confortáveis ​​para usar o laptop. Eu também o uso para o meu iPad, e isso funciona como um charme., Gosto do produza qualidade. É bom, é resistente, é leve e veio com uma boa bolsa para transportar. Uma área de melhoria - você sempre precisa das duas mãos para ajustar a altura com o laptop. E se você estiver movendo, o nível de altura / ajuste entrará em colapso. Eu gostaria que a altura fosse travável para que, se você estiver movendo o suporte, não entra em colapso., O Produt é bom, valor para dinheiro, é melhor você obter um de madeira. É difícil de ajustar, parece uma qualidade barata. Se você Tenha requisito para movê -lo, não compre isso. Se você receber alguma oferta e não estaria se movendo muito. Boa coisa a ser colocada no canto.</v>
      </c>
    </row>
    <row r="997">
      <c r="A997" s="9" t="s">
        <v>3939</v>
      </c>
      <c r="B997" s="29" t="str">
        <f>VLOOKUP(dados!A997, reviews!A:G, 5, FALSE)</f>
        <v>Good keyboard with some cons,Wrist pain,Worth buying....!,Acceptable,Value for money,The silver coating came off after 3days of using,Awesome keyboard,Budget friendly keyboard with 3years of warranty.</v>
      </c>
      <c r="C997" s="29" t="str">
        <f>VLOOKUP(dados!A997, reviews!A:G, 6, FALSE)</f>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v>
      </c>
      <c r="D997" s="29" t="str">
        <f>IFERROR(__xludf.DUMMYFUNCTION("GOOGLETRANSLATE(B997, ""en"", ""pt-br"")"),"Bom teclado com alguns contras, dor no pulso, vale a pena comprar ...!, Aceitável, valor ao dinheiro, o revestimento de prata saiu após os três dias de uso, teclado incrível, teclado orçamentário com três anos de garantia.")</f>
        <v>Bom teclado com alguns contras, dor no pulso, vale a pena comprar ...!, Aceitável, valor ao dinheiro, o revestimento de prata saiu após os três dias de uso, teclado incrível, teclado orçamentário com três anos de garantia.</v>
      </c>
      <c r="E997" s="29" t="str">
        <f>IFERROR(__xludf.DUMMYFUNCTION("GOOGLETRANSLATE(C997, ""en"", ""pt-br"")"),"O teclado é bom. Eu realmente não gosto do som do teclado mecânico, pois sou desenvolvedor de software e escrevo códigos na maioria das vezes. Algumas vezes esse som mecânico realmente irritava e às vezes parece estressar meus dedos. Este teclado é bom. F"&amp;"unciona como eu queria que fosse. Mas o problema real é que, enquanto estou cavando meu código com o mouse, a luz do teclado dispara e preciso clicar em tampas ou a tecla NUM para acender novamente. Não é um problema para o usuário médio, mas me irrita, p"&amp;"ois algum dia esqueço de ativar o NUM Lock e, ao digitar o número do meu código, alterado acidentalmente o modo de edição para inserir (devido a 0 pressionado). Caso contrário, tudo parece ok. Eu gostaria que a HP tivesse oferecido sempre a opção para est"&amp;"e teclado., Se houver algum suporte de pulso que este produto dispare em sua faixa de preço, um bom produto para essa faixa de preço, a luz RGB é elegante e de boa qualidade e sua construção ... .. !!, Smooth KeyStrokes.uneven Distribuição da luz de fundo"&amp;" sobre a fonte, causando teclas difíceis de ler. Somente o momento em que todas as teclas são adequadamente legíveis é quando você olha diretamente para um ângulo perpendicular. Como não preciso olhar para as letras para digitar todos os dias, posso me sa"&amp;"far. Não há indicação no teclado para os combos de teclas de função FN +. Geralmente, em outro teclado, existem símbolos nas teclas de função para indicar o que elas fazem quando pressionadas com FN.Ver, parece ser aceitável!, Bom e valor pelo dinheiro, o"&amp;" revestimento de prata saiu após os três dias. aceso e digitando. Por digitar não tão bom. Compre teclados que são menos mecânicos para isso. Esta é uma boa compra não dá a facilidade de digitar o estilo de um laptop, https: //m.media-amazon.com/images/i/"&amp;"61niwbc0nvl._sy88.jpg")</f>
        <v>O teclado é bom. Eu realmente não gosto do som do teclado mecânico, pois sou desenvolvedor de software e escrevo códigos na maioria das vezes. Algumas vezes esse som mecânico realmente irritava e às vezes parece estressar meus dedos. Este teclado é bom. Funciona como eu queria que fosse. Mas o problema real é que, enquanto estou cavando meu código com o mouse, a luz do teclado dispara e preciso clicar em tampas ou a tecla NUM para acender novamente. Não é um problema para o usuário médio, mas me irrita, pois algum dia esqueço de ativar o NUM Lock e, ao digitar o número do meu código, alterado acidentalmente o modo de edição para inserir (devido a 0 pressionado). Caso contrário, tudo parece ok. Eu gostaria que a HP tivesse oferecido sempre a opção para este teclado., Se houver algum suporte de pulso que este produto dispare em sua faixa de preço, um bom produto para essa faixa de preço, a luz RGB é elegante e de boa qualidade e sua construção ... .. !!, Smooth KeyStrokes.uneven Distribuição da luz de fundo sobre a fonte, causando teclas difíceis de ler. Somente o momento em que todas as teclas são adequadamente legíveis é quando você olha diretamente para um ângulo perpendicular. Como não preciso olhar para as letras para digitar todos os dias, posso me safar. Não há indicação no teclado para os combos de teclas de função FN +. Geralmente, em outro teclado, existem símbolos nas teclas de função para indicar o que elas fazem quando pressionadas com FN.Ver, parece ser aceitável!, Bom e valor pelo dinheiro, o revestimento de prata saiu após os três dias. aceso e digitando. Por digitar não tão bom. Compre teclados que são menos mecânicos para isso. Esta é uma boa compra não dá a facilidade de digitar o estilo de um laptop, https: //m.media-amazon.com/images/i/61niwbc0nvl._sy88.jpg</v>
      </c>
    </row>
    <row r="998">
      <c r="A998" s="9" t="s">
        <v>3943</v>
      </c>
      <c r="B998" s="29" t="str">
        <f>VLOOKUP(dados!A998, reviews!A:G, 5, FALSE)</f>
        <v>quality is awesome trust me guys 👍,Nice to purchase,Aesthetic look but not sure about the reverse side,worth the money,Zipless and logoless but great product,Value for money product,Looks good,Size</v>
      </c>
      <c r="C998" s="29" t="str">
        <f>VLOOKUP(dados!A998, reviews!A:G, 6, FALSE)</f>
        <v>it's quality is really good and it can carry 15.6" to 16" laptops easily 👍,No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v>
      </c>
      <c r="D998" s="29" t="str">
        <f>IFERROR(__xludf.DUMMYFUNCTION("GOOGLETRANSLATE(B998, ""en"", ""pt-br"")"),"Qualidade é incrível, confie em mim pessoal 👍, bom de comprar, aparência estética, mas não tenho certeza sobre o verso, vale o dinheiro, sem zíper e logolsa, mas ótimo produto, produto de valor para dinheiro, parece bom, tamanho")</f>
        <v>Qualidade é incrível, confie em mim pessoal 👍, bom de comprar, aparência estética, mas não tenho certeza sobre o verso, vale o dinheiro, sem zíper e logolsa, mas ótimo produto, produto de valor para dinheiro, parece bom, tamanho</v>
      </c>
      <c r="E998" s="29" t="str">
        <f>IFERROR(__xludf.DUMMYFUNCTION("GOOGLETRANSLATE(C998, ""en"", ""pt-br"")"),"Sua qualidade é muito boa e pode transportar laptops de 15,6 a 16 ""facilmente, não há problema a tomar. Devem ser tomadas. A qualidade é ótima. A costura também é forte, a costura é muito comum e parece ruim no lado interno. Seu laptop deve ser menor do "&amp;"que esse tamanho. Então, que se encaixa e fácil de remover., Coloque perfeitamente para o material do laptop não é o melhor, mas nesse preço é realmente um pouco caro poderia ter sido inferior a 100 rúpias (justificadas) Do pó, sem dúvida")</f>
        <v>Sua qualidade é muito boa e pode transportar laptops de 15,6 a 16 "facilmente, não há problema a tomar. Devem ser tomadas. A qualidade é ótima. A costura também é forte, a costura é muito comum e parece ruim no lado interno. Seu laptop deve ser menor do que esse tamanho. Então, que se encaixa e fácil de remover., Coloque perfeitamente para o material do laptop não é o melhor, mas nesse preço é realmente um pouco caro poderia ter sido inferior a 100 rúpias (justificadas) Do pó, sem dúvida</v>
      </c>
    </row>
    <row r="999">
      <c r="A999" s="9" t="s">
        <v>3947</v>
      </c>
      <c r="B999" s="29" t="str">
        <f>VLOOKUP(dados!A999, reviews!A:G, 5, FALSE)</f>
        <v>it worked properly for almost one year,ok,USB lamp,Value for money.,For defective I guess. One or two LED not illuminating properly.,Just ok,Very short,Ultimate nice products</v>
      </c>
      <c r="C999" s="29" t="str">
        <f>VLOOKUP(dados!A999, reviews!A:G, 6, FALSE)</f>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v>
      </c>
      <c r="D999" s="29" t="str">
        <f>IFERROR(__xludf.DUMMYFUNCTION("GOOGLETRANSLATE(B999, ""en"", ""pt-br"")"),"Funcionou corretamente por quase um ano, ok, lâmpada USB, valor ao dinheiro., Para defeituosos, eu acho. Um ou dois LED não iluminando corretamente., Apenas ok, muito curto e melhor produtos agradáveis")</f>
        <v>Funcionou corretamente por quase um ano, ok, lâmpada USB, valor ao dinheiro., Para defeituosos, eu acho. Um ou dois LED não iluminando corretamente., Apenas ok, muito curto e melhor produtos agradáveis</v>
      </c>
      <c r="E999" s="29" t="str">
        <f>IFERROR(__xludf.DUMMYFUNCTION("GOOGLETRANSLATE(C999, ""en"", ""pt-br"")"),"Produto muito bom, muito brilhante, fácil de usar, funcionou corretamente por quase um ano., OK, https: //m.media-amazon.com/images/w/webp_402378-t2/images/i/71v4dhplpel._sy88. JPG, agradável e útil., Para defeituosos, eu acho. Um ou dois LED não iluminan"&amp;"do corretamente., Ok, o comprimento é muito curto, seu brilho é bom, mas seu painel de luz está muito quente após o uso de algum tempo.")</f>
        <v>Produto muito bom, muito brilhante, fácil de usar, funcionou corretamente por quase um ano., OK, https: //m.media-amazon.com/images/w/webp_402378-t2/images/i/71v4dhplpel._sy88. JPG, agradável e útil., Para defeituosos, eu acho. Um ou dois LED não iluminando corretamente., Ok, o comprimento é muito curto, seu brilho é bom, mas seu painel de luz está muito quente após o uso de algum tempo.</v>
      </c>
    </row>
    <row r="1000">
      <c r="A1000" s="9" t="s">
        <v>3950</v>
      </c>
      <c r="B1000" s="29" t="str">
        <f>VLOOKUP(dados!A1000, reviews!A:G, 5, FALSE)</f>
        <v>Good wifi extender,Value for money!,Nice Product,very satisfied,Does the job,The product seems to be decent and good.,Good for home use,Extender is good but no 5G</v>
      </c>
      <c r="C1000" s="29" t="str">
        <f>VLOOKUP(dados!A1000, reviews!A:G, 6, FALSE)</f>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v>
      </c>
      <c r="D1000" s="29" t="str">
        <f>IFERROR(__xludf.DUMMYFUNCTION("GOOGLETRANSLATE(B1000, ""en"", ""pt-br"")"),"Bom WiFi Extender, valor pelo dinheiro!, Bom produto, muito satisfeito, o trabalho, o produto parece ser decente e bom., Bom para uso doméstico, o Extender é bom, mas não 5g")</f>
        <v>Bom WiFi Extender, valor pelo dinheiro!, Bom produto, muito satisfeito, o trabalho, o produto parece ser decente e bom., Bom para uso doméstico, o Extender é bom, mas não 5g</v>
      </c>
      <c r="E1000" s="29" t="str">
        <f>IFERROR(__xludf.DUMMYFUNCTION("GOOGLETRANSLATE(C1000, ""en"", ""pt-br"")"),"Sem queixas até agora. Somente contras é a primeira vez que a conexão é lil bagunçada. Depois de conectado sem necessidade de olhar para trás, valor para dinheiro (comprei por cerca de 1300/- à venda), rápido e fácil de instalar e boa cobertura., Comprei "&amp;"isso como wifi não estava trabalhando no meu quarto devido à colocação do roteador . Era muito duvidoso comprar, pois era caro de acordo com minha opinião, mas depois que você compra, você pode levá -lo com você quando se move ou mudar para que seja um pr"&amp;"oduto para sempre. A força do wifi é tão boa agora que posso assistir a palestras. Basta instalar o aplicativo. Você também pode adicionar ou remover pessoas que o usam. Muito gerenciável., comprei isso como um extensor de backup. Configurar foi muito fác"&amp;"il, mas eu enfrentei uma questão boba auto-infligida. Digitei a senha WiFi errada durante a configuração, mas a configuração foi concluída como se a conexão com o roteador tivesse sido bem -sucedida. Quando tentei navegar, ele mostrava uma conexão ""sem i"&amp;"nternet"" entre o extensor e o roteador. Levei algum tempo para solucionar problemas e corrigir a senha. Idealmente, o processo de configuração deveria ter destacado o erro e interrompeu o processo de configuração mostrando que a conexão com o roteador nã"&amp;"o foi bem -sucedida, ele teria me salvado alguma dor de cabeça para solucionar problemas. 45 pés de distância do roteador, onde recebo um sinal esporádico e fraco (5 Mbps). Localizo o extensor a cerca de 30 pés do roteador para estender a rede e agora rec"&amp;"ebo uma conexão de 20 Mbps. É suficiente para o meu trabalho. , o laptop registrou uma velocidade de 30 Mbps. A 15 pés de distância do extensor sem linha de visão direta, o laptop registrou 21Mbps+. Overlateral, estou satisfeito com seu desempenho., Https"&amp;": //m.media-amazon.com/images/i/613f3cgftwl._sy88.jpg,Good Para uso doméstico, mas seu alcance é como até que um quarto só possa se estender, não muito, mas bom, como meu roteador está na passagem do meio em minha casa, mas seu alcance não sai muito sem e"&amp;"xtensor, quando comecei a usar o extensor, ele puxa O alcance até esta sala específica, se o seu quarto for um após o outro, não vai até o último quarto., estende meus sinais de wifi e faz o trabalho de maneira muito eficaz. Uma vez que a preocupação é qu"&amp;"e eu tenho um sinal de actfiber 5G, mas isso fornece apenas 2,5 Hz, mas ainda é gerenciável para os celulares de laptop de TV etc para fins domésticos.")</f>
        <v>Sem queixas até agora. Somente contras é a primeira vez que a conexão é lil bagunçada. Depois de conectado sem necessidade de olhar para trás, valor para dinheiro (comprei por cerca de 1300/- à venda), rápido e fácil de instalar e boa cobertura., Comprei isso como wifi não estava trabalhando no meu quarto devido à colocação do roteador . Era muito duvidoso comprar, pois era caro de acordo com minha opinião, mas depois que você compra, você pode levá -lo com você quando se move ou mudar para que seja um produto para sempre. A força do wifi é tão boa agora que posso assistir a palestras. Basta instalar o aplicativo. Você também pode adicionar ou remover pessoas que o usam. Muito gerenciável., comprei isso como um extensor de backup. Configurar foi muito fácil, mas eu enfrentei uma questão boba auto-infligida. Digitei a senha WiFi errada durante a configuração, mas a configuração foi concluída como se a conexão com o roteador tivesse sido bem -sucedida. Quando tentei navegar, ele mostrava uma conexão "sem internet" entre o extensor e o roteador. Levei algum tempo para solucionar problemas e corrigir a senha. Idealmente, o processo de configuração deveria ter destacado o erro e interrompeu o processo de configuração mostrando que a conexão com o roteador não foi bem -sucedida, ele teria me salvado alguma dor de cabeça para solucionar problemas. 45 pés de distância do roteador, onde recebo um sinal esporádico e fraco (5 Mbps). Localizo o extensor a cerca de 30 pés do roteador para estender a rede e agora recebo uma conexão de 20 Mbps. É suficiente para o meu trabalho. , o laptop registrou uma velocidade de 30 Mbps. A 15 pés de distância do extensor sem linha de visão direta, o laptop registrou 21Mbps+. Overlateral, estou satisfeito com seu desempenho., Https: //m.media-amazon.com/images/i/613f3cgftwl._sy88.jpg,Good Para uso doméstico, mas seu alcance é como até que um quarto só possa se estender, não muito, mas bom, como meu roteador está na passagem do meio em minha casa, mas seu alcance não sai muito sem extensor, quando comecei a usar o extensor, ele puxa O alcance até esta sala específica, se o seu quarto for um após o outro, não vai até o último quarto., estende meus sinais de wifi e faz o trabalho de maneira muito eficaz. Uma vez que a preocupação é que eu tenho um sinal de actfiber 5G, mas isso fornece apenas 2,5 Hz, mas ainda é gerenciável para os celulares de laptop de TV etc para fins domésticos.</v>
      </c>
    </row>
    <row r="1001">
      <c r="A1001" s="9" t="s">
        <v>3954</v>
      </c>
      <c r="B1001" s="29" t="str">
        <f>VLOOKUP(dados!A1001, reviews!A:G, 5, FALSE)</f>
        <v>Strudy, Awesome connectivity........but bass is NOT upto the mark,Good for home,Superb Product but no memory card slot,Good box as per range,Good,Good but battery drain fast...,Good,Very good</v>
      </c>
      <c r="C1001" s="29" t="str">
        <f>VLOOKUP(dados!A1001, reviews!A:G, 6, FALSE)</f>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v>
      </c>
      <c r="D1001" s="29" t="str">
        <f>IFERROR(__xludf.DUMMYFUNCTION("GOOGLETRANSLATE(B1001, ""en"", ""pt-br"")"),"Strudy, conectividade impressionante ........ Mas o baixo não está em relação à marca, bom para casa, produto excelente, mas sem cartão de memória, boa caixa de acordo com o intervalo, bom, bom, mas dreno de bateria rápido ..., bom ,Muito bom")</f>
        <v>Strudy, conectividade impressionante ........ Mas o baixo não está em relação à marca, bom para casa, produto excelente, mas sem cartão de memória, boa caixa de acordo com o intervalo, bom, bom, mas dreno de bateria rápido ..., bom ,Muito bom</v>
      </c>
      <c r="E1001" s="29" t="str">
        <f>IFERROR(__xludf.DUMMYFUNCTION("GOOGLETRANSLATE(C1001, ""en"", ""pt-br"")"),"A luz do LED é vibrante com seleção de múltiplas formas, o acúmulo é muito bom, parece forte e não será danificado, mesmo que caia da altura da mesa. A duração da bateria é boa demais se usada sem LEDs. Com os LEDs, durará apenas 2,5 a 3 horas. Sem lidera"&amp;"r mais de 5 horas, com certeza. Não espere muita qualidade de baixo e som supereal é bom para o que se está pagando. Justifica o preço dele. Inicialmente, eu estava usando o JBL GO (versão 1), mas certamente posso dizer que a JBL era muito melhor com os g"&amp;"raves do que este, mas obviamente o JBL WA dobra o preço. Vá em frente se você quiser uma qualidade de som de desento com luzes LED sofisticadas. No geral, 4 estrelas.ps- O tamanho é realmente maior que o que parece nas fotos., É bom para as crianças de p"&amp;"ropósito em casa entreter música e efeito leve, mas não para festa ou algo assim, um melhor produto a esse preço, mas pouco Desapontado como nas fotos e descrição, eles disseram que o slot do cartão de memória está lá, mas quando eu recebo esse produto, o"&amp;" slot do cartão de memória não estava lá, mas ainda gosto desse produto e efeito especialmente de iluminação e bom som de graves, o som é sem dúvida bom. Curto ... a duração da bateria não está à altura da luz. Era incontrolável, não desligando, fazia um "&amp;"barulho horrível do nada. Eu o mantive fora da noite toda, para que a bateria drenasse e no dia seguinte estava funcional. Eu acho que foi uma falha de software, de qualquer maneira não apareceu novamente por saquê!, Bom, mas a bateria é muito rápida ...,"&amp;" o volume é menos, produtos agradáveis")</f>
        <v>A luz do LED é vibrante com seleção de múltiplas formas, o acúmulo é muito bom, parece forte e não será danificado, mesmo que caia da altura da mesa. A duração da bateria é boa demais se usada sem LEDs. Com os LEDs, durará apenas 2,5 a 3 horas. Sem liderar mais de 5 horas, com certeza. Não espere muita qualidade de baixo e som supereal é bom para o que se está pagando. Justifica o preço dele. Inicialmente, eu estava usando o JBL GO (versão 1), mas certamente posso dizer que a JBL era muito melhor com os graves do que este, mas obviamente o JBL WA dobra o preço. Vá em frente se você quiser uma qualidade de som de desento com luzes LED sofisticadas. No geral, 4 estrelas.ps- O tamanho é realmente maior que o que parece nas fotos., É bom para as crianças de propósito em casa entreter música e efeito leve, mas não para festa ou algo assim, um melhor produto a esse preço, mas pouco Desapontado como nas fotos e descrição, eles disseram que o slot do cartão de memória está lá, mas quando eu recebo esse produto, o slot do cartão de memória não estava lá, mas ainda gosto desse produto e efeito especialmente de iluminação e bom som de graves, o som é sem dúvida bom. Curto ... a duração da bateria não está à altura da luz. Era incontrolável, não desligando, fazia um barulho horrível do nada. Eu o mantive fora da noite toda, para que a bateria drenasse e no dia seguinte estava funcional. Eu acho que foi uma falha de software, de qualquer maneira não apareceu novamente por saquê!, Bom, mas a bateria é muito rápida ..., o volume é menos, produtos agradáveis</v>
      </c>
    </row>
    <row r="1002">
      <c r="A1002" s="9" t="s">
        <v>352</v>
      </c>
      <c r="B1002" s="29" t="str">
        <f>VLOOKUP(dados!A1002, reviews!A:G, 5, FALSE)</f>
        <v>Value for money,Nice product,timely delivered with good packeging,Good in quality,Quite nice cable,  Go for it,Good product , value for money,Worth buying,Nice</v>
      </c>
      <c r="C1002" s="29" t="str">
        <f>VLOOKUP(dados!A1002, reviews!A:G, 6, FALSE)</f>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v>
      </c>
      <c r="D1002" s="29" t="str">
        <f>IFERROR(__xludf.DUMMYFUNCTION("GOOGLETRANSLATE(B1002, ""en"", ""pt-br"")"),"Valor pelo dinheiro, bom produto, entregue oportuno com boa carbonga, boa qualidade, cabo bastante bom, vá em frente, bom produto, valor ao dinheiro, que vale a pena comprar, bom")</f>
        <v>Valor pelo dinheiro, bom produto, entregue oportuno com boa carbonga, boa qualidade, cabo bastante bom, vá em frente, bom produto, valor ao dinheiro, que vale a pena comprar, bom</v>
      </c>
      <c r="E1002" s="29" t="str">
        <f>IFERROR(__xludf.DUMMYFUNCTION("GOOGLETRANSLATE(C1002, ""en"", ""pt-br"")"),"A embalagem é boa. Eles enviaram uma caixa para Italo, a qualidade parece boa e decentemente rápida, o produto para o preço pago, bom produto, um bom cabo de carregamento por baixo custo., Altamente recomendado, um cabo bastante bom neste preço, carregand"&amp;"o meu iPad Vá em frente, eu gosto do produto e resnível preciso., vale a pena comprar, bom")</f>
        <v>A embalagem é boa. Eles enviaram uma caixa para Italo, a qualidade parece boa e decentemente rápida, o produto para o preço pago, bom produto, um bom cabo de carregamento por baixo custo., Altamente recomendado, um cabo bastante bom neste preço, carregando meu iPad Vá em frente, eu gosto do produto e resnível preciso., vale a pena comprar, bom</v>
      </c>
    </row>
    <row r="1003">
      <c r="A1003" s="9" t="s">
        <v>3959</v>
      </c>
      <c r="B1003" s="29" t="str">
        <f>VLOOKUP(dados!A1003, reviews!A:G, 5, FALSE)</f>
        <v>Android &amp; IOS,About Mouse,Broke after two weeks - Update: Product replaced twice and it works now,Good,A perfect one,A decent device for daily use,Overall a good product,So far so good!</v>
      </c>
      <c r="C1003" s="29" t="str">
        <f>VLOOKUP(dados!A1003, reviews!A:G, 6, FALSE)</f>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v>
      </c>
      <c r="D1003" s="29" t="str">
        <f>IFERROR(__xludf.DUMMYFUNCTION("GOOGLETRANSLATE(B1003, ""en"", ""pt-br"")"),"Android &amp; iOS, sobre o mouse, quebrou após duas semanas - Atualização: o produto substituído duas vezes e funciona agora, bom, um dispositivo perfeito, um dispositivo decente para uso diário, em geral um bom produto, até agora tudo bem!")</f>
        <v>Android &amp; iOS, sobre o mouse, quebrou após duas semanas - Atualização: o produto substituído duas vezes e funciona agora, bom, um dispositivo perfeito, um dispositivo decente para uso diário, em geral um bom produto, até agora tudo bem!</v>
      </c>
      <c r="E1003" s="29" t="str">
        <f>IFERROR(__xludf.DUMMYFUNCTION("GOOGLETRANSLATE(C1003, ""en"", ""pt-br"")"),"Você pode usar dispositivos Android e ISO., O mouse é muito bom, mas a opção Bluetooth não pode suportar no MacBook Pro, atualização 3: recebi o mouse de substituição para o mouse de substituição. Parece funcionar bem até a data. Às vezes, pendura e eu te"&amp;"nho que reiniciá -lo, mas comparado aos anteriores, tudo bem. Não é 100% confiável, mas o atendimento ao cliente e a substituição foram bons. Recomendaria o produto se você tiver um mouse de backup com você, pois não é completamente confiável.Update 2: O "&amp;"mouse de substituição quebrou em 2 dias. Parou de funcionar completamente e o cursor do mouse nem se move. Pedidos um reembolso, mas eles estão me enviando outro mouse depois de testá -lo por uma semana. Estou perdendo a esperança. Eu tive que usar um mou"&amp;"se velho nesse meio tempo. Eu costumava confiar em produtos excêntricos, mas estou muito decepcionado quando esse mouse quebrou logo após duas semanas. O ponteiro do mouse se move irregularmente por conta própria. A janela de retorno foi fechada há dois d"&amp;"ias e não posso devolver este lixo quebrado. Vou registrar uma queixa ao Tribunal de Consumidores, se não for reembolsado., Bom, eu uso o Magic Mouse da Apple regularmente, o que é superior por razões óbvias (design de estilista, ele suporta gestos, o bac"&amp;"kup da bateria é incomparável). Esse mouse não é quase Conforme em termos de ergonomia e design. Não podemos esperar que esse mouse apoie gestos (a esse ponto e inovação), mas faz bem o trabalho. A parte boa é que você tem modos duplos de conexão, dongle "&amp;"e bluetooth. As luzes decorativas são uma vantagem. Eu testei este mouse conectando -se ao MacBook e funciona bem. , fácil de usar e alternar dispositivos, o Bluetooth é classificado, o RGB tem baixa iluminação. Uso cotidiano básico Ratos Bluetooth., É um"&amp;" bom produto, desde que 6 meses com a vida útil da bateria. A qualidade poderia ter sido melhor., Não há problemas até agora e a qualidade é boa. Gostei do design também.")</f>
        <v>Você pode usar dispositivos Android e ISO., O mouse é muito bom, mas a opção Bluetooth não pode suportar no MacBook Pro, atualização 3: recebi o mouse de substituição para o mouse de substituição. Parece funcionar bem até a data. Às vezes, pendura e eu tenho que reiniciá -lo, mas comparado aos anteriores, tudo bem. Não é 100% confiável, mas o atendimento ao cliente e a substituição foram bons. Recomendaria o produto se você tiver um mouse de backup com você, pois não é completamente confiável.Update 2: O mouse de substituição quebrou em 2 dias. Parou de funcionar completamente e o cursor do mouse nem se move. Pedidos um reembolso, mas eles estão me enviando outro mouse depois de testá -lo por uma semana. Estou perdendo a esperança. Eu tive que usar um mouse velho nesse meio tempo. Eu costumava confiar em produtos excêntricos, mas estou muito decepcionado quando esse mouse quebrou logo após duas semanas. O ponteiro do mouse se move irregularmente por conta própria. A janela de retorno foi fechada há dois dias e não posso devolver este lixo quebrado. Vou registrar uma queixa ao Tribunal de Consumidores, se não for reembolsado., Bom, eu uso o Magic Mouse da Apple regularmente, o que é superior por razões óbvias (design de estilista, ele suporta gestos, o backup da bateria é incomparável). Esse mouse não é quase Conforme em termos de ergonomia e design. Não podemos esperar que esse mouse apoie gestos (a esse ponto e inovação), mas faz bem o trabalho. A parte boa é que você tem modos duplos de conexão, dongle e bluetooth. As luzes decorativas são uma vantagem. Eu testei este mouse conectando -se ao MacBook e funciona bem. , fácil de usar e alternar dispositivos, o Bluetooth é classificado, o RGB tem baixa iluminação. Uso cotidiano básico Ratos Bluetooth., É um bom produto, desde que 6 meses com a vida útil da bateria. A qualidade poderia ter sido melhor., Não há problemas até agora e a qualidade é boa. Gostei do design também.</v>
      </c>
    </row>
    <row r="1004">
      <c r="A1004" s="9" t="s">
        <v>3963</v>
      </c>
      <c r="B1004" s="29" t="str">
        <f>VLOOKUP(dados!A1004, reviews!A:G, 5, FALSE)</f>
        <v>Good product for beginners,Wonderful,Good,Rate is affordable,Nice will order again,Very good deal,Super,Drawing books</v>
      </c>
      <c r="C1004" s="29" t="str">
        <f>VLOOKUP(dados!A1004, reviews!A:G, 6, FALSE)</f>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v>
      </c>
      <c r="D1004" s="29" t="str">
        <f>IFERROR(__xludf.DUMMYFUNCTION("GOOGLETRANSLATE(B1004, ""en"", ""pt-br"")"),"Bom produto para iniciantes, maravilhoso, bom, a taxa é acessível, Nice encomendará novamente, muito bom, super, desenho de livros")</f>
        <v>Bom produto para iniciantes, maravilhoso, bom, a taxa é acessível, Nice encomendará novamente, muito bom, super, desenho de livros</v>
      </c>
      <c r="E1004" s="29" t="str">
        <f>IFERROR(__xludf.DUMMYFUNCTION("GOOGLETRANSLATE(C1004, ""en"", ""pt-br"")"),"Bom para aprender desenho para crianças. O MRP do produto é 120 (4 livros, 30 por peça), mas a Amazon cobrou 140 inicialmente. Entrou em contato com o atendimento ao cliente e obteve a diferença no valor de volta., Ótima experiência de trabalho ....., val"&amp;"iosa, bom produto a uma taxa acessível, Nice encomendará novamente, muito bom negócio, a textura do papel é boa. Melhor a esse preço, meus filhos gostam dos livros de desenho e é valor para o dinheiro")</f>
        <v>Bom para aprender desenho para crianças. O MRP do produto é 120 (4 livros, 30 por peça), mas a Amazon cobrou 140 inicialmente. Entrou em contato com o atendimento ao cliente e obteve a diferença no valor de volta., Ótima experiência de trabalho ....., valiosa, bom produto a uma taxa acessível, Nice encomendará novamente, muito bom negócio, a textura do papel é boa. Melhor a esse preço, meus filhos gostam dos livros de desenho e é valor para o dinheiro</v>
      </c>
    </row>
    <row r="1005">
      <c r="A1005" s="9" t="s">
        <v>3967</v>
      </c>
      <c r="B1005" s="29" t="str">
        <f>VLOOKUP(dados!A1005, reviews!A:G, 5, FALSE)</f>
        <v>I was skeptical at the beginning but now love it.,It is mechanical keyboard,Very Good Build quality, price of Rs.1500/- is justified.,Amazing,Great budget keyboard,Value for money,Very good performance,It is good if you get it under 2000 otherwise don't buy it</v>
      </c>
      <c r="C1005" s="29" t="str">
        <f>VLOOKUP(dados!A1005, reviews!A:G, 6, FALSE)</f>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v>
      </c>
      <c r="D1005" s="29" t="str">
        <f>IFERROR(__xludf.DUMMYFUNCTION("GOOGLETRANSLATE(B1005, ""en"", ""pt-br"")"),"Eu estava cético no começo, mas agora adoro., É teclado mecânico, qualidade de construção muito boa, preço de Rs.1500/- é justificado., Incrível, ótimo teclado orçamentário, valor para dinheiro, muito bom desempenho, é bom Se você conseguir menos de 2000,"&amp;" caso contrário, não compre")</f>
        <v>Eu estava cético no começo, mas agora adoro., É teclado mecânico, qualidade de construção muito boa, preço de Rs.1500/- é justificado., Incrível, ótimo teclado orçamentário, valor para dinheiro, muito bom desempenho, é bom Se você conseguir menos de 2000, caso contrário, não compre</v>
      </c>
      <c r="E1005" s="29" t="str">
        <f>IFERROR(__xludf.DUMMYFUNCTION("GOOGLETRANSLATE(C1005, ""en"", ""pt-br"")"),"Na faixa de preço do Sub 2000 INR, eu duvidava comprar um teclado mecânico, pois há muitos teclados decepcionantes de pseudo -mecânicos disponíveis nessa faixa. Eu já tinha um prodígio Logitech G213, que era ótimo com sua membrana, então quase pensei em n"&amp;"ão comprá -lo. Mas depois de muito pensar, comprei. Acaba sendo incrível. Ele possui um removedor de tampa -chave incluído, que é um ótimo bônus. Cada clique parece responsivo e ótimo, estou digitando mais de 15 wpm com isso em comparação com o meu G213. "&amp;"O tamanho é um pouco pequeno para um teclado de tamanho completo e o RGB é um pouco doloroso. Mas, além disso, é o melhor teclado nessa faixa de preço., Bom teclado para pessoas que adoram digitar som 😊, bom produto, qualidade de construção muito boa, o "&amp;"preço de Rs.1500/- é justificado. E escrevi a revisão usando o mesmo tabuleiro de chave., Melhor orçamento, um teclado muito bom para iniciar sua jornada mecânica de teclado. Isso é muito melhor do que qualquer teclado de membrana que você jamais usará. U"&amp;"so por mais de 1 ano e ainda está funcionando bem, embora os interruptores azuis percam lentamente seu som nítido, mas isso é esperado dessa marca de comutadores., Valor do dinheiro, I I Gostaria de poder cuticar a cor do RGB, mas descanse, é muito bom., "&amp;"muito bom produto 👌 E perfeitamente funcionando bem, olá pessoal hoje vou falar sobre o teclado HP GK 320 para os jogos, para que me custe cerca de 1700 e eu dou as classificações De 5 estrelas, darei três estrelas porque ele tem alguns problemas de RGB "&amp;"e eu recomendo que você compre apenas este teclado se obtê -lo abaixo de 2000 se custar mais de 2000, recomendo que não compre este teclado")</f>
        <v>Na faixa de preço do Sub 2000 INR, eu duvidava comprar um teclado mecânico, pois há muitos teclados decepcionantes de pseudo -mecânicos disponíveis nessa faixa. Eu já tinha um prodígio Logitech G213, que era ótimo com sua membrana, então quase pensei em não comprá -lo. Mas depois de muito pensar, comprei. Acaba sendo incrível. Ele possui um removedor de tampa -chave incluído, que é um ótimo bônus. Cada clique parece responsivo e ótimo, estou digitando mais de 15 wpm com isso em comparação com o meu G213. O tamanho é um pouco pequeno para um teclado de tamanho completo e o RGB é um pouco doloroso. Mas, além disso, é o melhor teclado nessa faixa de preço., Bom teclado para pessoas que adoram digitar som 😊, bom produto, qualidade de construção muito boa, o preço de Rs.1500/- é justificado. E escrevi a revisão usando o mesmo tabuleiro de chave., Melhor orçamento, um teclado muito bom para iniciar sua jornada mecânica de teclado. Isso é muito melhor do que qualquer teclado de membrana que você jamais usará. Uso por mais de 1 ano e ainda está funcionando bem, embora os interruptores azuis percam lentamente seu som nítido, mas isso é esperado dessa marca de comutadores., Valor do dinheiro, I I Gostaria de poder cuticar a cor do RGB, mas descanse, é muito bom., muito bom produto 👌 E perfeitamente funcionando bem, olá pessoal hoje vou falar sobre o teclado HP GK 320 para os jogos, para que me custe cerca de 1700 e eu dou as classificações De 5 estrelas, darei três estrelas porque ele tem alguns problemas de RGB e eu recomendo que você compre apenas este teclado se obtê -lo abaixo de 2000 se custar mais de 2000, recomendo que não compre este teclado</v>
      </c>
    </row>
    <row r="1006">
      <c r="A1006" s="9" t="s">
        <v>3971</v>
      </c>
      <c r="B1006" s="29" t="str">
        <f>VLOOKUP(dados!A1006, reviews!A:G, 5, FALSE)</f>
        <v>Nice but few Cons (*that you must read*),Smooth,Nice,Somewhat good.,Its ok,Very nice pen,Nice product,Best parker pen with very cool design</v>
      </c>
      <c r="C1006" s="29" t="str">
        <f>VLOOKUP(dados!A1006, reviews!A:G, 6, FALSE)</f>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🤩I have every used and it have came my 😲main😲parker pen I have 10 to 15 pens of parker😅🤪 but this is my main pen now😁 don't think twice just go with it 😃😁its the best pen pls buy 😏if get a chance😏 . Very good Amazon😄</v>
      </c>
      <c r="D1006" s="29" t="str">
        <f>IFERROR(__xludf.DUMMYFUNCTION("GOOGLETRANSLATE(B1006, ""en"", ""pt-br"")"),"Bom, mas poucos contras (*que você deve ler*), suave, agradável, um pouco bom., Tudo bem, caneta muito agradável, bom produto, melhor caneta Parker com design muito legal")</f>
        <v>Bom, mas poucos contras (*que você deve ler*), suave, agradável, um pouco bom., Tudo bem, caneta muito agradável, bom produto, melhor caneta Parker com design muito legal</v>
      </c>
      <c r="E1006" s="29" t="str">
        <f>IFERROR(__xludf.DUMMYFUNCTION("GOOGLETRANSLATE(C1006, ""en"", ""pt-br"")"),", Escreve suavemente, agradável, a aparência e a sensação da caneta é incrível, sendo um Parker é extremamente suave. Mas a tampa da caixa da caneta está quebrada, por isso seria embaraçoso se você o estivesse presenteando para alguém e eles acham quebrad"&amp;"o., Pen muito legal, mas não caneta de bola jel caneta, é a melhor caneta parker 🤩i, tenho todos os Usado e veio minha caneta 😲Main😲parker, eu tenho 10 a 15 canetas de Parker😅🤪, mas esta é a minha caneta principal agora 😁 Não pense duas vezes, apena"&amp;"s vá em frente acaso😏. Muito bom Amazon😄")</f>
        <v>, Escreve suavemente, agradável, a aparência e a sensação da caneta é incrível, sendo um Parker é extremamente suave. Mas a tampa da caixa da caneta está quebrada, por isso seria embaraçoso se você o estivesse presenteando para alguém e eles acham quebrado., Pen muito legal, mas não caneta de bola jel caneta, é a melhor caneta parker 🤩i, tenho todos os Usado e veio minha caneta 😲Main😲parker, eu tenho 10 a 15 canetas de Parker😅🤪, mas esta é a minha caneta principal agora 😁 Não pense duas vezes, apenas vá em frente acaso😏. Muito bom Amazon😄</v>
      </c>
    </row>
    <row r="1007">
      <c r="A1007" s="9" t="s">
        <v>3975</v>
      </c>
      <c r="B1007" s="29" t="str">
        <f>VLOOKUP(dados!A1007, reviews!A:G, 5, FALSE)</f>
        <v>Good Pen at Low Cost,... have been reading about this pen which I would like to answer,Decent (at this price),Very nice.,Not for speedy write...,Nice pen good quality could be more smoother,Smooth,Superb Fountain Pen for all types of users</v>
      </c>
      <c r="C1007" s="29" t="str">
        <f>VLOOKUP(dados!A1007, reviews!A:G, 6, FALSE)</f>
        <v>First of All Delivery of Amazon: It was as specified no delays. Hence, appreciate it.Packaging: Not Good. The box was tempered, torn and damaged.Product: Ordered Black, received brown. Didn’t replace as the Color didn’t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don’t use the pen for sometime. The pen doesn’t write at all. I have to wet the nib or do something or the other in order to make it start writing. It writes great when it starts writing. But the initial pick up is really bad. I have a platinum preppy too. It’s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 First of all, it came in a really bad condition. The package was almost flattened. All thanks to the people connected with the transition and delivery. Thank God it doesn't have any dent.★ Secondly, it is probably a used product. Because it came with the smell of ink in it out of the box.★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 Fourthly, the grip is average.★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v>
      </c>
      <c r="D1007" s="29" t="str">
        <f>IFERROR(__xludf.DUMMYFUNCTION("GOOGLETRANSLATE(B1007, ""en"", ""pt-br"")"),"Boa caneta a baixo custo, ... tenho lido sobre esta caneta que eu gostaria de responder, decente (a esse preço), muito bom., Não para escrita rápida ..., boa caneta de boa qualidade pode ser mais suave, Caneta de fonte suave e excelente para todos os tipo"&amp;"s de usuários")</f>
        <v>Boa caneta a baixo custo, ... tenho lido sobre esta caneta que eu gostaria de responder, decente (a esse preço), muito bom., Não para escrita rápida ..., boa caneta de boa qualidade pode ser mais suave, Caneta de fonte suave e excelente para todos os tipos de usuários</v>
      </c>
      <c r="E1007" s="29" t="str">
        <f>IFERROR(__xludf.DUMMYFUNCTION("GOOGLETRANSLATE(C1007, ""en"", ""pt-br"")"),"Primeiro, entrega da Amazon: não foi especificado não atrasos. Portanto, aprecie -o. PACAGEM: Não é bom. A caixa estava temperada, rasgada e danificada. Produto: Black ordenado, recebido marrom. Não substituiu como a cor não importava. A questão é com o v"&amp;"endedor. Performance: a caneta do bem. Robusto, parece barato, no entanto, olhando o preço para não reclamar. Escreve Smooth. para quem quiser entrar em canetas -tinteiros, pode começar com isso como ele faz o trabalho.Edited: usa essa caneta há mais de 3"&amp;" dias, estou enfrentando a questão da secura da ponta. Se eu não usar a caneta por algum tempo. A caneta não escreve nada. Eu tenho que molhar a ponta ou fazer uma ou outra para fazer com que ela comece a escrever. Ele escreve ótimo quando começa a escrev"&amp;"er. Mas a retirada inicial é muito ruim. Eu também tenho uma preppy de platina. É uma opção melhor a seguir se o orçamento estiver apertado. No entanto, lá temos uma boa escrita, mas com más looks., Poucos pontos que tenho lido sobre essa caneta que gosta"&amp;"ria de responder. (Comparado com outros dois vetores de canetas e Luxor V5) 1. Puxa lida em algumas críticas sobre a garra grossa e a ""curva"" na aderência, o que torna estranho manter. Honestamente, não me senti tão. A aderência é bastante média, maior "&amp;"que o Vector Parker e comparável ao Luxor V5. Não criará problemas para mantê -lo. Eu sou uma média de 5'10 e as pessoas da mesma construção, tamanho da mão e do dedo não serão nenhum problema. Também em Parker Vector, o corpo de metal começa a parecer es"&amp;"corregadio devido a metal, garra pequeno e parece cansativo depois de escrever algumas páginas. Foi bom segurar o elegante e se sentir firme na mão, faz com que se sinta segurando uma caneta com substância :) .2. NIB e alimentador: diz bem na ponta e é co"&amp;"mparável ao Luxor V5 0.5 e ao Parker Fine Nib. Poucos afirmam que são 0,7 / médios. É tudo sobre a pressão sobre os coloca ao escrever. Eu apenas toco a ponta no papel e descanso a caneta, então diria: tudo bem. É muito smoooooo e fluente que Parker, que "&amp;"parecia um pouco áspero. O Parker Fine Nibs oferece um feedback, tornando -o uma experiência de arrastar. No entanto, em elegante, a ponta flui e desliza sobre o papel. Não é apenas a ponta, mas também o alimentador que garante os deslizamentos de ponta. "&amp;"O alimentador garante que exista um fluxo de tinta durante toda a experiência de escrita. A escrita sai é levemente molhada e não seca, pessoalmente, prefiro isso sobre o seco e o arrasto. Isso garante que se escrenda cerca de 6 páginas, ou seja, 12 lados"&amp;" sem um refil. Construção plástica e sensação na mão: a tampa é feita de latão (como eles dizem). A tampa tem um acabamento ""fosco"", não brilhante. O clipe e o topo são brilhantes. Dá um bom contraste o suficiente para adicionar alguns ""looks"" ao tirá"&amp;" -lo do bolso: d. A própria caneta- muito plástico. Se eu tentar pesar a tampa e a caneta separadamente, eles sentem o mesmo peso, é esse peso leve (apenas um fator de sensação de como eu me sentia). No entanto, isso não significa que é uma construção bar"&amp;"ata. Ele caiu de 2 andares para baixo e não quebrou em nenhum lugar, então diria que é um bom plástico forte. Faz com que alguém se sinta bastante sólido segurando -o. O tamanho se comparado a outros dois é maior. Ele repousa muito bem entre o meu polegar"&amp;" e o dedo indicador (que Parker não faz, Luxor), portanto, nunca precisou colocar o clipe na traseira. Sem o clipe, é muito equilibrado (Parker e Luxor se sentem bem equilibrados sem a tampa colocada por cima), com Clip elegante e Parker se sentirem um po"&amp;"uco pesados. Recheio de tinta: pessoalmente sempre foi um fã de Eyedroppers (bons e velhos tempos), no entanto, isso vem com o recheio padrão do pistão (como visto na foto de Hari). Quando imeri a ponta na caneta e puxei o pistão, ela apenas encheu metade"&amp;". Teve que mergulhar toda a ponta até o aperto quando ela foi preenchida. Em Parker, apenas mergulhar a ponta superior era suficiente. Para Luxor puxando toda a parte superior para fora e depois reabastece, parecia muito tedioso. Algumas outras críticas q"&amp;"ue li as pessoas tentaram remover o conversor do pistão e o usaram como Eyedropper !!! Poucos disseram que funcionou, poucos disseram que vazou. Precisa comprová -lo. Não tenho certeza e, portanto, não vou tentar isso para estragar uma peça tão agradável."&amp;" Se alguém tentasse adoraria ouvir sua experiência. Escrevendo após 3 semanas: para Luxor, funciona imediatamente! Mesmo depois de 6 meses, funcionou como mágica. Para Parker, mergulhar, ou um par de jogadores e começa. Para elegante, não começou imediata"&amp;"mente. Desde os dias escolares, costumava ter um correio aéreo (infelizmente o resultado quando eu mudei), ele costumava funcionar como uma beleza, mesmo depois de 3 semanas. Elegante nesse aspecto não foi tão bom. No entanto, quantos de nós não usarão a "&amp;"caneta por 3 semanas, sempre algo para escrever, assinar ou cansar :). Funcionou bastante após um intervalo de uma semana. Cor: Pessoalmente, a ""aparência"" de uma caneta dificilmente importa para mim. É o equilíbrio na mão e a ponta que são o verdadeiro"&amp;" coração e alma. Pagamos loucos em canetas de alta classe apenas pela aparência. Para poucas pessoas, isso importa mais- escolha individual e nada contra ela. Parker dá uma boa aparência elegante, Luxor faz com que se sinta mais estudante do que uma pesso"&amp;"a com autoridade ou executivo. Elegante seria uma mistura de ambos e meio de ambos. Nem um olhar para a faculdade nem um olhar executivo. Na aparência, ele faz justiça bastante justa- o limite e dois anéis de metal é tudo o que o faz parecer. Teria amado "&amp;"se eles tivessem feito mais cores do que marrom, preto e azul. No entanto, essas cores são as cores reais e muito boas do que o que Reynolds tem- designs brilhantes, que são mais para as crianças que vão a atraí-las. Isso faz o suficiente para mim. Nibes "&amp;"e alimentadores sobressalentes: não tenho certeza se existem pontas de reposição disponíveis online. Estou em um local que fica a 100 quilômetros de distância de qualquer civilização em uma selva ou deserto e a única maneira é encomendar on -line (felizme"&amp;"nte o Speed ​​Post entrega mais rápido que os correios: LticAptd :). Depois de usar essa ponta, eu pessoalmente não colocaria nenhuma outra ponta. Estou muito feliz com isso. (Sempre bom hábito de ter pontas sobressalentes, não sei quando alguém a deixa e"&amp;" precisa mudar) .8. Recomendado para: é uma obrigação para o aluno. Nesta faixa de preço, onde ainda está estudando e não ganha, isso soa uma boa compra, embora não seja a melhor quando o Luxor bate isso é o VFM. Parker, nunca o recomendaria para os aluno"&amp;"s. Se alguém quiser carregá-lo para exames- carregue 2 pelo menos, tudo devido à capacidade limitada do conversor do pistão. Luxor- seria o melhor. Se você é um executivo sentado em um conselho de reuniões em que deseja fazer uma declaração pelo que carre"&amp;"ga, existem muitas outras alternativas. Isso é justo na aparência e no prazer de escrever :) :) :) .9. Valor pelo dinheiro: Para uma pessoa padrão como eu ou um aluno, Luxor vence Elegante e Parker. No entanto, para uma caneta-tinteiro- este é um excelent"&amp;"e VFM :) Bem, isso resume minha experiência depois de usá-la. Qualquer um tem mais alguma coisa a acrescentar a isso ou compartilhar o seu lado que todos gostaríamos de ouvi -lo: ★ Primeiro de tudo, ele veio em um estado muito ruim. O pacote estava quase "&amp;"achatado. Tudo graças às pessoas conectadas à transição e entrega. Graças a Deus não tem nenhum dente. ★ Em segundo lugar, é provavelmente um produto usado. Porque veio com o cheiro de tinta fora da caixa. ★ Em terceiro lugar, a marca afirma que está tend"&amp;"o uma ponta fina, mas provavelmente de acordo com os padrões europeus. Eu sou um amante piloto, então sei o que é bom pontapé. Esta é uma ponta de tamanho médio, de acordo com os padrões do piloto. Usar uma caneta com ponta fina é como ter um orgasmo perf"&amp;"eito. Você se lembra da experiência por um longo tempo. A caligrafia também se torna melhor. Isso está faltando nessa caneta.* Felizmente, ela não esguicha a tinta de vez em quando, como a maioria das outras canetas da fonte barata. Eu tinha dois Wingsung"&amp;"s. Aqueles eram insuportavelmente esquisitos. ★ Em quarto lugar, a aderência é média. ★ Em quinto lugar, se você é iniciante, pode fazer isso, pois obviamente permitirá que você se acostuma com as canetas da fonte. Você pode usá -lo como uma caneta diária"&amp;". Mas não fique apenas com este. Explore o mundo do piloto se você tiver o orçamento. Confie em mim, você não vai olhar para trás para uma caneta assim. Fui presenteado com uma ponta fina de crocodilo piloto pela minha mãe. Eu quero manter minhas memórias"&amp;" com esta caneta em segurança. Então, geralmente não uso isso. É por isso que comprei este. ★ Por fim e o mais importante, uma sugestão para os compradores, para tornar sua experiência com a caneta ergonômica, por favor, não coloque o limite na parte tras"&amp;"eira. Abra a tampa, mantenha -a de lado e solte sua escrita ..., caneta muito bonita., É realmente incrível escrita muito suave. , ...., algum tempo se espalhou por tinta. E algum tempo de corte de personagens ... Produto de plástico barato, mas com 200 b"&amp;"ons para iniciantes., Eu uso esta caneta há cerca de 3 meses: a qualidade de construção desse preço é incrívelgold Nib parece incrívelCons: Nib sai facilmente, apenas isso A área do pescoço da caneta era um pouco ampla para eu me acostumar., Caras que com"&amp;"ecei a usar canetas -tinteiros novamente alguns meses atrás. Eu tinha usado todos os tipos de canetas -tinteiros durante meus dias de escola, como a marca da faculdade, Camlin, Parker (feita nos EUA), Hero (China Made). Recentemente, estou usando o Platin"&amp;"um Preppy, que é muito suave e excelente caneta e sim esperado, pois é feito no Japão. Este é o nosso próprio Camlin Elegante é feito na Índia. Isso nos deixa orgulhosos. Apenas caneta excelente. Muito suave. Na verdade, é uma caneta sem sentido. A única "&amp;"coisa ... desde que eu li algumas críticas negativas sobre isso ... estou usando -o com tinta azul piloto. Não sei se a qualidade da tinta está melhorando ainda mais seu desempenho ou o quê? Seja o que for ... Esta caneta com rochas de combinação de tinta"&amp;" piloto ... apenas uma excelente experiência de escrever com a caneta Fountsin. Obrigado Camlin e obrigado Amazon")</f>
        <v>Primeiro, entrega da Amazon: não foi especificado não atrasos. Portanto, aprecie -o. PACAGEM: Não é bom. A caixa estava temperada, rasgada e danificada. Produto: Black ordenado, recebido marrom. Não substituiu como a cor não importava. A questão é com o vendedor. Performance: a caneta do bem. Robusto, parece barato, no entanto, olhando o preço para não reclamar. Escreve Smooth. para quem quiser entrar em canetas -tinteiros, pode começar com isso como ele faz o trabalho.Edited: usa essa caneta há mais de 3 dias, estou enfrentando a questão da secura da ponta. Se eu não usar a caneta por algum tempo. A caneta não escreve nada. Eu tenho que molhar a ponta ou fazer uma ou outra para fazer com que ela comece a escrever. Ele escreve ótimo quando começa a escrever. Mas a retirada inicial é muito ruim. Eu também tenho uma preppy de platina. É uma opção melhor a seguir se o orçamento estiver apertado. No entanto, lá temos uma boa escrita, mas com más looks., Poucos pontos que tenho lido sobre essa caneta que gostaria de responder. (Comparado com outros dois vetores de canetas e Luxor V5) 1. Puxa lida em algumas críticas sobre a garra grossa e a "curva" na aderência, o que torna estranho manter. Honestamente, não me senti tão. A aderência é bastante média, maior que o Vector Parker e comparável ao Luxor V5. Não criará problemas para mantê -lo. Eu sou uma média de 5'10 e as pessoas da mesma construção, tamanho da mão e do dedo não serão nenhum problema. Também em Parker Vector, o corpo de metal começa a parecer escorregadio devido a metal, garra pequeno e parece cansativo depois de escrever algumas páginas. Foi bom segurar o elegante e se sentir firme na mão, faz com que se sinta segurando uma caneta com substância :) .2. NIB e alimentador: diz bem na ponta e é comparável ao Luxor V5 0.5 e ao Parker Fine Nib. Poucos afirmam que são 0,7 / médios. É tudo sobre a pressão sobre os coloca ao escrever. Eu apenas toco a ponta no papel e descanso a caneta, então diria: tudo bem. É muito smoooooo e fluente que Parker, que parecia um pouco áspero. O Parker Fine Nibs oferece um feedback, tornando -o uma experiência de arrastar. No entanto, em elegante, a ponta flui e desliza sobre o papel. Não é apenas a ponta, mas também o alimentador que garante os deslizamentos de ponta. O alimentador garante que exista um fluxo de tinta durante toda a experiência de escrita. A escrita sai é levemente molhada e não seca, pessoalmente, prefiro isso sobre o seco e o arrasto. Isso garante que se escrenda cerca de 6 páginas, ou seja, 12 lados sem um refil. Construção plástica e sensação na mão: a tampa é feita de latão (como eles dizem). A tampa tem um acabamento "fosco", não brilhante. O clipe e o topo são brilhantes. Dá um bom contraste o suficiente para adicionar alguns "looks" ao tirá -lo do bolso: d. A própria caneta- muito plástico. Se eu tentar pesar a tampa e a caneta separadamente, eles sentem o mesmo peso, é esse peso leve (apenas um fator de sensação de como eu me sentia). No entanto, isso não significa que é uma construção barata. Ele caiu de 2 andares para baixo e não quebrou em nenhum lugar, então diria que é um bom plástico forte. Faz com que alguém se sinta bastante sólido segurando -o. O tamanho se comparado a outros dois é maior. Ele repousa muito bem entre o meu polegar e o dedo indicador (que Parker não faz, Luxor), portanto, nunca precisou colocar o clipe na traseira. Sem o clipe, é muito equilibrado (Parker e Luxor se sentem bem equilibrados sem a tampa colocada por cima), com Clip elegante e Parker se sentirem um pouco pesados. Recheio de tinta: pessoalmente sempre foi um fã de Eyedroppers (bons e velhos tempos), no entanto, isso vem com o recheio padrão do pistão (como visto na foto de Hari). Quando imeri a ponta na caneta e puxei o pistão, ela apenas encheu metade. Teve que mergulhar toda a ponta até o aperto quando ela foi preenchida. Em Parker, apenas mergulhar a ponta superior era suficiente. Para Luxor puxando toda a parte superior para fora e depois reabastece, parecia muito tedioso. Algumas outras críticas que li as pessoas tentaram remover o conversor do pistão e o usaram como Eyedropper !!! Poucos disseram que funcionou, poucos disseram que vazou. Precisa comprová -lo. Não tenho certeza e, portanto, não vou tentar isso para estragar uma peça tão agradável. Se alguém tentasse adoraria ouvir sua experiência. Escrevendo após 3 semanas: para Luxor, funciona imediatamente! Mesmo depois de 6 meses, funcionou como mágica. Para Parker, mergulhar, ou um par de jogadores e começa. Para elegante, não começou imediatamente. Desde os dias escolares, costumava ter um correio aéreo (infelizmente o resultado quando eu mudei), ele costumava funcionar como uma beleza, mesmo depois de 3 semanas. Elegante nesse aspecto não foi tão bom. No entanto, quantos de nós não usarão a caneta por 3 semanas, sempre algo para escrever, assinar ou cansar :). Funcionou bastante após um intervalo de uma semana. Cor: Pessoalmente, a "aparência" de uma caneta dificilmente importa para mim. É o equilíbrio na mão e a ponta que são o verdadeiro coração e alma. Pagamos loucos em canetas de alta classe apenas pela aparência. Para poucas pessoas, isso importa mais- escolha individual e nada contra ela. Parker dá uma boa aparência elegante, Luxor faz com que se sinta mais estudante do que uma pessoa com autoridade ou executivo. Elegante seria uma mistura de ambos e meio de ambos. Nem um olhar para a faculdade nem um olhar executivo. Na aparência, ele faz justiça bastante justa- o limite e dois anéis de metal é tudo o que o faz parecer. Teria amado se eles tivessem feito mais cores do que marrom, preto e azul. No entanto, essas cores são as cores reais e muito boas do que o que Reynolds tem- designs brilhantes, que são mais para as crianças que vão a atraí-las. Isso faz o suficiente para mim. Nibes e alimentadores sobressalentes: não tenho certeza se existem pontas de reposição disponíveis online. Estou em um local que fica a 100 quilômetros de distância de qualquer civilização em uma selva ou deserto e a única maneira é encomendar on -line (felizmente o Speed ​​Post entrega mais rápido que os correios: LticAptd :). Depois de usar essa ponta, eu pessoalmente não colocaria nenhuma outra ponta. Estou muito feliz com isso. (Sempre bom hábito de ter pontas sobressalentes, não sei quando alguém a deixa e precisa mudar) .8. Recomendado para: é uma obrigação para o aluno. Nesta faixa de preço, onde ainda está estudando e não ganha, isso soa uma boa compra, embora não seja a melhor quando o Luxor bate isso é o VFM. Parker, nunca o recomendaria para os alunos. Se alguém quiser carregá-lo para exames- carregue 2 pelo menos, tudo devido à capacidade limitada do conversor do pistão. Luxor- seria o melhor. Se você é um executivo sentado em um conselho de reuniões em que deseja fazer uma declaração pelo que carrega, existem muitas outras alternativas. Isso é justo na aparência e no prazer de escrever :) :) :) .9. Valor pelo dinheiro: Para uma pessoa padrão como eu ou um aluno, Luxor vence Elegante e Parker. No entanto, para uma caneta-tinteiro- este é um excelente VFM :) Bem, isso resume minha experiência depois de usá-la. Qualquer um tem mais alguma coisa a acrescentar a isso ou compartilhar o seu lado que todos gostaríamos de ouvi -lo: ★ Primeiro de tudo, ele veio em um estado muito ruim. O pacote estava quase achatado. Tudo graças às pessoas conectadas à transição e entrega. Graças a Deus não tem nenhum dente. ★ Em segundo lugar, é provavelmente um produto usado. Porque veio com o cheiro de tinta fora da caixa. ★ Em terceiro lugar, a marca afirma que está tendo uma ponta fina, mas provavelmente de acordo com os padrões europeus. Eu sou um amante piloto, então sei o que é bom pontapé. Esta é uma ponta de tamanho médio, de acordo com os padrões do piloto. Usar uma caneta com ponta fina é como ter um orgasmo perfeito. Você se lembra da experiência por um longo tempo. A caligrafia também se torna melhor. Isso está faltando nessa caneta.* Felizmente, ela não esguicha a tinta de vez em quando, como a maioria das outras canetas da fonte barata. Eu tinha dois Wingsungs. Aqueles eram insuportavelmente esquisitos. ★ Em quarto lugar, a aderência é média. ★ Em quinto lugar, se você é iniciante, pode fazer isso, pois obviamente permitirá que você se acostuma com as canetas da fonte. Você pode usá -lo como uma caneta diária. Mas não fique apenas com este. Explore o mundo do piloto se você tiver o orçamento. Confie em mim, você não vai olhar para trás para uma caneta assim. Fui presenteado com uma ponta fina de crocodilo piloto pela minha mãe. Eu quero manter minhas memórias com esta caneta em segurança. Então, geralmente não uso isso. É por isso que comprei este. ★ Por fim e o mais importante, uma sugestão para os compradores, para tornar sua experiência com a caneta ergonômica, por favor, não coloque o limite na parte traseira. Abra a tampa, mantenha -a de lado e solte sua escrita ..., caneta muito bonita., É realmente incrível escrita muito suave. , ...., algum tempo se espalhou por tinta. E algum tempo de corte de personagens ... Produto de plástico barato, mas com 200 bons para iniciantes., Eu uso esta caneta há cerca de 3 meses: a qualidade de construção desse preço é incrívelgold Nib parece incrívelCons: Nib sai facilmente, apenas isso A área do pescoço da caneta era um pouco ampla para eu me acostumar., Caras que comecei a usar canetas -tinteiros novamente alguns meses atrás. Eu tinha usado todos os tipos de canetas -tinteiros durante meus dias de escola, como a marca da faculdade, Camlin, Parker (feita nos EUA), Hero (China Made). Recentemente, estou usando o Platinum Preppy, que é muito suave e excelente caneta e sim esperado, pois é feito no Japão. Este é o nosso próprio Camlin Elegante é feito na Índia. Isso nos deixa orgulhosos. Apenas caneta excelente. Muito suave. Na verdade, é uma caneta sem sentido. A única coisa ... desde que eu li algumas críticas negativas sobre isso ... estou usando -o com tinta azul piloto. Não sei se a qualidade da tinta está melhorando ainda mais seu desempenho ou o quê? Seja o que for ... Esta caneta com rochas de combinação de tinta piloto ... apenas uma excelente experiência de escrever com a caneta Fountsin. Obrigado Camlin e obrigado Amazon</v>
      </c>
    </row>
    <row r="1008">
      <c r="A1008" s="9" t="s">
        <v>3980</v>
      </c>
      <c r="B1008" s="29" t="str">
        <f>VLOOKUP(dados!A1008, reviews!A:G, 5, FALSE)</f>
        <v>Perfect For HP Laptop,Okay,Good,Worst Product by Seller,Above average,Product achha laga,Working fine,Worth the Price - Front Panel cover not included as shown in product description</v>
      </c>
      <c r="C1008" s="29" t="str">
        <f>VLOOKUP(dados!A1008, reviews!A:G, 6, FALSE)</f>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v>
      </c>
      <c r="D1008" s="29" t="str">
        <f>IFERROR(__xludf.DUMMYFUNCTION("GOOGLETRANSLATE(B1008, ""en"", ""pt-br"")"),"Perfeito para o laptop HP, ok, bom e pior produto pelo vendedor, acima da média, produto achha laga, funcionando bem, vale o preço - tampa do painel frontal não incluído como mostrado na descrição do produto")</f>
        <v>Perfeito para o laptop HP, ok, bom e pior produto pelo vendedor, acima da média, produto achha laga, funcionando bem, vale o preço - tampa do painel frontal não incluído como mostrado na descrição do produto</v>
      </c>
      <c r="E1008" s="29" t="str">
        <f>IFERROR(__xludf.DUMMYFUNCTION("GOOGLETRANSLATE(C1008, ""en"", ""pt-br"")"),"É legal, está funcionando, o mesmo produto que recebi, eles aparecem na foto da capa. Neste CD-CD Cady, Grading, 4 parafusos. Para manter o disco rígido, estava faltando, a pior qualidade e a qualidade + não está funcionando corretamente + placa de circui"&amp;"to de classe barata usada dentro do caddy, problema de atraso após a instalação + incapaz de abrir e executar jogos depois de usar esse caddy por causa da pior solicitação de velocidade de transferência para cada um não t Passear seu dinheiro nesse tipo d"&amp;"e produto., Não se encaixa perfeitamente com o SSD crucial, mas funcionará sem problemas., Gosto, trabalhando corretamente nenhum problema, pelo preço, isso é realmente bom e fácil de instalar . Tampa do painel frontal não incluído como mostrado na descri"&amp;"ção do produto. O alinhamento precisa ser verificado corretamente ao instalar. Compatível com o notebook HP15-AC122TU.")</f>
        <v>É legal, está funcionando, o mesmo produto que recebi, eles aparecem na foto da capa. Neste CD-CD Cady, Grading, 4 parafusos. Para manter o disco rígido, estava faltando, a pior qualidade e a qualidade + não está funcionando corretamente + placa de circuito de classe barata usada dentro do caddy, problema de atraso após a instalação + incapaz de abrir e executar jogos depois de usar esse caddy por causa da pior solicitação de velocidade de transferência para cada um não t Passear seu dinheiro nesse tipo de produto., Não se encaixa perfeitamente com o SSD crucial, mas funcionará sem problemas., Gosto, trabalhando corretamente nenhum problema, pelo preço, isso é realmente bom e fácil de instalar . Tampa do painel frontal não incluído como mostrado na descrição do produto. O alinhamento precisa ser verificado corretamente ao instalar. Compatível com o notebook HP15-AC122TU.</v>
      </c>
    </row>
    <row r="1009">
      <c r="A1009" s="9" t="s">
        <v>2271</v>
      </c>
      <c r="B1009" s="29" t="str">
        <f>VLOOKUP(dados!A1009, reviews!A:G, 5, FALSE)</f>
        <v>Good,Good Product but Little expensive.,Happy with the purchase,Good buy in price range,Best travel companion,For instagram reels zoom in and zoom out switch is not available,MUST BUY FOR EVERY ONE WHO OWNS A MOBILE PHONE !!!,A good selfie stick</v>
      </c>
      <c r="C1009" s="29" t="str">
        <f>VLOOKUP(dados!A1009, reviews!A:G, 6, FALSE)</f>
        <v>Good,Thoda sa kam stable hai, phone lagane ke baad thoda bohot hilta zaroor hai. Build quality thodi aur achi hoti, to pakka value for money hota.,We’ve been using it for around 2 months, it’s good, sturdy, Bluetooth connectivity is also good.Overall a good purchase.,Good buy in price range,If you travel, it’s your best companion. Has a great stability and length. It’s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v>
      </c>
      <c r="D1009" s="29" t="str">
        <f>IFERROR(__xludf.DUMMYFUNCTION("GOOGLETRANSLATE(B1009, ""en"", ""pt-br"")"),"Bom, bom produto, mas pouco caro., Feliz com a compra, boa faixa de preços, melhor companheiro de viagem, para o Instagram rolos de zoom e o Switch de zoom não está disponível, deve comprar para cada um que possui um telefone celular !!! , Um bom bastão d"&amp;"e selfie")</f>
        <v>Bom, bom produto, mas pouco caro., Feliz com a compra, boa faixa de preços, melhor companheiro de viagem, para o Instagram rolos de zoom e o Switch de zoom não está disponível, deve comprar para cada um que possui um telefone celular !!! , Um bom bastão de selfie</v>
      </c>
      <c r="E1009" s="29" t="str">
        <f>IFERROR(__xludf.DUMMYFUNCTION("GOOGLETRANSLATE(C1009, ""en"", ""pt-br"")"),"Bom, Thoda Sa Kam estável Hai, telefone Lagane ke Baad Thoda Bohot Hilta Zaroor Hai. Construir qualidade Thodi Aur Achi Hoti, para Pakka Valor para o dinheiro HOTA., Usamos por cerca de 2 meses, é boa, robusta e conectividade Bluetooth, também é boa. Obvi"&amp;"amente, uma boa compra., Boa faixa de preços, se Você viaja, é seu melhor companheiro. Tem uma ótima estabilidade e comprimento. É uma das minhas melhores compras e não consigo pensar em férias sem ela. Não há mais necessidade de pedir aos estranhos que t"&amp;"irem fotos, defina o melhor ângulo e capturar o momento. O serviço da equipe de suporte do WeCool também é super legal., Bom produto ... mas mais eficiente esperado, produto incrível. Como um YouTuber e um criador de conteúdo do Instagram, este é o melhor"&amp;" gadget que eu gosto de ter na minha bolsa traseira o tempo todo. Eu até uso isso para gravar minhas aulas ao vivo sem fazer cenas por aí, pois isso é muito útil e lúcido. Além disso, o serviço deles é excelente. Por que você ainda está lendo críticas? En"&amp;"comende agora. Encontre meus vídeos no Instagram usando este S5 em Shankarkumaran tamil, o bastão de selfie é resistente e muito bom")</f>
        <v>Bom, Thoda Sa Kam estável Hai, telefone Lagane ke Baad Thoda Bohot Hilta Zaroor Hai. Construir qualidade Thodi Aur Achi Hoti, para Pakka Valor para o dinheiro HOTA., Usamos por cerca de 2 meses, é boa, robusta e conectividade Bluetooth, também é boa. Obviamente, uma boa compra., Boa faixa de preços, se Você viaja, é seu melhor companheiro. Tem uma ótima estabilidade e comprimento. É uma das minhas melhores compras e não consigo pensar em férias sem ela. Não há mais necessidade de pedir aos estranhos que tirem fotos, defina o melhor ângulo e capturar o momento. O serviço da equipe de suporte do WeCool também é super legal., Bom produto ... mas mais eficiente esperado, produto incrível. Como um YouTuber e um criador de conteúdo do Instagram, este é o melhor gadget que eu gosto de ter na minha bolsa traseira o tempo todo. Eu até uso isso para gravar minhas aulas ao vivo sem fazer cenas por aí, pois isso é muito útil e lúcido. Além disso, o serviço deles é excelente. Por que você ainda está lendo críticas? Encomende agora. Encontre meus vídeos no Instagram usando este S5 em Shankarkumaran tamil, o bastão de selfie é resistente e muito bom</v>
      </c>
    </row>
    <row r="1010">
      <c r="A1010" s="9" t="s">
        <v>3988</v>
      </c>
      <c r="B1010" s="29" t="str">
        <f>VLOOKUP(dados!A1010, reviews!A:G, 5, FALSE)</f>
        <v>A seamless printing experience, with scope for improvements in set up,Good One,Very user friendly when compare with others,Best for home use,Good for home use,good printer,Good,Good for occasional printing. Extremely easy to use</v>
      </c>
      <c r="C1010" s="29" t="str">
        <f>VLOOKUP(dados!A1010, reviews!A:G, 6, FALSE)</f>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v>
      </c>
      <c r="D1010" s="29" t="str">
        <f>IFERROR(__xludf.DUMMYFUNCTION("GOOGLETRANSLATE(B1010, ""en"", ""pt-br"")"),"Uma experiência de impressão sem costura, com escopo para melhorias na configuração, boa, muito amigável quando comparar com outras pessoas, melhor para uso doméstico, bom para uso doméstico, boa impressora, boa, boa para impressão ocasional. Extremamente"&amp;" fácil de usar")</f>
        <v>Uma experiência de impressão sem costura, com escopo para melhorias na configuração, boa, muito amigável quando comparar com outras pessoas, melhor para uso doméstico, bom para uso doméstico, boa impressora, boa, boa para impressão ocasional. Extremamente fácil de usar</v>
      </c>
      <c r="E1010" s="29" t="str">
        <f>IFERROR(__xludf.DUMMYFUNCTION("GOOGLETRANSLATE(C1010, ""en"", ""pt-br"")"),"Comprei este item em agosto de 2022, e a entrega e a embalagem foram tão boas e resistentes quanto esperava da Amazon. Usar a impressora do meu MacBook é uma brisa sobre o Wi -Fi, embora a impressão sobre o Wi -Fi do Android exija algum aplicativo mal pro"&amp;"jetado da Canon e não tenha suporte direto. Os únicos dois problemas que eu enfrentei com esta impressora foi durante a configuração.1. A digitalização do código QR para o guia de configuração não levou a muito um guia, mas uma página de caldeira. Só mais"&amp;" tarde descobriria o caminho daquela página para o guia real. A Canon poderia fazer um trabalho melhor em surgir no guia on -line, pois a clareza da imagem na cópia impressa é bastante ruim. A instalação de cartuchos parecia levar uma eternidade - eu devo"&amp;" ter removido e inserido novamente quase 5 vezes antes de serem devidamente detectados. Nenhuma mensagem de erro apareceu e eu não sabia se havia recebido um produto com defeito ou se estava fazendo algo errado. Nunca tendo possuído uma impressora e sempr"&amp;"e usando lojas de cópias ou as enormes impressoras a laser no trabalho, acabei cometendo um erro na configuração da bandeja de papel, levando a uma geléia na primeira impressão. Felizmente, era simples abrir a impressora da parte de trás e remover os peda"&amp;"ços rasgados. A Canon poderia fazer um trabalho melhor ao demonstrar como configurar as folhas de papel - o acesso mais claro ao guia on -line pode ter ajudado aqui. Exceto para essas preocupações menores na configuração, estou gostando de usar essa impre"&amp;"ssora surpreendentemente, já que as impressoras (ao lado de Os projetores) são geralmente os piores itens já desenvolvidos pela indústria eletrônica. Eu usei todos os recursos até agora-impressão (colorida, dupla face), digitalize e copie e não enfrentei "&amp;"problemas com qualidade, wifi ou cartuchos. &lt;Informações sobre o número de cores e folhas preto e branco do Conjunto inicial de cartuchos a serem adicionados quando eu acabar&gt;, bom scanner e impressora, o procedimento de instalação é muito simples e a qua"&amp;"lidade do priter é alta. Eu tinha uma copiadora da Xerox, mas a opção Istalation of Scanner não pôde concluir., Se você estiver comprando para uso doméstico, não pareça mais. Ele tem todas as funções que você encontrará em uma impressora de 20 a 30 mil. T"&amp;"udo em um inclui impressão, varredura, cópia e fax também, cor, ADF, impressão duplex, wifi. Você baixará o aplicativo no seu telefone e fornece comandos de impressão via próprio móvel. Apenas duas questões que eu enfrentei, primeiro a qualidade da impres"&amp;"são (que falarei com o centro de serviço) e, em segundo lugar, é a quantidade total de impressões coloridas. Eu apenas tirei algumas impressões coloridas que já é ruim, o nível de tinta é de 90%. Acho que vou ter que comprar um cartucho maior., Impressora"&amp;" muito boa. Às vezes, traseira para imprimir bloqueio de papel de impressão. Mas, no geral, muito feliz, a impressora Gud, mas o custo de impressão é caro. Nesta faixa de preço, os recursos são muito agradáveis., Recebi esta impressora ION 02NOV2022, após"&amp;" 15 dias de uso ... sou incapaz de imprimir, pois está mostrando a cor e a tinta preta é baixa. E na descrição, eles disseram que o rendimento 400 Páginas que está totalmente errado., Cannon E4570.Este foi lançado como sucessor do E4270 (pesquisei em todo"&amp;"s os lugares, mas não consegui encontrar uma fonte credível para explicar as diferenças entre os dois). Eu pesquisei extensivamente antes da compra para encontrar uma impressora que completará os seguintes critérios para mim - Wi -Fi ativado (para que pos"&amp;"samos imprimir com smartphone sem abrir o laptop), impressão em cores transparente (decente para a lição de casa da criança, qualidade da foto não necessária) e barato para correr. O E4270 parece se encaixar em todos os critérios, então eu pedi isso. Até "&amp;"o Showroom autorizado pela Canon não tinha E4570 em estoque, então encomendou o E4570 na Amazon.Summary - Fullfills Fulls Top dois critérios. Embora seja um pouco caro se você fizer mais do que a impressão ocasional. A entrega foi de três dias antes da da"&amp;"ta de entrega mostrada na Amazon, o que foi ótimo. Era apenas a caixa da impressora, sem embalagem externa. A caixa foi selada com fita de violoncelo e não selada, então suspeito que tenha sido aberta em algum momento. Felizmente, todos os componentes est"&amp;"avam lá, e o selo na impressora e os cartuchos estavam intactos, então eu estava bem com a entrega. O conjunto foi suave no meu smartphone e laptop sobre o WiFi. Eu nunca tive que usar o cabo USB. A configuração foi através do aplicativo Canon no telefone"&amp;" e no site da Canon (link para ambos fornecidos no manual), que orienta passo a passo sobre como configurar. Eu não enfrentei nenhum desafio e a configuração e a impressão foram suaves em todos os dispositivos. As impressões de cola estão um pouco desbota"&amp;"das em papel simples (75gsm). Isso pode ser uma função do papel e não da impressora. As estampas pretas e brancas são nítidas e nítidas. A velocidade de impressão é decente. A única negativa é a quantidade de consumo de tinta. Enquanto a caixa diz que 180"&amp;" impressões coloridas e 300 B&amp;W, meus dois cartuchos estão sendo exibidos a 80% após 4 impressão colorida e cerca de 30 B&amp;W. Especialmente para impressões coloridas, a impressora tende a deixar o nível de cartucho em um entalhe após apenas 2-3 impressões."&amp;" Eu suspeito que o cartucho colorido não durará mais por 30 a 40 páginas coloridas. O reabastecimento dos cartuchos algumas vezes é, obviamente, uma opção, mas é confuso e requer prática. Isso é bom para mim, pois preciso de impressões coloridas muito rar"&amp;"amente. Uma menção especial para o ADF e a impressão duplex. Ambos os recursos são extremamente úteis. A impressão duplex é especialmente única nessa faixa de preço e é muito útil ao imprimir documentos maiores. No geral, estou feliz com minha compra após"&amp;" algumas semanas de uso. Vou atualizar a revisão se eu tiver algum problema.")</f>
        <v>Comprei este item em agosto de 2022, e a entrega e a embalagem foram tão boas e resistentes quanto esperava da Amazon. Usar a impressora do meu MacBook é uma brisa sobre o Wi -Fi, embora a impressão sobre o Wi -Fi do Android exija algum aplicativo mal projetado da Canon e não tenha suporte direto. Os únicos dois problemas que eu enfrentei com esta impressora foi durante a configuração.1. A digitalização do código QR para o guia de configuração não levou a muito um guia, mas uma página de caldeira. Só mais tarde descobriria o caminho daquela página para o guia real. A Canon poderia fazer um trabalho melhor em surgir no guia on -line, pois a clareza da imagem na cópia impressa é bastante ruim. A instalação de cartuchos parecia levar uma eternidade - eu devo ter removido e inserido novamente quase 5 vezes antes de serem devidamente detectados. Nenhuma mensagem de erro apareceu e eu não sabia se havia recebido um produto com defeito ou se estava fazendo algo errado. Nunca tendo possuído uma impressora e sempre usando lojas de cópias ou as enormes impressoras a laser no trabalho, acabei cometendo um erro na configuração da bandeja de papel, levando a uma geléia na primeira impressão. Felizmente, era simples abrir a impressora da parte de trás e remover os pedaços rasgados. A Canon poderia fazer um trabalho melhor ao demonstrar como configurar as folhas de papel - o acesso mais claro ao guia on -line pode ter ajudado aqui. Exceto para essas preocupações menores na configuração, estou gostando de usar essa impressora surpreendentemente, já que as impressoras (ao lado de Os projetores) são geralmente os piores itens já desenvolvidos pela indústria eletrônica. Eu usei todos os recursos até agora-impressão (colorida, dupla face), digitalize e copie e não enfrentei problemas com qualidade, wifi ou cartuchos. &lt;Informações sobre o número de cores e folhas preto e branco do Conjunto inicial de cartuchos a serem adicionados quando eu acabar&gt;, bom scanner e impressora, o procedimento de instalação é muito simples e a qualidade do priter é alta. Eu tinha uma copiadora da Xerox, mas a opção Istalation of Scanner não pôde concluir., Se você estiver comprando para uso doméstico, não pareça mais. Ele tem todas as funções que você encontrará em uma impressora de 20 a 30 mil. Tudo em um inclui impressão, varredura, cópia e fax também, cor, ADF, impressão duplex, wifi. Você baixará o aplicativo no seu telefone e fornece comandos de impressão via próprio móvel. Apenas duas questões que eu enfrentei, primeiro a qualidade da impressão (que falarei com o centro de serviço) e, em segundo lugar, é a quantidade total de impressões coloridas. Eu apenas tirei algumas impressões coloridas que já é ruim, o nível de tinta é de 90%. Acho que vou ter que comprar um cartucho maior., Impressora muito boa. Às vezes, traseira para imprimir bloqueio de papel de impressão. Mas, no geral, muito feliz, a impressora Gud, mas o custo de impressão é caro. Nesta faixa de preço, os recursos são muito agradáveis., Recebi esta impressora ION 02NOV2022, após 15 dias de uso ... sou incapaz de imprimir, pois está mostrando a cor e a tinta preta é baixa. E na descrição, eles disseram que o rendimento 400 Páginas que está totalmente errado., Cannon E4570.Este foi lançado como sucessor do E4270 (pesquisei em todos os lugares, mas não consegui encontrar uma fonte credível para explicar as diferenças entre os dois). Eu pesquisei extensivamente antes da compra para encontrar uma impressora que completará os seguintes critérios para mim - Wi -Fi ativado (para que possamos imprimir com smartphone sem abrir o laptop), impressão em cores transparente (decente para a lição de casa da criança, qualidade da foto não necessária) e barato para correr. O E4270 parece se encaixar em todos os critérios, então eu pedi isso. Até o Showroom autorizado pela Canon não tinha E4570 em estoque, então encomendou o E4570 na Amazon.Summary - Fullfills Fulls Top dois critérios. Embora seja um pouco caro se você fizer mais do que a impressão ocasional. A entrega foi de três dias antes da data de entrega mostrada na Amazon, o que foi ótimo. Era apenas a caixa da impressora, sem embalagem externa. A caixa foi selada com fita de violoncelo e não selada, então suspeito que tenha sido aberta em algum momento. Felizmente, todos os componentes estavam lá, e o selo na impressora e os cartuchos estavam intactos, então eu estava bem com a entrega. O conjunto foi suave no meu smartphone e laptop sobre o WiFi. Eu nunca tive que usar o cabo USB. A configuração foi através do aplicativo Canon no telefone e no site da Canon (link para ambos fornecidos no manual), que orienta passo a passo sobre como configurar. Eu não enfrentei nenhum desafio e a configuração e a impressão foram suaves em todos os dispositivos. As impressões de cola estão um pouco desbotadas em papel simples (75gsm). Isso pode ser uma função do papel e não da impressora. As estampas pretas e brancas são nítidas e nítidas. A velocidade de impressão é decente. A única negativa é a quantidade de consumo de tinta. Enquanto a caixa diz que 180 impressões coloridas e 300 B&amp;W, meus dois cartuchos estão sendo exibidos a 80% após 4 impressão colorida e cerca de 30 B&amp;W. Especialmente para impressões coloridas, a impressora tende a deixar o nível de cartucho em um entalhe após apenas 2-3 impressões. Eu suspeito que o cartucho colorido não durará mais por 30 a 40 páginas coloridas. O reabastecimento dos cartuchos algumas vezes é, obviamente, uma opção, mas é confuso e requer prática. Isso é bom para mim, pois preciso de impressões coloridas muito raramente. Uma menção especial para o ADF e a impressão duplex. Ambos os recursos são extremamente úteis. A impressão duplex é especialmente única nessa faixa de preço e é muito útil ao imprimir documentos maiores. No geral, estou feliz com minha compra após algumas semanas de uso. Vou atualizar a revisão se eu tiver algum problema.</v>
      </c>
    </row>
    <row r="1011">
      <c r="A1011" s="9" t="s">
        <v>3992</v>
      </c>
      <c r="B1011" s="29" t="str">
        <f>VLOOKUP(dados!A1011, reviews!A:G, 5, FALSE)</f>
        <v>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v>
      </c>
      <c r="C1011" s="29" t="str">
        <f>VLOOKUP(dados!A1011, reviews!A:G, 6, FALSE)</f>
        <v>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v>
      </c>
      <c r="D1011" s="29" t="str">
        <f>IFERROR(__xludf.DUMMYFUNCTION("GOOGLETRANSLATE(B1011, ""en"", ""pt-br"")"),"Bom P3 NVME para nível de entrada, incrível, algum dia não aparece em laptop, ótimo produto a um bom preço, incapaz de detectar SSD? Engraçado, mas use ""mdsched.exe""., Performance fantástico e tempo de inicialização reduzido com meu Lenovo S145, os SSDs"&amp;" cruciais são ""estrondo para o dinheiro"", mas não vem com uma chave de fenda, ouça -me., Bom produto a esse preço .")</f>
        <v>Bom P3 NVME para nível de entrada, incrível, algum dia não aparece em laptop, ótimo produto a um bom preço, incapaz de detectar SSD? Engraçado, mas use "mdsched.exe"., Performance fantástico e tempo de inicialização reduzido com meu Lenovo S145, os SSDs cruciais são "estrondo para o dinheiro", mas não vem com uma chave de fenda, ouça -me., Bom produto a esse preço .</v>
      </c>
      <c r="E1011" s="29" t="str">
        <f>IFERROR(__xludf.DUMMYFUNCTION("GOOGLETRANSLATE(C1011, ""en"", ""pt-br"")"),"Melhor para essa faixa de preço, polivalente em jogos e produtividade., Nice, às vezes o SSD não aparece no laptop, também dando parafusos para montar o SSD., MS Windows: eu tenho esse NVME M.2 P3 e não consegui Para encontrá -lo em qualquer lugar do gere"&amp;"nciamento de disco (""Diskmgmt.msc"") ou gerenciador de dispositivos (""devmgmt.msc""), nem como um dispositivo bruto/não alocado nem desconhecido. Embora eu tenha sido capaz de detectar no BIOS (o meu é básico para o uso atual - 07WP95), por isso não des"&amp;"isti: engraçado pode parecer, nenhum aplicativo de reparo. Trabalhou, exceto no diagnóstico do Windows Memory (Win+R -&gt; ""mdsched.exe"") -&gt; reinicie agora e verifique (recomendado) -&gt; Deixe -o funcionar por um tempo (o meu levou 30 minutos, eu acho, eu nã"&amp;"o acompanhei ) -&gt; Após a reinicialização, você o encontrará (escolha GPT em diskmgmt.msc) Raw e use -o como desejar. Para usuários do Linux: eu não tentei isso lá (porque eu parei de distro -distro), mas um ano antes de conseguir Para encontrar partições "&amp;"(de Ventoy) que não são visíveis no Windows (em qualquer lugar), elas são visíveis no meu utilitário favorito: gpart (não tenho certeza se estava disponível no Windows), porém, use a tabela GPT aqui também., Performance fantástico e inicialização reduzida"&amp;" tempo com meu Lenovo S145. O tempo de inicialização reduziu de alguns minutos para 15 segundos. O desempenho em execução é muito melhorado. Apenas vá em frente. A única preocupação é que não vejo o parafuso com esse SSD para corrigi -lo no laptop., Não v"&amp;"em com uma chave de fenda, teve que comprar um kit de ferramentas separado apenas para esta instalação simples, além de tudo o mais é perfeito. Grandes velocidades e desempenho, fiz um pouco de referência usando o Crystaldiskmark e obtive boas pontuações "&amp;"em geral. Mais uso de RAM e, se você estiver usando o Momentum Caching, certifique -se de usá -lo apenas se tiver um laptop com um backup de bateria ou se um PC do que um UPS, pois vi a perda de dados e a corrupção acontecendo devido a energia abrupta per"&amp;"dida e dados Arquivos ficando corrompidos e perdidos para sempre se você estivesse no meio de alguma coisa. Essa foi a minha experiência e estou feliz com o produto até agora, ótimo trabalho crucial., Um bom produto feito alguma velocidade de teste foi de"&amp;" cerca de 3100 Mbps, pois meu sistema não era muito novo, mas é um bom valor do produto para o dinheiro neste preço .")</f>
        <v>Melhor para essa faixa de preço, polivalente em jogos e produtividade., Nice, às vezes o SSD não aparece no laptop, também dando parafusos para montar o SSD., MS Windows: eu tenho esse NVME M.2 P3 e não consegui Para encontrá -lo em qualquer lugar do gerenciamento de disco ("Diskmgmt.msc") ou gerenciador de dispositivos ("devmgmt.msc"), nem como um dispositivo bruto/não alocado nem desconhecido. Embora eu tenha sido capaz de detectar no BIOS (o meu é básico para o uso atual - 07WP95), por isso não desisti: engraçado pode parecer, nenhum aplicativo de reparo. Trabalhou, exceto no diagnóstico do Windows Memory (Win+R -&gt; "mdsched.exe") -&gt; reinicie agora e verifique (recomendado) -&gt; Deixe -o funcionar por um tempo (o meu levou 30 minutos, eu acho, eu não acompanhei ) -&gt; Após a reinicialização, você o encontrará (escolha GPT em diskmgmt.msc) Raw e use -o como desejar. Para usuários do Linux: eu não tentei isso lá (porque eu parei de distro -distro), mas um ano antes de conseguir Para encontrar partições (de Ventoy) que não são visíveis no Windows (em qualquer lugar), elas são visíveis no meu utilitário favorito: gpart (não tenho certeza se estava disponível no Windows), porém, use a tabela GPT aqui também., Performance fantástico e inicialização reduzida tempo com meu Lenovo S145. O tempo de inicialização reduziu de alguns minutos para 15 segundos. O desempenho em execução é muito melhorado. Apenas vá em frente. A única preocupação é que não vejo o parafuso com esse SSD para corrigi -lo no laptop., Não vem com uma chave de fenda, teve que comprar um kit de ferramentas separado apenas para esta instalação simples, além de tudo o mais é perfeito. Grandes velocidades e desempenho, fiz um pouco de referência usando o Crystaldiskmark e obtive boas pontuações em geral. Mais uso de RAM e, se você estiver usando o Momentum Caching, certifique -se de usá -lo apenas se tiver um laptop com um backup de bateria ou se um PC do que um UPS, pois vi a perda de dados e a corrupção acontecendo devido a energia abrupta perdida e dados Arquivos ficando corrompidos e perdidos para sempre se você estivesse no meio de alguma coisa. Essa foi a minha experiência e estou feliz com o produto até agora, ótimo trabalho crucial., Um bom produto feito alguma velocidade de teste foi de cerca de 3100 Mbps, pois meu sistema não era muito novo, mas é um bom valor do produto para o dinheiro neste preço .</v>
      </c>
    </row>
    <row r="1012">
      <c r="A1012" s="9" t="s">
        <v>376</v>
      </c>
      <c r="B1012" s="29" t="str">
        <f>VLOOKUP(dados!A1012, reviews!A:G, 5, FALSE)</f>
        <v>Nice product .,Good quality Braided cable, VFM,Good cord, but has Earthing issue,Ok,Good product. Little bit fast charger for phones like redmi.,Fast charging is working properly,Money value product 👌,Cable a Nice product</v>
      </c>
      <c r="C1012" s="29" t="str">
        <f>VLOOKUP(dados!A1012, reviews!A:G, 6, FALSE)</f>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v>
      </c>
      <c r="D1012" s="29" t="str">
        <f>IFERROR(__xludf.DUMMYFUNCTION("GOOGLETRANSLATE(B1012, ""en"", ""pt-br"")"),"Bom produto., Cabo trançado de boa qualidade, VFM, bom cordão, mas tem problemas de aterramento, OK, bom produto. Um pouco rápido de carregador para telefones como Redmi., Carregamento rápido está funcionando corretamente, produto de valor monetário 👌, c"&amp;"abo um bom produto")</f>
        <v>Bom produto., Cabo trançado de boa qualidade, VFM, bom cordão, mas tem problemas de aterramento, OK, bom produto. Um pouco rápido de carregador para telefones como Redmi., Carregamento rápido está funcionando corretamente, produto de valor monetário 👌, cabo um bom produto</v>
      </c>
      <c r="E1012" s="29" t="str">
        <f>IFERROR(__xludf.DUMMYFUNCTION("GOOGLETRANSLATE(C1012, ""en"", ""pt-br"")"),"Embalagem robusta, bom produto!, Usei este cabo de marca para o meu iPhone e iPad antes, então, quando o cabo do carregador Samsung da minha esposa desistiu do fantasma em menos de 6 meses, eu pedi isso. Cabo trançado, visivelmente de alta qualidade, dife"&amp;"rentemente dos cabos OEM frágeis e altamente caros da Apple e da Samsung. Eu uso o cabo do meu iPhone de Wayona há mais de 1 1/2 anos e ainda estou forte. Espero que este cabo C dê um desempenho semelhante, eu gosto de acordes de Wayona e especialmente os"&amp;" longos. Mas sinto um leve choque - como uma descarga estática - quando toco meu telefone enquanto carrego com esses dois cabos. Outros cordões com o mesmo carregador estão bem., OK, o cabo parece sólido e o comprimento também é bom. Charging um pouco ráp"&amp;"ido que observei para telefones como Redmi. Também parece sólido, por isso espero que funcione pelo menos 1 ano, qualidade de construção e Recurso de carregamento rápido, inquebrável, de boa qualidade, cabo um bom produto")</f>
        <v>Embalagem robusta, bom produto!, Usei este cabo de marca para o meu iPhone e iPad antes, então, quando o cabo do carregador Samsung da minha esposa desistiu do fantasma em menos de 6 meses, eu pedi isso. Cabo trançado, visivelmente de alta qualidade, diferentemente dos cabos OEM frágeis e altamente caros da Apple e da Samsung. Eu uso o cabo do meu iPhone de Wayona há mais de 1 1/2 anos e ainda estou forte. Espero que este cabo C dê um desempenho semelhante, eu gosto de acordes de Wayona e especialmente os longos. Mas sinto um leve choque - como uma descarga estática - quando toco meu telefone enquanto carrego com esses dois cabos. Outros cordões com o mesmo carregador estão bem., OK, o cabo parece sólido e o comprimento também é bom. Charging um pouco rápido que observei para telefones como Redmi. Também parece sólido, por isso espero que funcione pelo menos 1 ano, qualidade de construção e Recurso de carregamento rápido, inquebrável, de boa qualidade, cabo um bom produto</v>
      </c>
    </row>
    <row r="1013">
      <c r="A1013" s="9" t="s">
        <v>3997</v>
      </c>
      <c r="B1013" s="29" t="str">
        <f>VLOOKUP(dados!A1013, reviews!A:G, 5, FALSE)</f>
        <v>Unhappy with storage.. actual storage is 57Gb,Most amazing sound , Really unbeatable better than any  another similar products  .,Nice,Esy to use,Pendrive,Nice and small,Value for money,Good</v>
      </c>
      <c r="C1013" s="29" t="str">
        <f>VLOOKUP(dados!A1013, reviews!A:G, 6, FALSE)</f>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v>
      </c>
      <c r="D1013" s="29" t="str">
        <f>IFERROR(__xludf.DUMMYFUNCTION("GOOGLETRANSLATE(B1013, ""en"", ""pt-br"")"),"Insatisfeito com o armazenamento. O armazenamento real é de 57 GB, som mais incrível, realmente imbatível melhor do que qualquer outro produto semelhante., Nice, Esy de usar, pendrive, agradável e pequeno, valor por dinheiro, bom")</f>
        <v>Insatisfeito com o armazenamento. O armazenamento real é de 57 GB, som mais incrível, realmente imbatível melhor do que qualquer outro produto semelhante., Nice, Esy de usar, pendrive, agradável e pequeno, valor por dinheiro, bom</v>
      </c>
      <c r="E1013" s="29" t="str">
        <f>IFERROR(__xludf.DUMMYFUNCTION("GOOGLETRANSLATE(C1013, ""en"", ""pt-br"")"),"https://m.media-amazon.com/images/i/71mathm1apl._sy88.jpg,really, antes de tudo, achei volumoso sem ter certeza se tem bom som ou som alto, mas acredite em mim pessoal se você é um O amante do som apenas vá em frente. Tem um som muito bom, pois todo som é"&amp;" separado e cristalino., Nice, seu trabalho satisfatório. Velocidade ok, o desempenho é muito bom., 64 GB em um tamanho tão pequeno! Uau, valor pelo dinheiro, bom")</f>
        <v>https://m.media-amazon.com/images/i/71mathm1apl._sy88.jpg,really, antes de tudo, achei volumoso sem ter certeza se tem bom som ou som alto, mas acredite em mim pessoal se você é um O amante do som apenas vá em frente. Tem um som muito bom, pois todo som é separado e cristalino., Nice, seu trabalho satisfatório. Velocidade ok, o desempenho é muito bom., 64 GB em um tamanho tão pequeno! Uau, valor pelo dinheiro, bom</v>
      </c>
    </row>
    <row r="1014">
      <c r="A1014" s="9" t="s">
        <v>4001</v>
      </c>
      <c r="B1014" s="29" t="str">
        <f>VLOOKUP(dados!A1014, reviews!A:G, 5, FALSE)</f>
        <v>Battery,Good buy,Bigger than expected,Best Battery for cooking stove,Great batteries,Good,GOOD,Wrong size</v>
      </c>
      <c r="C1014" s="29" t="str">
        <f>VLOOKUP(dados!A1014, reviews!A:G, 6, FALSE)</f>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v>
      </c>
      <c r="D1014" s="29" t="str">
        <f>IFERROR(__xludf.DUMMYFUNCTION("GOOGLETRANSLATE(B1014, ""en"", ""pt-br"")"),"Bateria, boa compra, maior que o esperado, a melhor bateria para cozinhar fogão, ótimas baterias, bom, bom, tamanho errado")</f>
        <v>Bateria, boa compra, maior que o esperado, a melhor bateria para cozinhar fogão, ótimas baterias, bom, bom, tamanho errado</v>
      </c>
      <c r="E1014" s="29" t="str">
        <f>IFERROR(__xludf.DUMMYFUNCTION("GOOGLETRANSLATE(C1014, ""en"", ""pt-br"")"),"Duracell nunca o decepciona, bom, https: //m.media-amazon.com/images/i/811nzyzu05l._sy88.jpg,i use essas baterias no meu fogão Faber (4 Burner) e eu presumo que muitos de você estarão comprando Para o mesmo propósito. É duradouro e dura facilmente em minh"&amp;"a casa por 6-8 meses sem mostrar e sinais de descarga. Nos últimos 3 anos, nunca experimentei um único incidente de vazamento dessa bateria. As baterias Duracell Ultra são as melhores para que os aparelhos de alta potência durem muito. Este pacote de 2 du"&amp;"rará facilmente um ano., Como: 1) as baterias estão em boas condições.2) Eu necessário para o fogão a gás. Ao colocar essa bateria, eu poderia iluminar o queimador sem soluço.3) Não pode falar sobre durabilidade, pois comprei algumas semanas atrás. Bom, b"&amp;"om,")</f>
        <v>Duracell nunca o decepciona, bom, https: //m.media-amazon.com/images/i/811nzyzu05l._sy88.jpg,i use essas baterias no meu fogão Faber (4 Burner) e eu presumo que muitos de você estarão comprando Para o mesmo propósito. É duradouro e dura facilmente em minha casa por 6-8 meses sem mostrar e sinais de descarga. Nos últimos 3 anos, nunca experimentei um único incidente de vazamento dessa bateria. As baterias Duracell Ultra são as melhores para que os aparelhos de alta potência durem muito. Este pacote de 2 durará facilmente um ano., Como: 1) as baterias estão em boas condições.2) Eu necessário para o fogão a gás. Ao colocar essa bateria, eu poderia iluminar o queimador sem soluço.3) Não pode falar sobre durabilidade, pois comprei algumas semanas atrás. Bom, bom,</v>
      </c>
    </row>
    <row r="1015">
      <c r="A1015" s="9" t="s">
        <v>4005</v>
      </c>
      <c r="B1015" s="29" t="str">
        <f>VLOOKUP(dados!A1015, reviews!A:G, 5, FALSE)</f>
        <v>Kids will love it,Good,Good product 👍,bestor is best,Nice Product for kids,Very costly than others,Good,Most sophisticated product for our mother earth.</v>
      </c>
      <c r="C1015" s="29" t="str">
        <f>VLOOKUP(dados!A1015, reviews!A:G, 6, FALSE)</f>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v>
      </c>
      <c r="D1015" s="29" t="str">
        <f>IFERROR(__xludf.DUMMYFUNCTION("GOOGLETRANSLATE(B1015, ""en"", ""pt-br"")"),"As crianças vão adorar, bom, bom produto 👍, o melhor, é o melhor, produto agradável para crianças, muito caro que outros, produtos mais sofisticados e mais sofisticados para nossa mãe Terra.")</f>
        <v>As crianças vão adorar, bom, bom produto 👍, o melhor, é o melhor, produto agradável para crianças, muito caro que outros, produtos mais sofisticados e mais sofisticados para nossa mãe Terra.</v>
      </c>
      <c r="E1015" s="29" t="str">
        <f>IFERROR(__xludf.DUMMYFUNCTION("GOOGLETRANSLATE(C1015, ""en"", ""pt-br"")"),"Comprei para minha sobrinha. É muito conveniente para as crianças usá -lo. O produto serve como uma ardósia, mas com a vantagem de que as crianças podem escrever e desenhar rapidamente e apagar em um único clique. O brilho da tela poderia ter sido melhor."&amp;", Produto valioso, https: //m.media-amazon.com/images/w/webp_402378-t2/images/i/71igsgydr8l._sy88.jpg, the Amazon, sua Amazon, seu Um bloco de redação muito bom o que eu esperava e muito útil para crianças. É fácil de usar e economizar estacionário, o pro"&amp;"duto está ok ok tipo. O custo deve ser de cerca de 300, conforme o item usado por crianças e não podemos esperar muita vida., Valor por dinheiro, peso leve, considerado maior em tamanho. Mas ok você pode ir com isso. Você precisa estar em uma sala bem ilu"&amp;"minada para fazer qualquer srub nesta almofada. Por favor, comentário ... você extra 2ab kaha se aaya ab pata chala matematicians ... aur jet kaise radar se bachega ... #pappupm")</f>
        <v>Comprei para minha sobrinha. É muito conveniente para as crianças usá -lo. O produto serve como uma ardósia, mas com a vantagem de que as crianças podem escrever e desenhar rapidamente e apagar em um único clique. O brilho da tela poderia ter sido melhor., Produto valioso, https: //m.media-amazon.com/images/w/webp_402378-t2/images/i/71igsgydr8l._sy88.jpg, the Amazon, sua Amazon, seu Um bloco de redação muito bom o que eu esperava e muito útil para crianças. É fácil de usar e economizar estacionário, o produto está ok ok tipo. O custo deve ser de cerca de 300, conforme o item usado por crianças e não podemos esperar muita vida., Valor por dinheiro, peso leve, considerado maior em tamanho. Mas ok você pode ir com isso. Você precisa estar em uma sala bem iluminada para fazer qualquer srub nesta almofada. Por favor, comentário ... você extra 2ab kaha se aaya ab pata chala matematicians ... aur jet kaise radar se bachega ... #pappupm</v>
      </c>
    </row>
    <row r="1016">
      <c r="A1016" s="9" t="s">
        <v>4009</v>
      </c>
      <c r="B1016" s="29" t="str">
        <f>VLOOKUP(dados!A1016, reviews!A:G, 5, FALSE)</f>
        <v>Value for money laptop for normal usage,Works well, no issues,Worth it,RAM upgradability an issue,Value for Money,Kopalli,Excellent product....worth it...,Battery 3 h</v>
      </c>
      <c r="C1016" s="29" t="str">
        <f>VLOOKUP(dados!A1016, reviews!A:G, 6, FALSE)</f>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v>
      </c>
      <c r="D1016" s="29" t="str">
        <f>IFERROR(__xludf.DUMMYFUNCTION("GOOGLETRANSLATE(B1016, ""en"", ""pt-br"")"),"Laptop de valor para dinheiro para uso normal, funciona bem, sem problemas, vale a pena, atualização de RAM e problema, valor ao dinheiro, kopalli, excelente produto .... vale a pena ..., bateria 3 h")</f>
        <v>Laptop de valor para dinheiro para uso normal, funciona bem, sem problemas, vale a pena, atualização de RAM e problema, valor ao dinheiro, kopalli, excelente produto .... vale a pena ..., bateria 3 h</v>
      </c>
      <c r="E1016" s="29" t="str">
        <f>IFERROR(__xludf.DUMMYFUNCTION("GOOGLETRANSLATE(C1016, ""en"", ""pt-br"")"),"Se você está procurando um laptop decente e com preços ressonáveis, este é o único. Gostei do laptop e realiza minha tarefa diária normal com facilidade. A inicialização é bastante rápida e de fato a inicialização automática depois que você levanta o pain"&amp;"el superior. Muito rápido e rápido, sem atrasos, com boa qualidade de áudio. A única queixa é que todas as portas estão no lado esquerdo do laptop que o torna inconveniente. Também mais um elemento ausente é a porta do tipo C. No geral, um produto decente"&amp;"., Funciona bem, e sem problemas. Recebi a garantia registrada na Lenovo para corresponder à data de compra. A velocidade do laptop é rápida. O backup da bateria é bom. Até agora, não há sinais de término excessivo. A resolução da tela é boa. A configuraç"&amp;"ão inicial de brilho padrão era muito alta, no entanto, um tema mais sombrio é mais fácil para os olhos. O conforto geral da leitura é bom. Os aplicativos do Windows 11 e Lifetime MS Office são bons/como esperado. Este é um bom laptop para estudantes, ati"&amp;"vidades de uso doméstico, bricolage, etc ... O Macafee Livesafe oferece pop -up de Rs 199 foi bom para uma proteção de anos. O mandado padrão de dois anos da Lenovo é o anunciado. O som é alto dos alto -falantes. Qualidade do teclado se for boa. A atualiz"&amp;"ação de 8gm a 12 GB/Dimm Max é bom ter para o futuro. O SSD de 512 GB é rápido. Pode ser atualizado para uma TB no futuro. A qualidade geral é boa, nada para reclamar. Não precisava de nenhum suporte de instalação., Valor do dinheiro, um módulo RAM é sold"&amp;"ado. Portanto, os palitos de RAM de 8 GB correspondentes não podem ser instalados. Boa escolha para o orçamento de 32-35k. O Windows 11 é um ponto de dor., Sendo uma pessoa de TI, eu hesitei em fazer isso, mas acabou a pegou e foi a decisão certa. Laptop "&amp;"é bom para uso doméstico normal., Bateria 3 - 4 horas chegando, excelente produto .... ótima experiência ...., potência da bateria 3 h")</f>
        <v>Se você está procurando um laptop decente e com preços ressonáveis, este é o único. Gostei do laptop e realiza minha tarefa diária normal com facilidade. A inicialização é bastante rápida e de fato a inicialização automática depois que você levanta o painel superior. Muito rápido e rápido, sem atrasos, com boa qualidade de áudio. A única queixa é que todas as portas estão no lado esquerdo do laptop que o torna inconveniente. Também mais um elemento ausente é a porta do tipo C. No geral, um produto decente., Funciona bem, e sem problemas. Recebi a garantia registrada na Lenovo para corresponder à data de compra. A velocidade do laptop é rápida. O backup da bateria é bom. Até agora, não há sinais de término excessivo. A resolução da tela é boa. A configuração inicial de brilho padrão era muito alta, no entanto, um tema mais sombrio é mais fácil para os olhos. O conforto geral da leitura é bom. Os aplicativos do Windows 11 e Lifetime MS Office são bons/como esperado. Este é um bom laptop para estudantes, atividades de uso doméstico, bricolage, etc ... O Macafee Livesafe oferece pop -up de Rs 199 foi bom para uma proteção de anos. O mandado padrão de dois anos da Lenovo é o anunciado. O som é alto dos alto -falantes. Qualidade do teclado se for boa. A atualização de 8gm a 12 GB/Dimm Max é bom ter para o futuro. O SSD de 512 GB é rápido. Pode ser atualizado para uma TB no futuro. A qualidade geral é boa, nada para reclamar. Não precisava de nenhum suporte de instalação., Valor do dinheiro, um módulo RAM é soldado. Portanto, os palitos de RAM de 8 GB correspondentes não podem ser instalados. Boa escolha para o orçamento de 32-35k. O Windows 11 é um ponto de dor., Sendo uma pessoa de TI, eu hesitei em fazer isso, mas acabou a pegou e foi a decisão certa. Laptop é bom para uso doméstico normal., Bateria 3 - 4 horas chegando, excelente produto .... ótima experiência ...., potência da bateria 3 h</v>
      </c>
    </row>
    <row r="1017">
      <c r="A1017" s="9" t="s">
        <v>4016</v>
      </c>
      <c r="B1017" s="29" t="str">
        <f>VLOOKUP(dados!A1017, reviews!A:G, 5, FALSE)</f>
        <v>Definitely good but wire is too short,Never expected an easy on pocket brand like BoAt winning heart the way apple does! Good product,Good headfone on budget,Nice,Quality is promised.,simply awesome,Value for money,Sound and mic quality good but not comfortable</v>
      </c>
      <c r="C1017" s="29" t="str">
        <f>VLOOKUP(dados!A1017, reviews!A:G, 6, FALSE)</f>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v>
      </c>
      <c r="D1017" s="29" t="str">
        <f>IFERROR(__xludf.DUMMYFUNCTION("GOOGLETRANSLATE(B1017, ""en"", ""pt-br"")"),"Definitivamente bom, mas Wire é muito curto, nunca esperou uma marca de bolso, como o coração que vence o coração da maneira que a Apple faz! Bom produto, boa cabeça sobre orçamento, boa qualidade, é prometida.")</f>
        <v>Definitivamente bom, mas Wire é muito curto, nunca esperou uma marca de bolso, como o coração que vence o coração da maneira que a Apple faz! Bom produto, boa cabeça sobre orçamento, boa qualidade, é prometida.</v>
      </c>
      <c r="E1017" s="29" t="str">
        <f>IFERROR(__xludf.DUMMYFUNCTION("GOOGLETRANSLATE(C1017, ""en"", ""pt-br"")"),"O produto é bom. É definitivamente uma paz para os ouvidos, porque o preenchimento também é muito bom. Uma coisa que eu não gosto é que o fio é muito curto., Nunca esperou uma marca de bolso, como o coração vencedor do barco, da maneira que a Apple faz! B"&amp;"om produto em 800rs, bom produto, excelente, os fones de ouvido atendem às suas expectativas a um preço acessível. A qualidade do som é de primeira qualidade. Falando sobre o recurso de cancelamento de barulho, ele realmente cancela o barulho do exterior,"&amp;" eu o coloquei nos ouvidos, tocava uma música e tocava simultaneamente outra música na minha TV, eu realmente não conseguia ouvir o som da minha TV. Gostei do design e parece bastante atraente. Agora tenho dois problemas com os fones de ouvido primeiro se"&amp;"ndo ele não pode ser colocado por um longo período de tempo. Acrescenta um pouco de estresse sobre seus ouvidos e eles começam a doer não muito, mas isso é uma preocupação. Segundo, sendo o comprimento do fio, é muito longo e muitas vezes o irrita porque "&amp;"não se encaixa nos bolsos e tudo com bastante facilidade. No geral, um produto de qualidade nesse ritmo e eu recomendo comprar qualquer pessoa interessada e disposta a tentar comprar esses fones de ouvido. A embalagem do produto pode ser muito melhor. Est"&amp;"ou insatisfeito com a entrega deste produto., Foi o meu segundo produto de barco que comprei e o 1º fone de ouvido por mais de quinhentos. E sua experiência é simplesmente incrível. Eu o uso há 11 meses., A qualidade do som é perfeita, mesmo quando o volu"&amp;"me de som é de 10 a 12, o som é muito bom para a qualidade de preço e microfone também é decente, mas não é confortável. Seus ouvidos sentem dor quando você o tira, mas para essa faixa de preço é a melhor coisa.")</f>
        <v>O produto é bom. É definitivamente uma paz para os ouvidos, porque o preenchimento também é muito bom. Uma coisa que eu não gosto é que o fio é muito curto., Nunca esperou uma marca de bolso, como o coração vencedor do barco, da maneira que a Apple faz! Bom produto em 800rs, bom produto, excelente, os fones de ouvido atendem às suas expectativas a um preço acessível. A qualidade do som é de primeira qualidade. Falando sobre o recurso de cancelamento de barulho, ele realmente cancela o barulho do exterior, eu o coloquei nos ouvidos, tocava uma música e tocava simultaneamente outra música na minha TV, eu realmente não conseguia ouvir o som da minha TV. Gostei do design e parece bastante atraente. Agora tenho dois problemas com os fones de ouvido primeiro sendo ele não pode ser colocado por um longo período de tempo. Acrescenta um pouco de estresse sobre seus ouvidos e eles começam a doer não muito, mas isso é uma preocupação. Segundo, sendo o comprimento do fio, é muito longo e muitas vezes o irrita porque não se encaixa nos bolsos e tudo com bastante facilidade. No geral, um produto de qualidade nesse ritmo e eu recomendo comprar qualquer pessoa interessada e disposta a tentar comprar esses fones de ouvido. A embalagem do produto pode ser muito melhor. Estou insatisfeito com a entrega deste produto., Foi o meu segundo produto de barco que comprei e o 1º fone de ouvido por mais de quinhentos. E sua experiência é simplesmente incrível. Eu o uso há 11 meses., A qualidade do som é perfeita, mesmo quando o volume de som é de 10 a 12, o som é muito bom para a qualidade de preço e microfone também é decente, mas não é confortável. Seus ouvidos sentem dor quando você o tira, mas para essa faixa de preço é a melhor coisa.</v>
      </c>
    </row>
    <row r="1018">
      <c r="A1018" s="9" t="s">
        <v>4020</v>
      </c>
      <c r="B1018" s="29" t="str">
        <f>VLOOKUP(dados!A1018, reviews!A:G, 5, FALSE)</f>
        <v>Super product,Worst antenna.... It came out while adjusting...wastage of money,Nice product,Good,A Must Have product.,Poor sound,Wothy,Useful product if you watch movies in mobile.</v>
      </c>
      <c r="C1018" s="29" t="str">
        <f>VLOOKUP(dados!A1018, reviews!A:G, 6, FALSE)</f>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v>
      </c>
      <c r="D1018" s="29" t="str">
        <f>IFERROR(__xludf.DUMMYFUNCTION("GOOGLETRANSLATE(B1018, ""en"", ""pt-br"")"),"Super produto, pior antena .... saiu ao ajustar ... desperdício de dinheiro, bom produto, bom, um produto deve ter um produto., Som ruim, wothy, produto útil se você assistir filmes em celular.")</f>
        <v>Super produto, pior antena .... saiu ao ajustar ... desperdício de dinheiro, bom produto, bom, um produto deve ter um produto., Som ruim, wothy, produto útil se você assistir filmes em celular.</v>
      </c>
      <c r="E1018" s="29" t="str">
        <f>IFERROR(__xludf.DUMMYFUNCTION("GOOGLETRANSLATE(C1018, ""en"", ""pt-br"")"),"Super produto, o pior produto, muito bom produto, bom, desde muito tempo eu estava esperando alguém para fabricar um simples conjunto móvel de tamanho de rádio de bolso para que eu pudesse ouvir estações on -line com qualidade de som razoável. Como sabemo"&amp;"s quaisquer qualidades que um conjunto de celular moderno possa ter, o áudio produzido por ele é sempre seco sem conteúdo de graves. Portanto, temos que conectá -lo a um sistema de música ou usar fones de ouvido prejudiciais aos ouvidos a longo prazo. Rec"&amp;"entemente, quando eu estava navegando na Internet, vi este produto que parecia um rádio antigo. Ao verificar os detalhes, achei que isso atende aos meus requisitos e, sem demora, coloquei o pedido. A zebronics Astra 10 está tendo excelente qualidade de áu"&amp;"dio com baixo e teor de agudos suficientes, como rádios dos velhos tempos. O espaço oco ao redor do alto -falante aumenta o efeito dos graves. Se girarmos o conjunto e fazer o alto -falante nos enfrentar, o som ficará mais nítido. Mesmo com o som de volum"&amp;"e total, o som não distorce. A conectividade Bluetooth também é maravilhosa e se conecta dentro de nenhum tempo e não há quebras e atraso na transmissão de áudio. O backup da bateria também parece ser bom. Depois de carregar totalmente, uma vez o uso diar"&amp;"iamente e depois de 3 dias, ainda está mostrando 80% de carga. Embora não haja provisão para saber a carga restante no produto, o celular do qual estamos conectando o Bluetooth mostra os detalhes. Normalmente, não podemos esperar muito do rádio FM em esse"&amp;" tipo de gadgets. Mas este produto é exceção para isso. Ao conectar um fio pequeno à antena do chicote, eu podia ouvir a estação FM situada a 200 km como se as instalações do cartão local, Uaux, USB e MSD, também funcionassem bem. Mas senti que o interrup"&amp;"tor ligado/desliga deveria ter sido um pouco robusto. O botão Long Press Type teria sido uma opção melhor. Também a digitalização das estações de FM deveria estar na imprensa longa, em vez de na única imprensa, para evitar a digitalização acidental. Disqu"&amp;"e como a tela inicial do celular. Eu também use isso para ouvir o áudio da TV. Eu comprei isso para minha mãe; O celular dela é um modelo esbelto e não tem um caso, e o celular continua caindo se você o inclina. No geral, é um bom produto.")</f>
        <v>Super produto, o pior produto, muito bom produto, bom, desde muito tempo eu estava esperando alguém para fabricar um simples conjunto móvel de tamanho de rádio de bolso para que eu pudesse ouvir estações on -line com qualidade de som razoável. Como sabemos quaisquer qualidades que um conjunto de celular moderno possa ter, o áudio produzido por ele é sempre seco sem conteúdo de graves. Portanto, temos que conectá -lo a um sistema de música ou usar fones de ouvido prejudiciais aos ouvidos a longo prazo. Recentemente, quando eu estava navegando na Internet, vi este produto que parecia um rádio antigo. Ao verificar os detalhes, achei que isso atende aos meus requisitos e, sem demora, coloquei o pedido. A zebronics Astra 10 está tendo excelente qualidade de áudio com baixo e teor de agudos suficientes, como rádios dos velhos tempos. O espaço oco ao redor do alto -falante aumenta o efeito dos graves. Se girarmos o conjunto e fazer o alto -falante nos enfrentar, o som ficará mais nítido. Mesmo com o som de volume total, o som não distorce. A conectividade Bluetooth também é maravilhosa e se conecta dentro de nenhum tempo e não há quebras e atraso na transmissão de áudio. O backup da bateria também parece ser bom. Depois de carregar totalmente, uma vez o uso diariamente e depois de 3 dias, ainda está mostrando 80% de carga. Embora não haja provisão para saber a carga restante no produto, o celular do qual estamos conectando o Bluetooth mostra os detalhes. Normalmente, não podemos esperar muito do rádio FM em esse tipo de gadgets. Mas este produto é exceção para isso. Ao conectar um fio pequeno à antena do chicote, eu podia ouvir a estação FM situada a 200 km como se as instalações do cartão local, Uaux, USB e MSD, também funcionassem bem. Mas senti que o interruptor ligado/desliga deveria ter sido um pouco robusto. O botão Long Press Type teria sido uma opção melhor. Também a digitalização das estações de FM deveria estar na imprensa longa, em vez de na única imprensa, para evitar a digitalização acidental. Disque como a tela inicial do celular. Eu também use isso para ouvir o áudio da TV. Eu comprei isso para minha mãe; O celular dela é um modelo esbelto e não tem um caso, e o celular continua caindo se você o inclina. No geral, é um bom produto.</v>
      </c>
    </row>
    <row r="1019">
      <c r="A1019" s="9" t="s">
        <v>2319</v>
      </c>
      <c r="B1019" s="29" t="str">
        <f>VLOOKUP(dados!A1019, reviews!A:G, 5, FALSE)</f>
        <v>Quite Good,good pencil,Value for money,Brilliant,Value for moeny product,Must to buy this pencil,Problemsolver,It works as advertised</v>
      </c>
      <c r="C1019" s="29" t="str">
        <f>VLOOKUP(dados!A1019, reviews!A:G, 6, FALSE)</f>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it’s the best budget pencil. I will update my review to 5 stars ⭐️⭐️⭐️⭐️⭐️ after using and testing it for a while if it passes all the criterion. Thankyou.</v>
      </c>
      <c r="D1019" s="29" t="str">
        <f>IFERROR(__xludf.DUMMYFUNCTION("GOOGLETRANSLATE(B1019, ""en"", ""pt-br"")"),"Muito bom, bom lápis, valor ao dinheiro, brilhante e valor para o produto Moeny, deve comprar este lápis, Slowedsolver, ele funciona como anunciado")</f>
        <v>Muito bom, bom lápis, valor ao dinheiro, brilhante e valor para o produto Moeny, deve comprar este lápis, Slowedsolver, ele funciona como anunciado</v>
      </c>
      <c r="E1019" s="29" t="str">
        <f>IFERROR(__xludf.DUMMYFUNCTION("GOOGLETRANSLATE(C1019, ""en"", ""pt-br"")"),"Após 10 dias de uso, Bhaut acha chl rha ha e eu revisarei novamente aapko bata dunga kessa ha thoda time baadbut produtos acha ha abhi tak kuch kharab nahi hua e mene bheska khayal rakha ha, lápis é bom trabalho bem, mas a construção pode ser melhor , Exc"&amp;"elente experiência trabalha bem com o iPad Pro 11 polegadas (2022) Bom bateria, a vida precisa comprar um produto Apple de Apple, com muito carote. Agrega valor ao iPad. Felizmente, a alternativa ao lápis de marca caro., Realmente um ótimo produto do rei "&amp;"❤️🔥🔥🔥🔥🔥🔥🔥🔥🔥🔥. Quando comprei o lápis, duvidei da qualidade do produto, mas agora um mês eu o usei é um produto incrível por Kingone e, sem dúvida para o bem. Produto OSM e eu não enfrentei nenhum poder Ancidental, pois outros lápis é legal e aut"&amp;"omático em seu tempo, salve a bateria como tudo mais redondo. É o MOENY SAVE É MELHOR EM ONE AUTRIMENTO DE ORIGINAL ONE LEGO ......, ótima qualidade com NOAGS, para todos aqueles que não podem pagar o Apple Pencil, este é um verdadeiro solucionador de pro"&amp;"blemas. É um pouco difícil de se acostumar com o lápis, mas funciona como um charme. zero problemas. Produto adorável, inicialmente fiquei cético usando este lápis, porque ele continuava pulando as linhas e não respondeu. Mas depois de um tempo, tornou -s"&amp;"e tão suave quanto original. Você deve seguir em frente se a sensibilidade à pressão não for o que você está procurando. Com o carregamento sem fio e os atalhos de botões, é o melhor lápis de orçamento. Atualizarei minha revisão para 5 estrelas ⭐️⭐️⭐️⭐️⭐️"&amp;" depois de usá -lo e testá -lo por um tempo, se ele passar por todo o critério. Obrigado.")</f>
        <v>Após 10 dias de uso, Bhaut acha chl rha ha e eu revisarei novamente aapko bata dunga kessa ha thoda time baadbut produtos acha ha abhi tak kuch kharab nahi hua e mene bheska khayal rakha ha, lápis é bom trabalho bem, mas a construção pode ser melhor , Excelente experiência trabalha bem com o iPad Pro 11 polegadas (2022) Bom bateria, a vida precisa comprar um produto Apple de Apple, com muito carote. Agrega valor ao iPad. Felizmente, a alternativa ao lápis de marca caro., Realmente um ótimo produto do rei ❤️🔥🔥🔥🔥🔥🔥🔥🔥🔥🔥. Quando comprei o lápis, duvidei da qualidade do produto, mas agora um mês eu o usei é um produto incrível por Kingone e, sem dúvida para o bem. Produto OSM e eu não enfrentei nenhum poder Ancidental, pois outros lápis é legal e automático em seu tempo, salve a bateria como tudo mais redondo. É o MOENY SAVE É MELHOR EM ONE AUTRIMENTO DE ORIGINAL ONE LEGO ......, ótima qualidade com NOAGS, para todos aqueles que não podem pagar o Apple Pencil, este é um verdadeiro solucionador de problemas. É um pouco difícil de se acostumar com o lápis, mas funciona como um charme. zero problemas. Produto adorável, inicialmente fiquei cético usando este lápis, porque ele continuava pulando as linhas e não respondeu. Mas depois de um tempo, tornou -se tão suave quanto original. Você deve seguir em frente se a sensibilidade à pressão não for o que você está procurando. Com o carregamento sem fio e os atalhos de botões, é o melhor lápis de orçamento. Atualizarei minha revisão para 5 estrelas ⭐️⭐️⭐️⭐️⭐️ depois de usá -lo e testá -lo por um tempo, se ele passar por todo o critério. Obrigado.</v>
      </c>
    </row>
    <row r="1020">
      <c r="A1020" s="9" t="s">
        <v>392</v>
      </c>
      <c r="B1020" s="29" t="str">
        <f>VLOOKUP(dados!A1020, reviews!A:G, 5, FALSE)</f>
        <v>Super charger in lapster,Best among the rest,Classy product and authentic one,Excellent product,Worked fine ,thank you,Stylish and flexible cable,Amazing,Value for money product</v>
      </c>
      <c r="C1020" s="29" t="str">
        <f>VLOOKUP(dados!A1020, reviews!A:G, 6, FALSE)</f>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v>
      </c>
      <c r="D1020" s="29" t="str">
        <f>IFERROR(__xludf.DUMMYFUNCTION("GOOGLETRANSLATE(B1020, ""en"", ""pt-br"")"),"Super Charger em Lapster, melhor entre os demais, produto elegante e autêntico, excelente produto, funcionou bem, obrigado, elegante e flexível, cabo, incrível, produto para dinheiro")</f>
        <v>Super Charger em Lapster, melhor entre os demais, produto elegante e autêntico, excelente produto, funcionou bem, obrigado, elegante e flexível, cabo, incrível, produto para dinheiro</v>
      </c>
      <c r="E1020" s="29" t="str">
        <f>IFERROR(__xludf.DUMMYFUNCTION("GOOGLETRANSLATE(C1020, ""en"", ""pt-br"")"),"A melhor qualidade, o produto parece original e está trabalhando perfeitamente com o meu OnePlus 8T. Bom tipo C para comprar, recomendado em outras empresas., É um produto muito bom e, no entanto, um cabo confiável e durável para se conectar, o cabo é bom"&amp;" e suporta 65 W de carregamento rápido. Estou usando este cabo no meu telefone celular One Plus 8T. Este cabo também acelera na transferência para os dados. O preço do cabo também é baixo. Obrigado pelo vendedor para fornecer o cabo de melhor qualidade e "&amp;"durabilidade em preço baixo. Estou feliz por dizer que este cabo é polido., O produto funcionou bem para mim. Consegui isso a um bom preço, flexível e resistência é melhor e também no Samsung M31S Mobile Charging Fast, comprei este cabo para o meu telefon"&amp;"e nada 1 é incrível, o carregamento rápido está funcionando muito bem, eu tentei isso também meu Samsung Mobile e resultado Foi fabuloso, obrigado, as impressões iniciais são boas. Ele está apoiando a Ulatra Charging Rast com o meu OnePlus 9 Pro.")</f>
        <v>A melhor qualidade, o produto parece original e está trabalhando perfeitamente com o meu OnePlus 8T. Bom tipo C para comprar, recomendado em outras empresas., É um produto muito bom e, no entanto, um cabo confiável e durável para se conectar, o cabo é bom e suporta 65 W de carregamento rápido. Estou usando este cabo no meu telefone celular One Plus 8T. Este cabo também acelera na transferência para os dados. O preço do cabo também é baixo. Obrigado pelo vendedor para fornecer o cabo de melhor qualidade e durabilidade em preço baixo. Estou feliz por dizer que este cabo é polido., O produto funcionou bem para mim. Consegui isso a um bom preço, flexível e resistência é melhor e também no Samsung M31S Mobile Charging Fast, comprei este cabo para o meu telefone nada 1 é incrível, o carregamento rápido está funcionando muito bem, eu tentei isso também meu Samsung Mobile e resultado Foi fabuloso, obrigado, as impressões iniciais são boas. Ele está apoiando a Ulatra Charging Rast com o meu OnePlus 9 Pro.</v>
      </c>
    </row>
    <row r="1021">
      <c r="A1021" s="9" t="s">
        <v>399</v>
      </c>
      <c r="B1021" s="29" t="str">
        <f>VLOOKUP(dados!A1021, reviews!A:G, 5, FALSE)</f>
        <v>Will not work with new system,Veri good,Ok product,Access wifi signal.,👍,very good,Good Product,8139EU based okayish but low reception</v>
      </c>
      <c r="C1021" s="29" t="str">
        <f>VLOOKUP(dados!A1021, reviews!A:G, 6, FALSE)</f>
        <v>Was working fine with window 10 old computer but is not installable with new system on Window 11,Overall very good item,Easy to install ok signal,This was used to accesd wifi connectivity for desk top, and TV, worked fine,👍,like,Good product, satisfied with its performance.,It worked on most devices where driver could be installed, even worked with linux system too but for the reason I bought simply didn't get solved with it.. though not returning it as it worked in my computer without any issues.</v>
      </c>
      <c r="D1021" s="29" t="str">
        <f>IFERROR(__xludf.DUMMYFUNCTION("GOOGLETRANSLATE(B1021, ""en"", ""pt-br"")"),"Não funcionará com novo sistema, veri bom, ok produto, acessar sinais wifi., 👍, muito bom, bom produto, 8139eu baseado em okish, mas baixa recepção")</f>
        <v>Não funcionará com novo sistema, veri bom, ok produto, acessar sinais wifi., 👍, muito bom, bom produto, 8139eu baseado em okish, mas baixa recepção</v>
      </c>
      <c r="E1021" s="29" t="str">
        <f>IFERROR(__xludf.DUMMYFUNCTION("GOOGLETRANSLATE(C1021, ""en"", ""pt-br"")"),"Estava funcionando bem com o computador da janela 10 antiga, mas não é instalável com o novo sistema na janela 11, em geral, item muito bom, fácil instalar o sinal OK, isso foi usado para acreditar a conectividade Wi -Fi na parte superior da mesa e na TV,"&amp;" funcionou bem, 👍, como , Bom produto, satisfeito com seu desempenho., Funcionou na maioria dos dispositivos onde o motorista poderia ser instalado, até trabalhou com o sistema Linux, mas pelo motivo que comprei simplesmente não foi resolvido com ele ..."&amp;" embora não o devolva enquanto funcionava no meu computador sem problemas.")</f>
        <v>Estava funcionando bem com o computador da janela 10 antiga, mas não é instalável com o novo sistema na janela 11, em geral, item muito bom, fácil instalar o sinal OK, isso foi usado para acreditar a conectividade Wi -Fi na parte superior da mesa e na TV, funcionou bem, 👍, como , Bom produto, satisfeito com seu desempenho., Funcionou na maioria dos dispositivos onde o motorista poderia ser instalado, até trabalhou com o sistema Linux, mas pelo motivo que comprei simplesmente não foi resolvido com ele ... embora não o devolva enquanto funcionava no meu computador sem problemas.</v>
      </c>
    </row>
    <row r="1022">
      <c r="A1022" s="9" t="s">
        <v>4027</v>
      </c>
      <c r="B1022" s="29" t="str">
        <f>VLOOKUP(dados!A1022, reviews!A:G, 5, FALSE)</f>
        <v>Can be use as table lamp or emergency light for room,Very flexible 👍,Working perfect great,Value of the product,good product as per price,Good enough but no controls to dim,Excellent,Nice product</v>
      </c>
      <c r="C1022" s="29" t="str">
        <f>VLOOKUP(dados!A1022, reviews!A:G, 6, FALSE)</f>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v>
      </c>
      <c r="D1022" s="29" t="str">
        <f>IFERROR(__xludf.DUMMYFUNCTION("GOOGLETRANSLATE(B1022, ""en"", ""pt-br"")"),"Pode ser usado como lâmpada de mesa ou luz de emergência para espaço, muito flexível 👍, funcionando perfeita, excelente, valor do produto, bom produto conforme preço, bom o suficiente, mas sem controles para escurecer, excelente, bom produto")</f>
        <v>Pode ser usado como lâmpada de mesa ou luz de emergência para espaço, muito flexível 👍, funcionando perfeita, excelente, valor do produto, bom produto conforme preço, bom o suficiente, mas sem controles para escurecer, excelente, bom produto</v>
      </c>
      <c r="E1022" s="29" t="str">
        <f>IFERROR(__xludf.DUMMYFUNCTION("GOOGLETRANSLATE(C1022, ""en"", ""pt-br"")"),"Brilhante o suficiente para ler nas proximidades, pode iluminar espaço. Fique pouco aquecido, mas não um problema. A qualidade de construção é boa. Um pouco caro, com certeza, mas não posso dar errado com isso. Espero que o fabricante coloque o interrupto"&amp;"r para ligar/desligar., Muito útil para WFH, funcionando perfeito ótimo ... produto, o produto é simplesmente ajustável e o brilho é suficiente para uma tabela de estudo de usuário compensada para os alunos, achei que ele atende aos meus requisitos e tamb"&amp;"ém é bom pelo material usado .. uma boa decisão de compra, brilho suficiente, mas não há controle para desligar ou diminuir da luz LED. Como o Mi LED Light tem opção de diminuir e desligar. Mas não tem, então desligue ou ligue a luz, você precisará conect"&amp;"á -lo ou removê -lo do banco de energia. Não posso manter -se conectado no banco de energia, pois sempre lança a luz quando conectado, se o botão de ajuste de brilho estivesse presente ... então o produto foi maravilhoso, é útil para mim no meu WFH no fin"&amp;"al da noite devido a isso A luz do produto está desligada e todos vão dormir sem qualquer distração e também posso completar meu trabalho")</f>
        <v>Brilhante o suficiente para ler nas proximidades, pode iluminar espaço. Fique pouco aquecido, mas não um problema. A qualidade de construção é boa. Um pouco caro, com certeza, mas não posso dar errado com isso. Espero que o fabricante coloque o interruptor para ligar/desligar., Muito útil para WFH, funcionando perfeito ótimo ... produto, o produto é simplesmente ajustável e o brilho é suficiente para uma tabela de estudo de usuário compensada para os alunos, achei que ele atende aos meus requisitos e também é bom pelo material usado .. uma boa decisão de compra, brilho suficiente, mas não há controle para desligar ou diminuir da luz LED. Como o Mi LED Light tem opção de diminuir e desligar. Mas não tem, então desligue ou ligue a luz, você precisará conectá -lo ou removê -lo do banco de energia. Não posso manter -se conectado no banco de energia, pois sempre lança a luz quando conectado, se o botão de ajuste de brilho estivesse presente ... então o produto foi maravilhoso, é útil para mim no meu WFH no final da noite devido a isso A luz do produto está desligada e todos vão dormir sem qualquer distração e também posso completar meu trabalho</v>
      </c>
    </row>
    <row r="1023">
      <c r="A1023" s="9" t="s">
        <v>4031</v>
      </c>
      <c r="B1023" s="29" t="str">
        <f>VLOOKUP(dados!A1023, reviews!A:G, 5, FALSE)</f>
        <v>Good Handy Bluetooth Speaker,Very Nice,Medium,Worth to the money,4.5,Good,Value for money,Value for money is good....</v>
      </c>
      <c r="C1023" s="29" t="str">
        <f>VLOOKUP(dados!A1023, reviews!A:G, 6, FALSE)</f>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v>
      </c>
      <c r="D1023" s="29" t="str">
        <f>IFERROR(__xludf.DUMMYFUNCTION("GOOGLETRANSLATE(B1023, ""en"", ""pt-br"")"),"Bom alto -falante Bluetooth, muito bom, médio, vale o dinheiro, 4,5, bom, valor ao dinheiro, valor ao dinheiro é bom ....")</f>
        <v>Bom alto -falante Bluetooth, muito bom, médio, vale o dinheiro, 4,5, bom, valor ao dinheiro, valor ao dinheiro é bom ....</v>
      </c>
      <c r="E1023" s="29" t="str">
        <f>IFERROR(__xludf.DUMMYFUNCTION("GOOGLETRANSLATE(C1023, ""en"", ""pt-br"")"),"Bom baixo e agudo. Boa qualidade de som., Bom produto nesse preço, neste mais irritante é o baixo profundo depois de colocar o alto -falante em baixo profundo, o volume diminui automaticamente quando há um baixo na música e o volume é apenas para a sala q"&amp;"ue não pode ser usada No Bigger Rooms, como pouco, dando um bom som especialmente durante o bate -papo em vídeo em laptop., Som equilibrado nítido e claro.")</f>
        <v>Bom baixo e agudo. Boa qualidade de som., Bom produto nesse preço, neste mais irritante é o baixo profundo depois de colocar o alto -falante em baixo profundo, o volume diminui automaticamente quando há um baixo na música e o volume é apenas para a sala que não pode ser usada No Bigger Rooms, como pouco, dando um bom som especialmente durante o bate -papo em vídeo em laptop., Som equilibrado nítido e claro.</v>
      </c>
    </row>
    <row r="1024">
      <c r="A1024" s="9" t="s">
        <v>4035</v>
      </c>
      <c r="B1024" s="29" t="str">
        <f>VLOOKUP(dados!A1024, reviews!A:G, 5, FALSE)</f>
        <v>All your questions answered in this review,Just fine for the price,Its okay okay according to price.,Good for winter times to boil the water,Bass fitting loose,Good product, no issue after using 2months,Good matereal,Only disadvantage is the cord length.</v>
      </c>
      <c r="C1024" s="29" t="str">
        <f>VLOOKUP(dados!A1024, reviews!A:G, 6, FALSE)</f>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v>
      </c>
      <c r="D1024" s="29" t="str">
        <f>IFERROR(__xludf.DUMMYFUNCTION("GOOGLETRANSLATE(B1024, ""en"", ""pt-br"")"),"Todas as suas perguntas foram respondidas nesta revisão, muito bem pelo preço, tudo bem, de acordo com o preço., Bom para o inverno Times para ferver a água, o baixo de baixo, o bom produto, sem problemas depois de usar 2 meses, bom material, apenas desva"&amp;"ntagem é o comprimento do cordão.")</f>
        <v>Todas as suas perguntas foram respondidas nesta revisão, muito bem pelo preço, tudo bem, de acordo com o preço., Bom para o inverno Times para ferver a água, o baixo de baixo, o bom produto, sem problemas depois de usar 2 meses, bom material, apenas desvantagem é o comprimento do cordão.</v>
      </c>
      <c r="E1024" s="29" t="str">
        <f>IFERROR(__xludf.DUMMYFUNCTION("GOOGLETRANSLATE(C1024, ""en"", ""pt-br"")"),"De alguma forma, a Amazon é péssima quando você deseja selecionar uma chaleira elétrica. Não há opções para filtrar suas opções com base nos parâmetros importantes. É fácil cair na armadilha de um negócio em andamento e acabar comprando algo que fica aqué"&amp;"m do que você precisa. Nesta revisão, responderei suas perguntas sobre o pombo Amaze Plus 1.5L Electric Kettle.1. Posso confiar nos comentários para este anúncio? Eles são genuínos? Provavelmente sim. Mas saiba que o vendedor lista vários tipos de chaleir"&amp;"as de pombo no mesmo anúncio. A menos que a revisão se refere a esse modelo em particular - você pode acabar vendo uma revisão de um produto e comprando um diferente. As classificações também são uma mistura agregada. Pode haver 10 revisão negativa do pro"&amp;"duto que você está vendo e 10 positivos para os outros produtos. A página mostrará uma revisão neutra. Esse é o jogo que os vendedores estão jogando hoje em dia - para evitar críticas negativas. Eu publiquei uma foto do fogão a que estou me referindo nest"&amp;"a revisão. Wattage: IMPORTANTE porque isso diz com que rapidez a água esquenta. Este é 1500W - o que significa que você pode ligá -lo ... escove os dentes e encontre a água fervida. Ótimo tempo economizando !! Meu anterior era 900W e costumava levar de 10"&amp;" a 15 minutos de paciente esperando. O fogão a gás ferveu água mais rápido. Este leva cerca de 3-4 minutos para aquecer 2 canecas de café3. Comprimento do cabo: a maioria desses fabricantes de chaleira economiza no comprimento do cabo. Eu comprei chaleira"&amp;"s para descobrir que elas têm apenas um cabo de um metro e meio de comprimento ... e eu tive que devolvê-las. Este tem comprimento de cabo de 22 ""(pouco mais de um metro) - que é uma distância confortável entre a chaleira e o plugue.4. Conector: este usa"&amp;" um plugue 6A - que é mais comum na Índia. Tenha cuidado porque A partir de&gt; 1500W, a maioria das chaleiras usa um plugue 16A e isso nem sempre está disponível no local onde você deseja colocar a chaleira. Estritamente falando, ele deve ter um plugue 16A,"&amp;" mas isso é mantido apenas em intervalos curtos.5 . Por que você não pode aquecer Maggi etc. Talvez você possa. Mas evite o leite, pois o efeito em expansão causará derramamentos e isso pode ter efeitos adversos.7. Looks: Bem, tudo bem para o preço. Não f"&amp;"ará com que sua cozinha pareça ruim - e nem vai Aumenta a aparência. Essa é a aparência mais comum que uma chaleira elétrica pode ter.8. Desempenho: eu usei apenas por 2 dias. Sem queixas até agora. Há um cartão de garantia de 1 ano que acompanha o produt"&amp;"o9. Handle: sensação muito conveniente quando você o levanta do berço de aquecimento. Não parece muito pesado, mesmo que haja 1,7L completo de água. Negativos: este é um jarro de aço. O exterior vai aquecer automaticamente. Se você está acostumado a um pl"&amp;"ástico do lado de fora em sua chaleira anterior, precisa ter um pouco de cuidado. Os preços, pois recebem minhas críticas positivas - portanto, também estou mencionando a faixa de preço com base na qual dei a este produto uma revisão de 5 estrelas), o cor"&amp;"po é muito leve e não parece resistente. Faz o trabalho de aquecer água rapidamente e é isso. O comprimento do cordão pode demorar um pouco mais. As peças de plástico não parecem resistentes. A tampa superior tem um diâmetro menor, para que a mão de um ho"&amp;"mem tenha um problema para encaixá -la dentro do recipiente durante a limpeza e pode facilmente cortar nossas mãos. No geral, está tudo bem., Sua qualidade não era muito boa, produto de qualidade leve, mas de acordo com o preço é bom. à prova de choque. P"&amp;"ortanto, não se preocupe.")</f>
        <v>De alguma forma, a Amazon é péssima quando você deseja selecionar uma chaleira elétrica. Não há opções para filtrar suas opções com base nos parâmetros importantes. É fácil cair na armadilha de um negócio em andamento e acabar comprando algo que fica aquém do que você precisa. Nesta revisão, responderei suas perguntas sobre o pombo Amaze Plus 1.5L Electric Kettle.1. Posso confiar nos comentários para este anúncio? Eles são genuínos? Provavelmente sim. Mas saiba que o vendedor lista vários tipos de chaleiras de pombo no mesmo anúncio. A menos que a revisão se refere a esse modelo em particular - você pode acabar vendo uma revisão de um produto e comprando um diferente. As classificações também são uma mistura agregada. Pode haver 10 revisão negativa do produto que você está vendo e 10 positivos para os outros produtos. A página mostrará uma revisão neutra. Esse é o jogo que os vendedores estão jogando hoje em dia - para evitar críticas negativas. Eu publiquei uma foto do fogão a que estou me referindo nesta revisão. Wattage: IMPORTANTE porque isso diz com que rapidez a água esquenta. Este é 1500W - o que significa que você pode ligá -lo ... escove os dentes e encontre a água fervida. Ótimo tempo economizando !! Meu anterior era 900W e costumava levar de 10 a 15 minutos de paciente esperando. O fogão a gás ferveu água mais rápido. Este leva cerca de 3-4 minutos para aquecer 2 canecas de café3. Comprimento do cabo: a maioria desses fabricantes de chaleira economiza no comprimento do cabo. Eu comprei chaleiras para descobrir que elas têm apenas um cabo de um metro e meio de comprimento ... e eu tive que devolvê-las. Este tem comprimento de cabo de 22 "(pouco mais de um metro) - que é uma distância confortável entre a chaleira e o plugue.4. Conector: este usa um plugue 6A - que é mais comum na Índia. Tenha cuidado porque A partir de&gt; 1500W, a maioria das chaleiras usa um plugue 16A e isso nem sempre está disponível no local onde você deseja colocar a chaleira. Estritamente falando, ele deve ter um plugue 16A, mas isso é mantido apenas em intervalos curtos.5 . Por que você não pode aquecer Maggi etc. Talvez você possa. Mas evite o leite, pois o efeito em expansão causará derramamentos e isso pode ter efeitos adversos.7. Looks: Bem, tudo bem para o preço. Não fará com que sua cozinha pareça ruim - e nem vai Aumenta a aparência. Essa é a aparência mais comum que uma chaleira elétrica pode ter.8. Desempenho: eu usei apenas por 2 dias. Sem queixas até agora. Há um cartão de garantia de 1 ano que acompanha o produto9. Handle: sensação muito conveniente quando você o levanta do berço de aquecimento. Não parece muito pesado, mesmo que haja 1,7L completo de água. Negativos: este é um jarro de aço. O exterior vai aquecer automaticamente. Se você está acostumado a um plástico do lado de fora em sua chaleira anterior, precisa ter um pouco de cuidado. Os preços, pois recebem minhas críticas positivas - portanto, também estou mencionando a faixa de preço com base na qual dei a este produto uma revisão de 5 estrelas), o corpo é muito leve e não parece resistente. Faz o trabalho de aquecer água rapidamente e é isso. O comprimento do cordão pode demorar um pouco mais. As peças de plástico não parecem resistentes. A tampa superior tem um diâmetro menor, para que a mão de um homem tenha um problema para encaixá -la dentro do recipiente durante a limpeza e pode facilmente cortar nossas mãos. No geral, está tudo bem., Sua qualidade não era muito boa, produto de qualidade leve, mas de acordo com o preço é bom. à prova de choque. Portanto, não se preocupe.</v>
      </c>
    </row>
    <row r="1025">
      <c r="A1025" s="9" t="s">
        <v>4044</v>
      </c>
      <c r="B1025" s="29" t="str">
        <f>VLOOKUP(dados!A1025, reviews!A:G, 5, FALSE)</f>
        <v>Good and affordable room heater,Good for tight spaces,Short shelf life,Niceeee,Very good product,It's good,Heating capacity,Good</v>
      </c>
      <c r="C1025" s="29" t="str">
        <f>VLOOKUP(dados!A1025, reviews!A:G, 6, FALSE)</f>
        <v>,Good product for tight spaces and easy to replace as well.,One of the filaments lasted about 7 days of usage. Waiting to see how long the other lasts.,I like this product as compare to price it’s look worthy. Hope will work like this in future too.,Good for one small room (120sq ft),Good,Heating capacity is not that much good.,Good product</v>
      </c>
      <c r="D1025" s="29" t="str">
        <f>IFERROR(__xludf.DUMMYFUNCTION("GOOGLETRANSLATE(B1025, ""en"", ""pt-br"")"),"Aquecedor de quarto bom e acessível, bom para espaços apertados, vida útil curta, niceeee, produto muito bom, é bom, capacidade de aquecimento, bom")</f>
        <v>Aquecedor de quarto bom e acessível, bom para espaços apertados, vida útil curta, niceeee, produto muito bom, é bom, capacidade de aquecimento, bom</v>
      </c>
      <c r="E1025" s="29" t="str">
        <f>IFERROR(__xludf.DUMMYFUNCTION("GOOGLETRANSLATE(C1025, ""en"", ""pt-br"")"),", Bom produto para espaços apertados e também fácil de substituir., Um dos filamentos durou cerca de 7 dias de uso. Esperando para ver quanto tempo o outro dura., Gosto deste produto em comparação com o preço, parece que é digno. A esperança funcionará as"&amp;"sim no futuro também., Bom para uma pequena sala (120 m²), boa capacidade de aquecimento não é muito boa., Bom produto")</f>
        <v>, Bom produto para espaços apertados e também fácil de substituir., Um dos filamentos durou cerca de 7 dias de uso. Esperando para ver quanto tempo o outro dura., Gosto deste produto em comparação com o preço, parece que é digno. A esperança funcionará assim no futuro também., Bom para uma pequena sala (120 m²), boa capacidade de aquecimento não é muito boa., Bom produto</v>
      </c>
    </row>
    <row r="1026">
      <c r="A1026" s="9" t="s">
        <v>4052</v>
      </c>
      <c r="B1026" s="29" t="str">
        <f>VLOOKUP(dados!A1026, reviews!A:G, 5, FALSE)</f>
        <v>Compact and easy to you,Good work 👍,Good,Good product,Good product,Lovable and nice product,Nice product,Compact and easy to use. Suitable for a room</v>
      </c>
      <c r="C1026" s="29" t="str">
        <f>VLOOKUP(dados!A1026, reviews!A:G, 6, FALSE)</f>
        <v>Good product under Rs. 1100..Easy to use...,Good product ❤️Thanks 👍,It's a mini blower with good heating. Cute and easy to use. However, it requires a big socket.,Best quality good look,Good product and quality,Superb,https://m.media-amazon.com/images/I/717tDJ+J30L._SY88.jpg,Compact and easy to use. Suitable for a room</v>
      </c>
      <c r="D1026" s="29" t="str">
        <f>IFERROR(__xludf.DUMMYFUNCTION("GOOGLETRANSLATE(B1026, ""en"", ""pt-br"")"),"Compacto e fácil para você, bom trabalho 👍, bom, bom produto, bom produto, produto adorável e agradável, produto agradável, compacto e fácil de usar. Adequado para uma sala")</f>
        <v>Compacto e fácil para você, bom trabalho 👍, bom, bom produto, bom produto, produto adorável e agradável, produto agradável, compacto e fácil de usar. Adequado para uma sala</v>
      </c>
      <c r="E1026" s="29" t="str">
        <f>IFERROR(__xludf.DUMMYFUNCTION("GOOGLETRANSLATE(C1026, ""en"", ""pt-br"")"),"Bom produto sob Rs. 1100..asy para usar ..., bom produto ❤️HANDS 👍, é um mini soprador com bom aquecimento. Fofo e fácil de usar. No entanto, requer um soquete grande., Melhor boa aparência, boa aparência, bom produto e qualidade, excelente, https: //m.m"&amp;"edia-amazon.com/images/i/717tdj+j30l._sy88.jpg.compact e fácil de usar . Adequado para uma sala")</f>
        <v>Bom produto sob Rs. 1100..asy para usar ..., bom produto ❤️HANDS 👍, é um mini soprador com bom aquecimento. Fofo e fácil de usar. No entanto, requer um soquete grande., Melhor boa aparência, boa aparência, bom produto e qualidade, excelente, https: //m.media-amazon.com/images/i/717tdj+j30l._sy88.jpg.compact e fácil de usar . Adequado para uma sala</v>
      </c>
    </row>
    <row r="1027">
      <c r="A1027" s="9" t="s">
        <v>4058</v>
      </c>
      <c r="B1027" s="29" t="str">
        <f>VLOOKUP(dados!A1027, reviews!A:G, 5, FALSE)</f>
        <v>Good Product,Nice product,Good product,Good,I made my sweaters look like brand new.,Nice product,Perfect to clean lints easily,Good Product</v>
      </c>
      <c r="C1027" s="29" t="str">
        <f>VLOOKUP(dados!A1027, reviews!A:G, 6, FALSE)</f>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 but caps was little loose,It's a decent product and very easy to handle. Not sure of the durability as it's been over a week only. Will update the review after some few months.</v>
      </c>
      <c r="D1027" s="29" t="str">
        <f>IFERROR(__xludf.DUMMYFUNCTION("GOOGLETRANSLATE(B1027, ""en"", ""pt-br"")"),"Bom produto, bom produto, bom produto, bom, fiz meus suéteres parecerem novos., Bom produto, perfeito para limpar os fiapos facilmente, bom produto")</f>
        <v>Bom produto, bom produto, bom produto, bom, fiz meus suéteres parecerem novos., Bom produto, perfeito para limpar os fiapos facilmente, bom produto</v>
      </c>
      <c r="E1027" s="29" t="str">
        <f>IFERROR(__xludf.DUMMYFUNCTION("GOOGLETRANSLATE(C1027, ""en"", ""pt-br"")"),"Tentei roupas de lã e realmente funcionou. Realmente um produto útil, mas apenas a razão pela qual estou dando 4 estrelas é por causa do comprimento do fio curto. O comprimento do fio deve ser um pouco mais tempo, mais um produto incrível., Fácil para a U"&amp;"setime, mas a roupa limpa, https: //m.media-amazon.com/images/i/81qega-fo1l._sy88.jpg, bom para essa faixa de preço, mas não Claro sobre durabilidade, mas o produto é bom, é muito bem o trabalho, deu uma nova vida às minhas roupas. Eu só tenho uma única r"&amp;"eclamação e isso é sobre sua tampa ou recipiente de coletor de poeira, é um pouco solto por causa disso às vezes todas as partículas de poeira e lã se espalham por toda parte., Fácil de usar .. Eu gosto deste produto, todos os meus problemas de roupa são "&amp;"resolvidos., bom produto, eu realmente gosto de fiapos facilmente limpos 👍, mas o Caps estava pouco solto, é um produto decente e muito fácil de manusear. Não tenho certeza da durabilidade, pois faz mais de uma semana. Atualizará a revisão após alguns me"&amp;"ses.")</f>
        <v>Tentei roupas de lã e realmente funcionou. Realmente um produto útil, mas apenas a razão pela qual estou dando 4 estrelas é por causa do comprimento do fio curto. O comprimento do fio deve ser um pouco mais tempo, mais um produto incrível., Fácil para a Usetime, mas a roupa limpa, https: //m.media-amazon.com/images/i/81qega-fo1l._sy88.jpg, bom para essa faixa de preço, mas não Claro sobre durabilidade, mas o produto é bom, é muito bem o trabalho, deu uma nova vida às minhas roupas. Eu só tenho uma única reclamação e isso é sobre sua tampa ou recipiente de coletor de poeira, é um pouco solto por causa disso às vezes todas as partículas de poeira e lã se espalham por toda parte., Fácil de usar .. Eu gosto deste produto, todos os meus problemas de roupa são resolvidos., bom produto, eu realmente gosto de fiapos facilmente limpos 👍, mas o Caps estava pouco solto, é um produto decente e muito fácil de manusear. Não tenho certeza da durabilidade, pois faz mais de uma semana. Atualizará a revisão após alguns meses.</v>
      </c>
    </row>
    <row r="1028">
      <c r="A1028" s="9" t="s">
        <v>4066</v>
      </c>
      <c r="B1028" s="29" t="str">
        <f>VLOOKUP(dados!A1028, reviews!A:G, 5, FALSE)</f>
        <v>Value for money and accurate,Nice,Very reasonable price, product was nice,Good,Nice product.. Value for spending,Light weight,Super,JUST WOW 🤩🥳</v>
      </c>
      <c r="C1028" s="29" t="str">
        <f>VLOOKUP(dados!A1028, reviews!A:G, 6, FALSE)</f>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v>
      </c>
      <c r="D1028" s="29" t="str">
        <f>IFERROR(__xludf.DUMMYFUNCTION("GOOGLETRANSLATE(B1028, ""en"", ""pt-br"")"),"Valor pelo dinheiro e preço preciso, agradável, muito razoável, produto foi bom, bom, bom produto .. valor para gastar, leve peso, super, apenas uau 🤩🥳")</f>
        <v>Valor pelo dinheiro e preço preciso, agradável, muito razoável, produto foi bom, bom, bom produto .. valor para gastar, leve peso, super, apenas uau 🤩🥳</v>
      </c>
      <c r="E1028" s="29" t="str">
        <f>IFERROR(__xludf.DUMMYFUNCTION("GOOGLETRANSLATE(C1028, ""en"", ""pt-br"")"),"É realmente um bom produto, mostra um peso preciso apenas por 1-2 erros de grama. Às vezes, você pode obter um produto menos preciso, então você pode devolvê -lo e reordenar, mas a esse preço é melhor., Bom, bom nesse preço e Iam satisfeitos, trabalhando "&amp;"bem, uma parte essencial da cozinha e do equipamento útil. Bom produto. Revisado após um mês usado por dois tempo .., bom uso na cozinha e outros, para pequeno peso é muito bom, vá em frente,")</f>
        <v>É realmente um bom produto, mostra um peso preciso apenas por 1-2 erros de grama. Às vezes, você pode obter um produto menos preciso, então você pode devolvê -lo e reordenar, mas a esse preço é melhor., Bom, bom nesse preço e Iam satisfeitos, trabalhando bem, uma parte essencial da cozinha e do equipamento útil. Bom produto. Revisado após um mês usado por dois tempo .., bom uso na cozinha e outros, para pequeno peso é muito bom, vá em frente,</v>
      </c>
    </row>
    <row r="1029">
      <c r="A1029" s="9" t="s">
        <v>4072</v>
      </c>
      <c r="B1029" s="29" t="str">
        <f>VLOOKUP(dados!A1029, reviews!A:G, 5, FALSE)</f>
        <v>If it had charching support.,Worth product,Cost effective,Good,Good for the price,Accurate,You can use it for everyday purposes,Good</v>
      </c>
      <c r="C1029" s="29" t="str">
        <f>VLOOKUP(dados!A1029, reviews!A:G, 6, FALSE)</f>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v>
      </c>
      <c r="D1029" s="29" t="str">
        <f>IFERROR(__xludf.DUMMYFUNCTION("GOOGLETRANSLATE(B1029, ""en"", ""pt-br"")"),"Se tivesse suporte de cargo.")</f>
        <v>Se tivesse suporte de cargo.</v>
      </c>
      <c r="E1029" s="29" t="str">
        <f>IFERROR(__xludf.DUMMYFUNCTION("GOOGLETRANSLATE(C1029, ""en"", ""pt-br"")"),"Tudo bem, mas as células morrem dentro de alguns meses., Produto Worth, econâmico, o produto é bom., Não 100% preciso, mas bom de usar pelo preço, atende à compra de propósito., A máquina parece a mesma e funciona perfeitamente . Eu tive que devolver a pr"&amp;"imeira entrega devido à falha na tampa da bateria e eles a substituíram dentro de alguns dias. A precisão está um pouco desligada, então peso os itens repetidamente e uso o resultado da maioria., Como")</f>
        <v>Tudo bem, mas as células morrem dentro de alguns meses., Produto Worth, econâmico, o produto é bom., Não 100% preciso, mas bom de usar pelo preço, atende à compra de propósito., A máquina parece a mesma e funciona perfeitamente . Eu tive que devolver a primeira entrega devido à falha na tampa da bateria e eles a substituíram dentro de alguns dias. A precisão está um pouco desligada, então peso os itens repetidamente e uso o resultado da maioria., Como</v>
      </c>
    </row>
    <row r="1030">
      <c r="A1030" s="9" t="s">
        <v>4076</v>
      </c>
      <c r="B1030" s="29" t="str">
        <f>VLOOKUP(dados!A1030, reviews!A:G, 5, FALSE)</f>
        <v>Nice chopper,Small easy use n clean,Not good,Good,Good,Probably the best purchase for my mom!,String issues,Good product.</v>
      </c>
      <c r="C1030" s="29" t="str">
        <f>VLOOKUP(dados!A1030, reviews!A:G, 6, FALSE)</f>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v>
      </c>
      <c r="D1030" s="29" t="str">
        <f>IFERROR(__xludf.DUMMYFUNCTION("GOOGLETRANSLATE(B1030, ""en"", ""pt-br"")"),"Chopper bonito, pequeno e fácil de usar n limpo, não bom, bom, bom, provavelmente a melhor compra para minha mãe!, Problemas de cordas, bom produto.")</f>
        <v>Chopper bonito, pequeno e fácil de usar n limpo, não bom, bom, bom, provavelmente a melhor compra para minha mãe!, Problemas de cordas, bom produto.</v>
      </c>
      <c r="E1030" s="29" t="str">
        <f>IFERROR(__xludf.DUMMYFUNCTION("GOOGLETRANSLATE(C1030, ""en"", ""pt-br"")"),"O 1º produto veio com defeito o substituiu, a substituição ainda está funcionando tão bem quanto novo depois de alguns meses, recomendada, pois parece que uma vez que você obtém um produto adequado, é duradouro, faça com que o seu com defeito seja substit"&amp;"uído se você o receber. Adoro isso para fácil usar e limpar muito útil quando você quiser cortar um tomate suculento ou vegeta , O produto era bom de usar para cortar, especialmente para frequentadores de escritório como eu ... mas o único problema que eu"&amp;" enfrento foi a corda ficará preso quando for parado às vezes ... esse é o problema que eu enfrento ... mas um ótimo produto, embora ,Bom produto.")</f>
        <v>O 1º produto veio com defeito o substituiu, a substituição ainda está funcionando tão bem quanto novo depois de alguns meses, recomendada, pois parece que uma vez que você obtém um produto adequado, é duradouro, faça com que o seu com defeito seja substituído se você o receber. Adoro isso para fácil usar e limpar muito útil quando você quiser cortar um tomate suculento ou vegeta , O produto era bom de usar para cortar, especialmente para frequentadores de escritório como eu ... mas o único problema que eu enfrento foi a corda ficará preso quando for parado às vezes ... esse é o problema que eu enfrento ... mas um ótimo produto, embora ,Bom produto.</v>
      </c>
    </row>
    <row r="1031">
      <c r="A1031" s="9" t="s">
        <v>4085</v>
      </c>
      <c r="B1031" s="29" t="str">
        <f>VLOOKUP(dados!A1031, reviews!A:G, 5, FALSE)</f>
        <v>Good Product Worst Delivery,Overall is ok but outer steel kafi hot 🔥 ho jata he,jo kids k liye kafi harmful he,Nice product,Lovely Product, but filtering holes are big for Ants to get in,Don't buy prestige water kettle product,best product,Medium,Heats up on handle and sides.</v>
      </c>
      <c r="C1031" s="29" t="str">
        <f>VLOOKUP(dados!A1031, reviews!A:G, 6, FALSE)</f>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 after full charged,Only disappointed with the cord length.,Lovely ProductSturdyNice colorIssue is, if your house has 🐜...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v>
      </c>
      <c r="D1031" s="29" t="str">
        <f>IFERROR(__xludf.DUMMYFUNCTION("GOOGLETRANSLATE(B1031, ""en"", ""pt-br"")"),"Bom produto, pior entrega, no geral está ok, mas o aço externo kafi quente 🔥 ho jata ele, jo crianças k liye kafi prejudicial ele, bom produto, produto adorável, mas os orifícios de filtragem são grandes para as formigas entrarem, não compre chaleira de "&amp;"prestígio Produto, melhor produto, médio, aquece na alça e nas laterais.")</f>
        <v>Bom produto, pior entrega, no geral está ok, mas o aço externo kafi quente 🔥 ho jata ele, jo crianças k liye kafi prejudicial ele, bom produto, produto adorável, mas os orifícios de filtragem são grandes para as formigas entrarem, não compre chaleira de prestígio Produto, melhor produto, médio, aquece na alça e nas laterais.</v>
      </c>
      <c r="E1031" s="29" t="str">
        <f>IFERROR(__xludf.DUMMYFUNCTION("GOOGLETRANSLATE(C1031, ""en"", ""pt-br"")"),"O 1º produto que recebi foi danificado, então solicito substituição e sua dor atingida após 5 dias de acompanhamento contínuo que meu produto foi substituído. Os caras da entrega da Amazon são muito rudes hoje em dia ... e não admira que o atendimento ao "&amp;"cliente dê a resposta genérica do POP .. mas de qualquer maneira o produto foi entregue e é bom ... mas pareça que a cor e a qualidade caras são médias. Eu gosto deste produto Mas eu não gosto de aço externo faz muito quente 🔥 depois de carregado cheio, "&amp;"apenas decepcionado com o comprimento do cordão., Adorável ColordSturdyNice é, se sua casa tiver 🐜 ... os orifícios de filtragem de água são grandes o suficiente. Tenho que dispensar a água restante todos os dias e lavar a panela, antes de aquecer., Em t"&amp;"rês meses, ele para de funcionar e o centro de serviço quase perto de Pune, por isso fico muito frustrado por este produto. Serviço ruim por prestígio, então nunca vá para este produto., Produto muito bom, tipo médio, a fibra ou a alça de plástico fica qu"&amp;"ente, o mesmo acontece com o corpo externo. Difícil de manusear imediatamente após o aquecimento. É fácil de limpar. O comprimento do cordão é média, mas o suficiente para manter a chaleira a 4 m de altura acima do solo, quando mantido verticalmente alinh"&amp;"ado com o interruptor elétrico.")</f>
        <v>O 1º produto que recebi foi danificado, então solicito substituição e sua dor atingida após 5 dias de acompanhamento contínuo que meu produto foi substituído. Os caras da entrega da Amazon são muito rudes hoje em dia ... e não admira que o atendimento ao cliente dê a resposta genérica do POP .. mas de qualquer maneira o produto foi entregue e é bom ... mas pareça que a cor e a qualidade caras são médias. Eu gosto deste produto Mas eu não gosto de aço externo faz muito quente 🔥 depois de carregado cheio, apenas decepcionado com o comprimento do cordão., Adorável ColordSturdyNice é, se sua casa tiver 🐜 ... os orifícios de filtragem de água são grandes o suficiente. Tenho que dispensar a água restante todos os dias e lavar a panela, antes de aquecer., Em três meses, ele para de funcionar e o centro de serviço quase perto de Pune, por isso fico muito frustrado por este produto. Serviço ruim por prestígio, então nunca vá para este produto., Produto muito bom, tipo médio, a fibra ou a alça de plástico fica quente, o mesmo acontece com o corpo externo. Difícil de manusear imediatamente após o aquecimento. É fácil de limpar. O comprimento do cordão é média, mas o suficiente para manter a chaleira a 4 m de altura acima do solo, quando mantido verticalmente alinhado com o interruptor elétrico.</v>
      </c>
    </row>
    <row r="1032">
      <c r="A1032" s="9" t="s">
        <v>4089</v>
      </c>
      <c r="B1032" s="29" t="str">
        <f>VLOOKUP(dados!A1032, reviews!A:G, 5, FALSE)</f>
        <v>Quality is fine,Good,Minimum electricity maximum heat.,Light weight portable and easy to operate,Nice product,Don't buy it,Value for Money,It's average product</v>
      </c>
      <c r="C1032" s="29" t="str">
        <f>VLOOKUP(dados!A1032, reviews!A:G, 6, FALSE)</f>
        <v>Normal heat by this product.,Good,Quit good,https://m.media-amazon.com/images/I/61s-GPKkkZL._SY88.jpg,,Don't buy it because 10-11 day it will work well after that it start heating more and more ,it is plastik body,Value for Money,heating is normal</v>
      </c>
      <c r="D1032" s="29" t="str">
        <f>IFERROR(__xludf.DUMMYFUNCTION("GOOGLETRANSLATE(B1032, ""en"", ""pt-br"")"),"A qualidade é boa, boa, mínima de eletricidade")</f>
        <v>A qualidade é boa, boa, mínima de eletricidade</v>
      </c>
      <c r="E1032" s="29" t="str">
        <f>IFERROR(__xludf.DUMMYFUNCTION("GOOGLETRANSLATE(C1032, ""en"", ""pt-br"")"),"Calor normal por este produto., Bom, pare bem, https: //m.media-amazon.com/images/i/61s-gpkkkzl._sy88.jpg., não compre porque 10-11 dias funcionará Bem, depois disso, começa a aquecer cada vez mais, é o corpo plastik, valor ao dinheiro, aquecimento é norm"&amp;"al")</f>
        <v>Calor normal por este produto., Bom, pare bem, https: //m.media-amazon.com/images/i/61s-gpkkkzl._sy88.jpg., não compre porque 10-11 dias funcionará Bem, depois disso, começa a aquecer cada vez mais, é o corpo plastik, valor ao dinheiro, aquecimento é normal</v>
      </c>
    </row>
    <row r="1033">
      <c r="A1033" s="9" t="s">
        <v>4093</v>
      </c>
      <c r="B1033" s="29" t="str">
        <f>VLOOKUP(dados!A1033, reviews!A:G, 5, FALSE)</f>
        <v>Very nice,Good product,Packaging,Good , quick hot water suite,Good product,A plus kettle,It’s ok,Good product 👍🏼</v>
      </c>
      <c r="C1033" s="29" t="str">
        <f>VLOOKUP(dados!A1033, reviews!A:G, 6, FALSE)</f>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v>
      </c>
      <c r="D1033" s="29" t="str">
        <f>IFERROR(__xludf.DUMMYFUNCTION("GOOGLETRANSLATE(B1033, ""en"", ""pt-br"")"),"Muito bom, bom produto, embalagem, boa, suíte de água quente rápida, bom produto, uma chaleira, tudo bem, bom produto 👍🏼")</f>
        <v>Muito bom, bom produto, embalagem, boa, suíte de água quente rápida, bom produto, uma chaleira, tudo bem, bom produto 👍🏼</v>
      </c>
      <c r="E1033" s="29" t="str">
        <f>IFERROR(__xludf.DUMMYFUNCTION("GOOGLETRANSLATE(C1033, ""en"", ""pt-br"")"),"Bom produto, trabalhando bem. A água está fervendo dentro de 2 min. O acabamento em aço é normal e não é brilhante., O produto está funcionando bem por enquanto, mas vamos o que vai acontecer. E sim, a embalagem poderia ter se saído melhor :), bom, mais a"&amp;"dequado para o inverno., bom produto, revisão após alguns meses de uso. Ainda não há problema. Boa qualidade .. preço valor")</f>
        <v>Bom produto, trabalhando bem. A água está fervendo dentro de 2 min. O acabamento em aço é normal e não é brilhante., O produto está funcionando bem por enquanto, mas vamos o que vai acontecer. E sim, a embalagem poderia ter se saído melhor :), bom, mais adequado para o inverno., bom produto, revisão após alguns meses de uso. Ainda não há problema. Boa qualidade .. preço valor</v>
      </c>
    </row>
    <row r="1034">
      <c r="A1034" s="9" t="s">
        <v>4097</v>
      </c>
      <c r="B1034" s="29" t="str">
        <f>VLOOKUP(dados!A1034, reviews!A:G, 5, FALSE)</f>
        <v>It helps to know about what it can and can't do while purchasing.,Good but slightly slow,Product good but its take long time to cooldown,लाजवाब हे,Good,Value for Money,Piegon induction stove,Good</v>
      </c>
      <c r="C1034" s="29" t="str">
        <f>VLOOKUP(dados!A1034, reviews!A:G, 6, FALSE)</f>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cooldown,कमाल का प्रॉडक्ट हे,Good,Value for Money,Good product.easy to operate,Value for money..</v>
      </c>
      <c r="D1034" s="29" t="str">
        <f>IFERROR(__xludf.DUMMYFUNCTION("GOOGLETRANSLATE(B1034, ""en"", ""pt-br"")"),"Ajuda a saber sobre o que pode e não pode fazer durante a compra., Bom, mas um pouco lento, produto bom, mas leva muito tempo para recarregar, लाजवाब हे, bom, valor de dinheiro, fogão de indução de piegon, bom")</f>
        <v>Ajuda a saber sobre o que pode e não pode fazer durante a compra., Bom, mas um pouco lento, produto bom, mas leva muito tempo para recarregar, लाजवाब हे, bom, valor de dinheiro, fogão de indução de piegon, bom</v>
      </c>
      <c r="E1034" s="29" t="str">
        <f>IFERROR(__xludf.DUMMYFUNCTION("GOOGLETRANSLATE(C1034, ""en"", ""pt-br"")"),"Se você estiver comprando isso como um aparelho de cozinha secundário ou precisar de um fogão portátil, opte por isso. Além disso, compre utensílios compatíveis com indução fina. Demora muito tempo para que os navios grossos aqueçam antes que você possa c"&amp;"omeçar a cozinhar. Como um aparelho de cozimento primário, isso não se adequa, pois é muito demorado. Pode ser usado para manter as coisas quentes ou lentamente, o leite em fervura etc. também precisava solicitar um reparo de garantia. O pedido foi atendi"&amp;"do dentro de 2 dias. As informações de contato estão presentes no cartão de garantia., Acabei de receber. Embora o produto pareça novo, há poucos arranhões aqui e ali, me deixando descontente, emparecida com seu desempenho com outro top de indução que eu "&amp;"tenho (com a mesma quantidade de água na mesma temperatura no mesmo navio). Sadly This Cook Top é um pouco Lento para ferver em comparação com o antigo. Mas, acho que está tudo bem, porque o antigo que eu tenho é Rs. 1000 a mais que este., Produto bom, ma"&amp;"s leva muito tempo para recarregar, कमाल का प्रॉडक्ट हे, bom, valor pelo dinheiro, bom produto.")</f>
        <v>Se você estiver comprando isso como um aparelho de cozinha secundário ou precisar de um fogão portátil, opte por isso. Além disso, compre utensílios compatíveis com indução fina. Demora muito tempo para que os navios grossos aqueçam antes que você possa começar a cozinhar. Como um aparelho de cozimento primário, isso não se adequa, pois é muito demorado. Pode ser usado para manter as coisas quentes ou lentamente, o leite em fervura etc. também precisava solicitar um reparo de garantia. O pedido foi atendido dentro de 2 dias. As informações de contato estão presentes no cartão de garantia., Acabei de receber. Embora o produto pareça novo, há poucos arranhões aqui e ali, me deixando descontente, emparecida com seu desempenho com outro top de indução que eu tenho (com a mesma quantidade de água na mesma temperatura no mesmo navio). Sadly This Cook Top é um pouco Lento para ferver em comparação com o antigo. Mas, acho que está tudo bem, porque o antigo que eu tenho é Rs. 1000 a mais que este., Produto bom, mas leva muito tempo para recarregar, कमाल का प्रॉडक्ट हे, bom, valor pelo dinheiro, bom produto.</v>
      </c>
    </row>
    <row r="1035">
      <c r="A1035" s="9" t="s">
        <v>4103</v>
      </c>
      <c r="B1035" s="29" t="str">
        <f>VLOOKUP(dados!A1035, reviews!A:G, 5, FALSE)</f>
        <v>Recommended but not Best,Good,Good product but due to glass lid take care with children,Not 🚫 suitable to boil milk and eggs,It is a nice product,Not worthy of investing,Not good. prestige brand name only,Its difficult to clean and and also from handle leakage takaes place.</v>
      </c>
      <c r="C1035" s="29" t="str">
        <f>VLOOKUP(dados!A1035, reviews!A:G, 6, FALSE)</f>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v>
      </c>
      <c r="D1035" s="29" t="str">
        <f>IFERROR(__xludf.DUMMYFUNCTION("GOOGLETRANSLATE(B1035, ""en"", ""pt-br"")"),"Recomendado, mas não o melhor, bom e bom produto, mas devido à tampa de vidro, cuide de crianças, não é adequado para ferver leite e ovos, é um produto agradável, não digno de investir, não bom. Apenas o nome da marca Prestige, é difícil de limpar e també"&amp;"m de manusear vazamento Takaes Place.")</f>
        <v>Recomendado, mas não o melhor, bom e bom produto, mas devido à tampa de vidro, cuide de crianças, não é adequado para ferver leite e ovos, é um produto agradável, não digno de investir, não bom. Apenas o nome da marca Prestige, é difícil de limpar e também de manusear vazamento Takaes Place.</v>
      </c>
      <c r="E1035" s="29" t="str">
        <f>IFERROR(__xludf.DUMMYFUNCTION("GOOGLETRANSLATE(C1035, ""en"", ""pt-br"")"),"Esta revisão é após o uso de 6 meses do Kettel. O produto é bom se você precisar aquecer a água, não o leite. Inicialmente, não houve problema no corte automático, mas na semana passada ele parou de funcionar. Além disso, nessa faixa de preço, direi que s"&amp;"im para isso., Muito útil. Minhas necessidades são atendidas. Obrigado., Bom produto, o produto parece bom, mas o leite fervente nesta chaleira queima a base da chaleira, ele fica preto e marrom, e os ovos não são fervidos em uma única partida., Bom produ"&amp;"to, após 2 meses de uso , alguns problemas surgiram. Quando chegar ao ponto de ebulição, ele deve desligar automaticamente, mas continua borbulhando até que seja desligado manualmente. Em seguida, os vapores de água e o calor podem ser sentidos através da"&amp;" chaleira On/Off, que eu acredito ser perigosa. Pedimos que esse prestígio confiante fosse de alta qualidade, mas não satisfaz o propósito., Depois de usar apenas um mês de chaleira, o interruptor não está funcionando e a luz vermelha também não está func"&amp;"ionando. Algumas vezes o tempo de ebulição é muito rápido e Algumas vezes muito lentas., Este gato funciona bem, mas difícil de limpar.")</f>
        <v>Esta revisão é após o uso de 6 meses do Kettel. O produto é bom se você precisar aquecer a água, não o leite. Inicialmente, não houve problema no corte automático, mas na semana passada ele parou de funcionar. Além disso, nessa faixa de preço, direi que sim para isso., Muito útil. Minhas necessidades são atendidas. Obrigado., Bom produto, o produto parece bom, mas o leite fervente nesta chaleira queima a base da chaleira, ele fica preto e marrom, e os ovos não são fervidos em uma única partida., Bom produto, após 2 meses de uso , alguns problemas surgiram. Quando chegar ao ponto de ebulição, ele deve desligar automaticamente, mas continua borbulhando até que seja desligado manualmente. Em seguida, os vapores de água e o calor podem ser sentidos através da chaleira On/Off, que eu acredito ser perigosa. Pedimos que esse prestígio confiante fosse de alta qualidade, mas não satisfaz o propósito., Depois de usar apenas um mês de chaleira, o interruptor não está funcionando e a luz vermelha também não está funcionando. Algumas vezes o tempo de ebulição é muito rápido e Algumas vezes muito lentas., Este gato funciona bem, mas difícil de limpar.</v>
      </c>
    </row>
    <row r="1036">
      <c r="A1036" s="9" t="s">
        <v>4107</v>
      </c>
      <c r="B1036" s="29" t="str">
        <f>VLOOKUP(dados!A1036, reviews!A:G, 5, FALSE)</f>
        <v>Serves the Purpose,GOOD TO USE but price is high,Does the job well,Go for it.,Good product,Very good product and life saver in winters,Easy to use,Solve the problem of lint on woollen fabrics</v>
      </c>
      <c r="C1036" s="29" t="str">
        <f>VLOOKUP(dados!A1036, reviews!A:G, 6, FALSE)</f>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v>
      </c>
      <c r="D1036" s="29" t="str">
        <f>IFERROR(__xludf.DUMMYFUNCTION("GOOGLETRANSLATE(B1036, ""en"", ""pt-br"")"),"Serve o objetivo, bom de usar, mas o preço é alto, faz bem o trabalho, vá em frente., Bom produto, muito bom produto e salva")</f>
        <v>Serve o objetivo, bom de usar, mas o preço é alto, faz bem o trabalho, vá em frente., Bom produto, muito bom produto e salva</v>
      </c>
      <c r="E1036" s="29" t="str">
        <f>IFERROR(__xludf.DUMMYFUNCTION("GOOGLETRANSLATE(C1036, ""en"", ""pt-br"")"),"O removedor de fiapos remove o fiapo :). Não é um truque, mas uma máquina de trabalho real. Dá uma nova vida às roupas de inverno que não tinham utilidade devido a fiapos pesados ​​ao redor. Usando esta pequena máquina, você pode remover fiapos e ver a di"&amp;"ferença. Usei isso em 2-3 roupas e estou muito feliz com o resultado. Deixe -me descrever os prós e contras: Prós: 1. Muito fácil de usar2. Remove qualquer tipo de lint3. Ele também remove fiapos que não são visíveis, ou seja, da mesma cor, que dá uma apa"&amp;"rência difícil para o pano, fazendo com que pareça mais velho. Então suas roupas se parecem um pouco com as novas. O fiapo é coletado em um recipiente fácil de limpar os CleanCons: 1. O processo é muito lento. você precisa mover a máquina na superfície do"&amp;" pano várias vezes. A qualidade da construção é plástica como brinquedos baratos. pode quebrar se cair em uma superfície dura. O comprimento do cabo é muito pequeno. O plugue sai do soquete facilmente. Você precisa sentar -se muito perto do soquete, torna"&amp;"ndo um pouco difícil de usar às vezes. O colecionador de fiat com muita frequência5. as lâminas do rotor fazem um barulho estranho como se fossem quebrar. O maior problema é que você precisa sentar-se por períodos prolongados para tornar suas roupas livre"&amp;"s de fiapos, o que tenta mal o pescoço e se você está sofrendo de cervical, esqueça-o. Você o usará uma vez e nunca mais o tocará. No entanto, você pode fazer um arranjo para pendurar as roupas em um cabide de parede e remover fiapos mantendo o pescoço re"&amp;"to. Além disso, é um bom produto e pode ser tentado. Depois de que o produto é bom no geral, funcionando bem, mas o vendedor deve Embale com mais cuidado ao receber a parte superior destacável em uma condição quebrada, pois não é substituível, torna mais "&amp;"difícil para o cliente, mas, chegando à parte de trabalho, a qualidade do produto é boa, Wotks FINA e remove tudo facilmente. Produto para o inverno., usei um produto semelhante mais cedo, mas este funciona melhor e o tamanho também é muito eficaz, o uso "&amp;"é muito ergonômico e, como eu disse, faz bem o trabalho. Venha com um pequeno pincel para fazer o resíduo Samll no tecido. Recomendaria comprar isso. Entrega e embalagem também foram boas., Fácil de limpar fácil de usar. Faz o trabalho. Recebeu o produto "&amp;"rápido e em perfeitas condições. Há um folheto dentro da garantia promissora de 6 meses. Se ele estabelece que é o produto perfeito para esse preço., Este é o produto que limpa todo o fiapo das minhas roupas de lã, mas possui uma área de loja de 1 tipo é "&amp;"muito menor e pequena, ele tem problemas para limpar a área da loja e o produto é muito bom, Isso é muito bom. Life Save in Winters para remover fiapos do seu caro desgaste no inverno. Eu o usei em uma área pesada de fiapos no meu desgaste interior e ele "&amp;"realmente removeu os fiapos e agora posso usar meu interior novamente. O produto é tão satisfatório e fácil de usar que uma criança pode remover fiapos de suas roupas. O produto geral é satisfatório, espere o compartimento onde fiapo é consolidado, ele se"&amp;" solta em todos")</f>
        <v>O removedor de fiapos remove o fiapo :). Não é um truque, mas uma máquina de trabalho real. Dá uma nova vida às roupas de inverno que não tinham utilidade devido a fiapos pesados ​​ao redor. Usando esta pequena máquina, você pode remover fiapos e ver a diferença. Usei isso em 2-3 roupas e estou muito feliz com o resultado. Deixe -me descrever os prós e contras: Prós: 1. Muito fácil de usar2. Remove qualquer tipo de lint3. Ele também remove fiapos que não são visíveis, ou seja, da mesma cor, que dá uma aparência difícil para o pano, fazendo com que pareça mais velho. Então suas roupas se parecem um pouco com as novas. O fiapo é coletado em um recipiente fácil de limpar os CleanCons: 1. O processo é muito lento. você precisa mover a máquina na superfície do pano várias vezes. A qualidade da construção é plástica como brinquedos baratos. pode quebrar se cair em uma superfície dura. O comprimento do cabo é muito pequeno. O plugue sai do soquete facilmente. Você precisa sentar -se muito perto do soquete, tornando um pouco difícil de usar às vezes. O colecionador de fiat com muita frequência5. as lâminas do rotor fazem um barulho estranho como se fossem quebrar. O maior problema é que você precisa sentar-se por períodos prolongados para tornar suas roupas livres de fiapos, o que tenta mal o pescoço e se você está sofrendo de cervical, esqueça-o. Você o usará uma vez e nunca mais o tocará. No entanto, você pode fazer um arranjo para pendurar as roupas em um cabide de parede e remover fiapos mantendo o pescoço reto. Além disso, é um bom produto e pode ser tentado. Depois de que o produto é bom no geral, funcionando bem, mas o vendedor deve Embale com mais cuidado ao receber a parte superior destacável em uma condição quebrada, pois não é substituível, torna mais difícil para o cliente, mas, chegando à parte de trabalho, a qualidade do produto é boa, Wotks FINA e remove tudo facilmente. Produto para o inverno., usei um produto semelhante mais cedo, mas este funciona melhor e o tamanho também é muito eficaz, o uso é muito ergonômico e, como eu disse, faz bem o trabalho. Venha com um pequeno pincel para fazer o resíduo Samll no tecido. Recomendaria comprar isso. Entrega e embalagem também foram boas., Fácil de limpar fácil de usar. Faz o trabalho. Recebeu o produto rápido e em perfeitas condições. Há um folheto dentro da garantia promissora de 6 meses. Se ele estabelece que é o produto perfeito para esse preço., Este é o produto que limpa todo o fiapo das minhas roupas de lã, mas possui uma área de loja de 1 tipo é muito menor e pequena, ele tem problemas para limpar a área da loja e o produto é muito bom, Isso é muito bom. Life Save in Winters para remover fiapos do seu caro desgaste no inverno. Eu o usei em uma área pesada de fiapos no meu desgaste interior e ele realmente removeu os fiapos e agora posso usar meu interior novamente. O produto é tão satisfatório e fácil de usar que uma criança pode remover fiapos de suas roupas. O produto geral é satisfatório, espere o compartimento onde fiapo é consolidado, ele se solta em todos</v>
      </c>
    </row>
    <row r="1037">
      <c r="A1037" s="9" t="s">
        <v>4111</v>
      </c>
      <c r="B1037" s="29" t="str">
        <f>VLOOKUP(dados!A1037, reviews!A:G, 5, FALSE)</f>
        <v>Best in this range,Product is gud but shipped damaged product but new 1 is gud,Good but should be more better from company,Average product,Does it's job well,Good product,Working this product very smoothly.,Very good much 🙏🙏</v>
      </c>
      <c r="C1037" s="29" t="str">
        <f>VLOOKUP(dados!A1037, reviews!A:G, 6, FALSE)</f>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v>
      </c>
      <c r="D1037" s="29" t="str">
        <f>IFERROR(__xludf.DUMMYFUNCTION("GOOGLETRANSLATE(B1037, ""en"", ""pt-br"")"),"Melhor nesse intervalo, o produto é o Gud, mas o produto danificado enviado, mas o novo 1 é o Gud, bom, mas deve ser mais melhor da empresa, o produto médio, é bem o trabalho, bom produto, trabalhando este produto com muita suave., Muito bom 🙏🙏 🙏🙏")</f>
        <v>Melhor nesse intervalo, o produto é o Gud, mas o produto danificado enviado, mas o novo 1 é o Gud, bom, mas deve ser mais melhor da empresa, o produto médio, é bem o trabalho, bom produto, trabalhando este produto com muita suave., Muito bom 🙏🙏 🙏🙏</v>
      </c>
      <c r="E1037" s="29" t="str">
        <f>IFERROR(__xludf.DUMMYFUNCTION("GOOGLETRANSLATE(C1037, ""en"", ""pt-br"")"),"Este é o melhor aquecedor nesse intervalo. Somente você precisa de um soquete de 16amp para usar isso. O produto é GUD para usar n fácil de manusear, mas foi danificado da articulação, pois parece que foi aberto e/ou reparado, também não está no invólucro"&amp;" de plástico na caixa da empresa. .Yestayday, isto é, no dia seguinte, em 28.12.22, recebi o produto substituído por D Seller n, estava bem nítido n funcionando muito bem .. então revisei a classificação anterior de 3 estrelas a 5 estrelas ... 👍, incríve"&amp;"l Produto, mas a embalagem foi pior, muito decepcionada com a Amazon, a caixa estava quebrada e alguns arranhões também, isso é suficiente para uso de uma sala, especialmente para o bebê no inverno, é muito bom em aquecer a sala. Valor de dinheiro., Produ"&amp;"to de Deus, usei este produto desde janeiro de 2022 e agora este dispositivo funcionando sem problemas e muito fácil., Lu")</f>
        <v>Este é o melhor aquecedor nesse intervalo. Somente você precisa de um soquete de 16amp para usar isso. O produto é GUD para usar n fácil de manusear, mas foi danificado da articulação, pois parece que foi aberto e/ou reparado, também não está no invólucro de plástico na caixa da empresa. .Yestayday, isto é, no dia seguinte, em 28.12.22, recebi o produto substituído por D Seller n, estava bem nítido n funcionando muito bem .. então revisei a classificação anterior de 3 estrelas a 5 estrelas ... 👍, incrível Produto, mas a embalagem foi pior, muito decepcionada com a Amazon, a caixa estava quebrada e alguns arranhões também, isso é suficiente para uso de uma sala, especialmente para o bebê no inverno, é muito bom em aquecer a sala. Valor de dinheiro., Produto de Deus, usei este produto desde janeiro de 2022 e agora este dispositivo funcionando sem problemas e muito fácil., Lu</v>
      </c>
    </row>
    <row r="1038">
      <c r="A1038" s="9" t="s">
        <v>4115</v>
      </c>
      <c r="B1038" s="29" t="str">
        <f>VLOOKUP(dados!A1038, reviews!A:G, 5, FALSE)</f>
        <v>Working ok, but shape is not that good,Doesn’t froth and creates a mess,Very low power,Product is not working smoothly...after very hard press the button then it works.,Ok ok,Finally!,It would be nice if you give batteries along with product in this price. Thanks,Good</v>
      </c>
      <c r="C1038" s="29" t="str">
        <f>VLOOKUP(dados!A1038, reviews!A:G, 6, FALSE)</f>
        <v>It works as expected, but the shape of the handle is not very comfortable. It is not feeling very handy to hold the device and press the button at the same time, sometimes the battery  door opens while using it.,It’s easy to use but creates a mess when I try to make coffee froth. Doesn’t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v>
      </c>
      <c r="D1038" s="29" t="str">
        <f>IFERROR(__xludf.DUMMYFUNCTION("GOOGLETRANSLATE(B1038, ""en"", ""pt-br"")"),"Funcionando bem, mas a forma não é tão boa, não faz espuma e cria uma bagunça, energia muito baixa, o produto não está funcionando sem problemas ... depois de muito pressionar o botão, então ele funciona., OK, finalmente!, Seja bom se você der baters junt"&amp;"o com o produto neste preço. Obrigado, bom")</f>
        <v>Funcionando bem, mas a forma não é tão boa, não faz espuma e cria uma bagunça, energia muito baixa, o produto não está funcionando sem problemas ... depois de muito pressionar o botão, então ele funciona., OK, finalmente!, Seja bom se você der baters junto com o produto neste preço. Obrigado, bom</v>
      </c>
      <c r="E1038" s="29" t="str">
        <f>IFERROR(__xludf.DUMMYFUNCTION("GOOGLETRANSLATE(C1038, ""en"", ""pt-br"")"),"Funciona como esperado, mas a forma da alça não é muito confortável. Não está se sentindo muito útil para segurar o dispositivo e pressionar o botão ao mesmo tempo, às vezes a porta da bateria se abre enquanto o usa., É fácil de usar, mas cria uma bagunça"&amp;" quando tento fazer espuma de café. Também não forma espuma. Executa apenas sob líquido., O canto para de girar em líquido até um pouco denso., O produto não está funcionando sem problemas ... depois de muito pressionar o botão, então ele funciona., Fácil"&amp;" de usar e bom produto. Mas o creme preso nele às vezes, finalmente pode fazer café espumoso Dalgona sem perder meu braço lol vale a pena! O café saiu muito bem e tão fácil de usar ,, bom")</f>
        <v>Funciona como esperado, mas a forma da alça não é muito confortável. Não está se sentindo muito útil para segurar o dispositivo e pressionar o botão ao mesmo tempo, às vezes a porta da bateria se abre enquanto o usa., É fácil de usar, mas cria uma bagunça quando tento fazer espuma de café. Também não forma espuma. Executa apenas sob líquido., O canto para de girar em líquido até um pouco denso., O produto não está funcionando sem problemas ... depois de muito pressionar o botão, então ele funciona., Fácil de usar e bom produto. Mas o creme preso nele às vezes, finalmente pode fazer café espumoso Dalgona sem perder meu braço lol vale a pena! O café saiu muito bem e tão fácil de usar ,, bom</v>
      </c>
    </row>
    <row r="1039">
      <c r="A1039" s="9" t="s">
        <v>4121</v>
      </c>
      <c r="B1039" s="29" t="str">
        <f>VLOOKUP(dados!A1039, reviews!A:G, 5, FALSE)</f>
        <v>Worth the money..,Good product,This is Good,Super product,Good product,Average product but value for money,For daily use,Heat temprature very slow</v>
      </c>
      <c r="C1039" s="29" t="str">
        <f>VLOOKUP(dados!A1039, reviews!A:G, 6, FALSE)</f>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v>
      </c>
      <c r="D1039" s="29" t="str">
        <f>IFERROR(__xludf.DUMMYFUNCTION("GOOGLETRANSLATE(B1039, ""en"", ""pt-br"")"),"Vale a pena o dinheiro .., bom produto, isso é bom, super produto, bom produto, produto médio, mas valor ao dinheiro, para uso diário, temperatura de calor muito lenta")</f>
        <v>Vale a pena o dinheiro .., bom produto, isso é bom, super produto, bom produto, produto médio, mas valor ao dinheiro, para uso diário, temperatura de calor muito lenta</v>
      </c>
      <c r="E1039" s="29" t="str">
        <f>IFERROR(__xludf.DUMMYFUNCTION("GOOGLETRANSLATE(C1039, ""en"", ""pt-br"")"),"Peso leve. Fácil de usar. Mas a embalagem é realmente um problema, abri com o medo de que o produto pudesse ser danificado. Felizmente não foi !! Não cobrindo nada, a primeira vez me sentiu muito mal ao problema de embalagem. Precisa melhorar isso, o item"&amp;" acabou de ser entregue hoje. As especificações do produto dizem que possui cordão giratório de 360 ​​°, mas na verdade possui 180 °. Caso contrário, o produto é muito bom. Cartão de garantia de 2 anos presente. Atualizarei após o uso., Ferro muito bom de"&amp;" Couality e calor mais rápido e fácil de manusear ,,, bom produto, leve peso, vá em frente, minha experiência inicial foi um pouco decepcionante, mas depois de trocar o produto está funcionando bem, satisfatório, 100 % -FECT, de acordo com o preço bom, ma"&amp;"s o elemento de aquecimento, não a propriedade de aquecimento, não para muito aquecimento em geral no Goog")</f>
        <v>Peso leve. Fácil de usar. Mas a embalagem é realmente um problema, abri com o medo de que o produto pudesse ser danificado. Felizmente não foi !! Não cobrindo nada, a primeira vez me sentiu muito mal ao problema de embalagem. Precisa melhorar isso, o item acabou de ser entregue hoje. As especificações do produto dizem que possui cordão giratório de 360 ​​°, mas na verdade possui 180 °. Caso contrário, o produto é muito bom. Cartão de garantia de 2 anos presente. Atualizarei após o uso., Ferro muito bom de Couality e calor mais rápido e fácil de manusear ,,, bom produto, leve peso, vá em frente, minha experiência inicial foi um pouco decepcionante, mas depois de trocar o produto está funcionando bem, satisfatório, 100 % -FECT, de acordo com o preço bom, mas o elemento de aquecimento, não a propriedade de aquecimento, não para muito aquecimento em geral no Goog</v>
      </c>
    </row>
    <row r="1040">
      <c r="A1040" s="9" t="s">
        <v>4127</v>
      </c>
      <c r="B1040" s="29" t="str">
        <f>VLOOKUP(dados!A1040, reviews!A:G, 5, FALSE)</f>
        <v>Best products,Ok,Short Nd sweet product,Good,About warranty card,Good,Good 👍,It's affordable but cheap quality</v>
      </c>
      <c r="C1040" s="29" t="str">
        <f>VLOOKUP(dados!A1040, reviews!A:G, 6, FALSE)</f>
        <v>पार्टी में फिश बनाने के लिए लगातार लगभग 5किलो लहसुन ,पोस्ता दाना , सरसो तथा अन्य मसाले की पिसाई की,Ok but quality not good,Thoda product small h baki sb mst h,Good,I did not get warranty card,Good for small family.,OK 👍,If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v>
      </c>
      <c r="D1040" s="29" t="str">
        <f>IFERROR(__xludf.DUMMYFUNCTION("GOOGLETRANSLATE(B1040, ""en"", ""pt-br"")"),"Melhores produtos, ok, produto doce e curto, bom, sobre cartão de garantia, bom, bom 👍, é acessível, mas de qualidade barata")</f>
        <v>Melhores produtos, ok, produto doce e curto, bom, sobre cartão de garantia, bom, bom 👍, é acessível, mas de qualidade barata</v>
      </c>
      <c r="E1040" s="29" t="str">
        <f>IFERROR(__xludf.DUMMYFUNCTION("GOOGLETRANSLATE(C1040, ""en"", ""pt-br"")"),"Linha ., OK 👍, se você puder pagar, opte por marcas mais conhecidas no negócio do mixer. Este é de qualidade barata, mas ótima pelo preço. Observe que há um cheiro ardente para alguns usos. Além disso, se você triturar por mais de 10 a 15 segundos, ele t"&amp;"ende a 'viajar'. Então você deve deixá -lo esfriar e empurrar o botão vermelho na base para reiniciá -lo. Você pode facilmente fazer batedores do dosa, chutneys etc. Apenas mergulhe o arroz e o urad dal durante a noite, pois não é muito resistente.")</f>
        <v>Linha ., OK 👍, se você puder pagar, opte por marcas mais conhecidas no negócio do mixer. Este é de qualidade barata, mas ótima pelo preço. Observe que há um cheiro ardente para alguns usos. Além disso, se você triturar por mais de 10 a 15 segundos, ele tende a 'viajar'. Então você deve deixá -lo esfriar e empurrar o botão vermelho na base para reiniciá -lo. Você pode facilmente fazer batedores do dosa, chutneys etc. Apenas mergulhe o arroz e o urad dal durante a noite, pois não é muito resistente.</v>
      </c>
    </row>
    <row r="1041">
      <c r="A1041" s="9" t="s">
        <v>4133</v>
      </c>
      <c r="B1041" s="29" t="str">
        <f>VLOOKUP(dados!A1041, reviews!A:G, 5, FALSE)</f>
        <v>Worthy, best for bucket bathing:,Water heater that does the job right,Works as promised and the installation was quick..,All good,Good product.,Worthy product to buy.,Easy to install.,Nice product and good service</v>
      </c>
      <c r="C1041" s="29" t="str">
        <f>VLOOKUP(dados!A1041, reviews!A:G, 6, FALSE)</f>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it’s meets our expectations I would recommend this product to purchase.,Easy installation. Purchased for kitchen. Working well.,Nice product and good service</v>
      </c>
      <c r="D1041" s="29" t="str">
        <f>IFERROR(__xludf.DUMMYFUNCTION("GOOGLETRANSLATE(B1041, ""en"", ""pt-br"")"),"Digno, melhor para o banho de balde :, Aquecedor de água que faz o trabalho certo, funciona como prometido e a instalação foi rápida .., tudo de bom, bom produto., Produto digno de compra., Fácil de instalar., Bom produto e bom serviço")</f>
        <v>Digno, melhor para o banho de balde :, Aquecedor de água que faz o trabalho certo, funciona como prometido e a instalação foi rápida .., tudo de bom, bom produto., Produto digno de compra., Fácil de instalar., Bom produto e bom serviço</v>
      </c>
      <c r="E1041" s="29" t="str">
        <f>IFERROR(__xludf.DUMMYFUNCTION("GOOGLETRANSLATE(C1041, ""en"", ""pt-br"")"),"Vale o centavo: usado por 2 dias, entrega de tempo, instalação no dia seguinte por Havells e todo bom suporte de instalação da Havells.water recebe aquecimento dentro de 5 minutos e você deve abrir meio toque para o fluxo contínuo de água quente. O sufici"&amp;"ente para o banho de balde e a boa parte é a indicação de aquecimento. Uma coisa está faltando no gêiseador é o controle temporário, mas em geral o melhor nessa faixa de preço (3 LTRs)., O produto foi entregue no prazo e conforme prometido pela Amazon.upo"&amp;"n recebendo o aquecedor de água, recebi um texto de Havells para o instalação do produto. O processo de instalação foi suave, além do fato de que é necessário comprar um soquete de três pinos de 16A (o plugue de parede não incluído no aquecedor de água). "&amp;"Não há taxas de instalação e minha única queixa com o aquecedor de água não é plug !! A água aquece muito rapidamente (5 minutos de aprox.) E mantém a temperatura por boas 4 horas. Os indicadores de luz mostram estágios de calor (aquecimento ou aquecido),"&amp;" embora se encontre muitas alternativas a preços melhores, custos adicionais para instalação e acessórios devem ser levados em consideração. Faz bem o seu trabalho. Eu esperava um aquecimento um pouco mais rápido. O cara da instalação veio no dia seguinte"&amp;". Todos os acessórios necessários foram fornecidos no pacote., Mas a luz não está funcionando não dentro de 2 semanas, fácil de instalar. Valor pelo dinheiro., É um bom produto em termos de usabilidade, fácil para o Useall, em tudo é um ótimo produto de g"&amp;"êiserer instantâneo com essa faixa de preço. A instalação foi fácil e atende às nossas expectativas que eu recomendaria que este produto compra., Instalação fácil. Comprado para cozinha. Trabalhando bem., Bom produto e bom serviço")</f>
        <v>Vale o centavo: usado por 2 dias, entrega de tempo, instalação no dia seguinte por Havells e todo bom suporte de instalação da Havells.water recebe aquecimento dentro de 5 minutos e você deve abrir meio toque para o fluxo contínuo de água quente. O suficiente para o banho de balde e a boa parte é a indicação de aquecimento. Uma coisa está faltando no gêiseador é o controle temporário, mas em geral o melhor nessa faixa de preço (3 LTRs)., O produto foi entregue no prazo e conforme prometido pela Amazon.upon recebendo o aquecedor de água, recebi um texto de Havells para o instalação do produto. O processo de instalação foi suave, além do fato de que é necessário comprar um soquete de três pinos de 16A (o plugue de parede não incluído no aquecedor de água). Não há taxas de instalação e minha única queixa com o aquecedor de água não é plug !! A água aquece muito rapidamente (5 minutos de aprox.) E mantém a temperatura por boas 4 horas. Os indicadores de luz mostram estágios de calor (aquecimento ou aquecido), embora se encontre muitas alternativas a preços melhores, custos adicionais para instalação e acessórios devem ser levados em consideração. Faz bem o seu trabalho. Eu esperava um aquecimento um pouco mais rápido. O cara da instalação veio no dia seguinte. Todos os acessórios necessários foram fornecidos no pacote., Mas a luz não está funcionando não dentro de 2 semanas, fácil de instalar. Valor pelo dinheiro., É um bom produto em termos de usabilidade, fácil para o Useall, em tudo é um ótimo produto de gêiserer instantâneo com essa faixa de preço. A instalação foi fácil e atende às nossas expectativas que eu recomendaria que este produto compra., Instalação fácil. Comprado para cozinha. Trabalhando bem., Bom produto e bom serviço</v>
      </c>
    </row>
    <row r="1042">
      <c r="A1042" s="9" t="s">
        <v>4140</v>
      </c>
      <c r="B1042" s="29" t="str">
        <f>VLOOKUP(dados!A1042, reviews!A:G, 5, FALSE)</f>
        <v>Good product and recommend too,Good Purchase,It cannot warm a room of less than 100 square feet,Fan not working,Awesome,Good 9 Fin Oil Filler Room Heater from Morphy Richards,Good product for health conscious people,Really good product, Screws are available under lower thermocol</v>
      </c>
      <c r="C1042" s="29" t="str">
        <f>VLOOKUP(dados!A1042, reviews!A:G, 6, FALSE)</f>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v>
      </c>
      <c r="D1042" s="29" t="str">
        <f>IFERROR(__xludf.DUMMYFUNCTION("GOOGLETRANSLATE(B1042, ""en"", ""pt-br"")"),"Bom produto e recomendar também, boa compra, não pode aquecer uma sala de menos de 100 pés quadrados, fã não funcionando, incrível, bom aquecedor de salas de petróleo de 9 barbatana de Morphy Richards, bom produto para pessoas conscientes da saúde, produt"&amp;"o realmente bom, parafusos, parafusos estão disponíveis em Thermocol inferior")</f>
        <v>Bom produto e recomendar também, boa compra, não pode aquecer uma sala de menos de 100 pés quadrados, fã não funcionando, incrível, bom aquecedor de salas de petróleo de 9 barbatana de Morphy Richards, bom produto para pessoas conscientes da saúde, produto realmente bom, parafusos, parafusos estão disponíveis em Thermocol inferior</v>
      </c>
      <c r="E1042" s="29" t="str">
        <f>IFERROR(__xludf.DUMMYFUNCTION("GOOGLETRANSLATE(C1042, ""en"", ""pt-br"")"),"Durante o inverno, mantém a temperatura ambiente quente, o que reduziu o frio. Nós realmente apreciamos o produto, se o seu lugar estiver com força, este aquecedor de 9 barbantes de 9 fin será suficiente. Mas meu lugar não é apertado, é por isso que não e"&amp;"stou satisfeito. O produto pode usar um manual do usuário. Número de barbatanas necessárias para que, portanto, o tamanho dos quartos precisa ser descrito, não pode funcionar. Estamos apenas usando isso sem ventilador. Não tem paciência para troca/retorno"&amp;" agora., No geral, bom aquecedor de salas de preenchimento de petróleo de 9 barbatanas de Morphy Richards. Reduziu uma estrela, pois não há fã de PTC nisso. Permanecendo todos os recursos funcionando como esperado., Bom produto. Utilizou eletricidade de 1"&amp;"0 kWh para corrida noturna completa em Agra com temperatura mínima a 7 graus. Mantém a pequena sala de 10x10 pés quentes o suficiente para poder sentar -se em jaqueta leve. Chega a sala lentamente, conforme o esperado, diferentemente dos aquecedores à bas"&amp;"e de bobinas. Mas menos perigo e não afeta a pele. Por favor, verifique em Thermocol inferior. Os parafusos estão lá. Eu levantei o pedido de retorno comprei um novo Morphy Richards da loja e encontrei isso. Então cancelou a solicitação de retorno. Eu ten"&amp;"ho 2 agora por causa desse problema. Por que Morphy Richards? Por que escondê -lo onde as pessoas não conseguem encontrá -lo? O produto geral é realmente bom, por favor, vá em frente.")</f>
        <v>Durante o inverno, mantém a temperatura ambiente quente, o que reduziu o frio. Nós realmente apreciamos o produto, se o seu lugar estiver com força, este aquecedor de 9 barbantes de 9 fin será suficiente. Mas meu lugar não é apertado, é por isso que não estou satisfeito. O produto pode usar um manual do usuário. Número de barbatanas necessárias para que, portanto, o tamanho dos quartos precisa ser descrito, não pode funcionar. Estamos apenas usando isso sem ventilador. Não tem paciência para troca/retorno agora., No geral, bom aquecedor de salas de preenchimento de petróleo de 9 barbatanas de Morphy Richards. Reduziu uma estrela, pois não há fã de PTC nisso. Permanecendo todos os recursos funcionando como esperado., Bom produto. Utilizou eletricidade de 10 kWh para corrida noturna completa em Agra com temperatura mínima a 7 graus. Mantém a pequena sala de 10x10 pés quentes o suficiente para poder sentar -se em jaqueta leve. Chega a sala lentamente, conforme o esperado, diferentemente dos aquecedores à base de bobinas. Mas menos perigo e não afeta a pele. Por favor, verifique em Thermocol inferior. Os parafusos estão lá. Eu levantei o pedido de retorno comprei um novo Morphy Richards da loja e encontrei isso. Então cancelou a solicitação de retorno. Eu tenho 2 agora por causa desse problema. Por que Morphy Richards? Por que escondê -lo onde as pessoas não conseguem encontrá -lo? O produto geral é realmente bom, por favor, vá em frente.</v>
      </c>
    </row>
    <row r="1043">
      <c r="A1043" s="9" t="s">
        <v>4145</v>
      </c>
      <c r="B1043" s="29" t="str">
        <f>VLOOKUP(dados!A1043, reviews!A:G, 5, FALSE)</f>
        <v>Good product,Good Product,Very easy to use but my mom wanted a transparent one,Very good product,4 on 5,overall good,Nice,Elegant &amp; Sturdy!</v>
      </c>
      <c r="C1043" s="29" t="str">
        <f>VLOOKUP(dados!A1043, reviews!A:G, 6, FALSE)</f>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 One star deducted because of the length of the chord.,wire short,Nice,It's awesome!Much more than expected. 👍🏼So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v>
      </c>
      <c r="D1043" s="29" t="str">
        <f>IFERROR(__xludf.DUMMYFUNCTION("GOOGLETRANSLATE(B1043, ""en"", ""pt-br"")"),"Bom produto, bom produto, muito fácil de usar, mas minha mãe queria um produto transparente, muito bom, 4 em 5, em geral, bom, agradável, elegante e resistente!")</f>
        <v>Bom produto, bom produto, muito fácil de usar, mas minha mãe queria um produto transparente, muito bom, 4 em 5, em geral, bom, agradável, elegante e resistente!</v>
      </c>
      <c r="E1043" s="29" t="str">
        <f>IFERROR(__xludf.DUMMYFUNCTION("GOOGLETRANSLATE(C1043, ""en"", ""pt-br"")"),"Bom produto, o produto é bom se a oferta for aplicada., Como a aparência, produtos muito bons, a qualidade é realmente boa. Usamos isso nos últimos 8 meses, funciona perfeitamente bem., Usamos o uso há 2 anos e ainda não há problemas. Nós carregamos junto"&amp;" conosco para viajar, pois tenho um bebê pequeno. E você precisa ferver água de vez em quando. Eu não apenas o uso para ferver água. Fazemos chá/café, ovo cozido, maçã cozida e também maggie enquanto viajamos 🙂 Uma estrela deduzida por causa do comprimen"&amp;"to do acorde., Arame curto, agradável, é incrível! Muito mais do que o esperado. 👍🏼 tão elegante e resistente ... o desempenho é muito bom ... a funcionalidade é ótima. Adorei o tamanho ... nem pequeno nem grande ... é muito adequado e conveniente para "&amp;"a necessidade da nossa família. Fácil de usar e transportar. Esta é a minha resenha do primeiro dia depois de receber ... mas posso avaliar a qualidade, usando chaleiras elétricas desde anos ... obrigado Havells &amp; Amazon ❤️")</f>
        <v>Bom produto, o produto é bom se a oferta for aplicada., Como a aparência, produtos muito bons, a qualidade é realmente boa. Usamos isso nos últimos 8 meses, funciona perfeitamente bem., Usamos o uso há 2 anos e ainda não há problemas. Nós carregamos junto conosco para viajar, pois tenho um bebê pequeno. E você precisa ferver água de vez em quando. Eu não apenas o uso para ferver água. Fazemos chá/café, ovo cozido, maçã cozida e também maggie enquanto viajamos 🙂 Uma estrela deduzida por causa do comprimento do acorde., Arame curto, agradável, é incrível! Muito mais do que o esperado. 👍🏼 tão elegante e resistente ... o desempenho é muito bom ... a funcionalidade é ótima. Adorei o tamanho ... nem pequeno nem grande ... é muito adequado e conveniente para a necessidade da nossa família. Fácil de usar e transportar. Esta é a minha resenha do primeiro dia depois de receber ... mas posso avaliar a qualidade, usando chaleiras elétricas desde anos ... obrigado Havells &amp; Amazon ❤️</v>
      </c>
    </row>
    <row r="1044">
      <c r="A1044" s="9" t="s">
        <v>4149</v>
      </c>
      <c r="B1044" s="29" t="str">
        <f>VLOOKUP(dados!A1044, reviews!A:G, 5, FALSE)</f>
        <v>Received used product requested replacement,Good product,Tiny bomb,Very nice,works well, but its a really small tank,Very good,Value for more,Instantly</v>
      </c>
      <c r="C1044" s="29" t="str">
        <f>VLOOKUP(dados!A1044, reviews!A:G, 6, FALSE)</f>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v>
      </c>
      <c r="D1044" s="29" t="str">
        <f>IFERROR(__xludf.DUMMYFUNCTION("GOOGLETRANSLATE(B1044, ""en"", ""pt-br"")"),"Recebido de produto usado substituição solicitada, bom produto, pequena bomba, muito bom, funciona bem, mas é um tanque muito pequeno, muito bom, valor para mais, instantaneamente")</f>
        <v>Recebido de produto usado substituição solicitada, bom produto, pequena bomba, muito bom, funciona bem, mas é um tanque muito pequeno, muito bom, valor para mais, instantaneamente</v>
      </c>
      <c r="E1044" s="29" t="str">
        <f>IFERROR(__xludf.DUMMYFUNCTION("GOOGLETRANSLATE(C1044, ""en"", ""pt-br"")"),"https://m.media-amazon.com/images/w/webp_402378-t2/images/i/615pfq26j+l._sy88.jpg,insante quente ou água quente. Os tubos de conexão não são fornecidos desta vez. Anteriormente, ele era fornecido com o aquecedor., Muito bom e funcionando bem, levando 2-3 "&amp;"minutos por 3 litros. Para um banho, usando duas vezes, significa 6 litros de água quente. Nenhum controle de tempratura e não incluiu os tubos de conexão., Muito bom, funciona bem. exatamente como descrito. Parece ótimo e fácil de instalar como o tanque "&amp;"é muito pequeno, por isso continua ligando ao tomar um banho. Especialmente se você tomar um banho, a pressão diminui, tentando aquecer tudo, fácil de instalar e operações, um produto muito fantástico neste momento, adequado para 2-3 pessoas")</f>
        <v>https://m.media-amazon.com/images/w/webp_402378-t2/images/i/615pfq26j+l._sy88.jpg,insante quente ou água quente. Os tubos de conexão não são fornecidos desta vez. Anteriormente, ele era fornecido com o aquecedor., Muito bom e funcionando bem, levando 2-3 minutos por 3 litros. Para um banho, usando duas vezes, significa 6 litros de água quente. Nenhum controle de tempratura e não incluiu os tubos de conexão., Muito bom, funciona bem. exatamente como descrito. Parece ótimo e fácil de instalar como o tanque é muito pequeno, por isso continua ligando ao tomar um banho. Especialmente se você tomar um banho, a pressão diminui, tentando aquecer tudo, fácil de instalar e operações, um produto muito fantástico neste momento, adequado para 2-3 pessoas</v>
      </c>
    </row>
    <row r="1045">
      <c r="A1045" s="9" t="s">
        <v>4153</v>
      </c>
      <c r="B1045" s="29" t="str">
        <f>VLOOKUP(dados!A1045, reviews!A:G, 5, FALSE)</f>
        <v>Great Design , Heating ,Usage ,Easy to clean but doesn't maintain the temperature for long,easy to use,Nice,Works well.,it is a good product time saving.,Good kettle at such price,Beautiful..is the word..very happy with purchase ♥️♥️♥️,Owsm</v>
      </c>
      <c r="C1045" s="29" t="str">
        <f>VLOOKUP(dados!A1045, reviews!A:G, 6, FALSE)</f>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♥️Thank you Amazon once again..,Good for home and out of home useVery fast response for hot nature</v>
      </c>
      <c r="D1045" s="29" t="str">
        <f>IFERROR(__xludf.DUMMYFUNCTION("GOOGLETRANSLATE(B1045, ""en"", ""pt-br"")"),"Ótimo design, aquecimento, uso, fácil de limpar, mas não mantém a temperatura por muito tempo, fácil de usar, agradável, funciona bem., É uma boa economia de tempo do produto., Boa chaleira a tal preço, bonita ... é o Palavra .. muito feliz com a compra ♥"&amp;" ♥ ♥ ️ ♥ ♥, OWSM")</f>
        <v>Ótimo design, aquecimento, uso, fácil de limpar, mas não mantém a temperatura por muito tempo, fácil de usar, agradável, funciona bem., É uma boa economia de tempo do produto., Boa chaleira a tal preço, bonita ... é o Palavra .. muito feliz com a compra ♥ ♥ ♥ ️ ♥ ♥, OWSM</v>
      </c>
      <c r="E1045" s="29" t="str">
        <f>IFERROR(__xludf.DUMMYFUNCTION("GOOGLETRANSLATE(C1045, ""en"", ""pt-br"")"),"Tudo está bem neste produto, mas os únicos contras para este produto são uma vez que você aqueceu a água, não mantém essa temperatura e fica frio muito logo que tudo é ótimo como design, aquecimento, uso, fácil de limpar, bom de usar, Bom produto, o único"&amp;" problema com esta chaleira é que você precisa reiniciar repetidamente, bom usar e economizar tempo., No geral. Outros recursos podem ser adicionados como manter o aquecimento. O corpo plástico separado pode ser melhorado, o produto funciona com eficiênci"&amp;"a ... a luz azul é realmente incrível ... apenas o PBLM está com o comprimento do cordão ... o que é curto ... caso contrário ... é um bom produto ♥ ️Thank You Amazon mais uma vez .. , Bom para casa e fora do uso em casa, toda resposta rápida para a natur"&amp;"eza quente")</f>
        <v>Tudo está bem neste produto, mas os únicos contras para este produto são uma vez que você aqueceu a água, não mantém essa temperatura e fica frio muito logo que tudo é ótimo como design, aquecimento, uso, fácil de limpar, bom de usar, Bom produto, o único problema com esta chaleira é que você precisa reiniciar repetidamente, bom usar e economizar tempo., No geral. Outros recursos podem ser adicionados como manter o aquecimento. O corpo plástico separado pode ser melhorado, o produto funciona com eficiência ... a luz azul é realmente incrível ... apenas o PBLM está com o comprimento do cordão ... o que é curto ... caso contrário ... é um bom produto ♥ ️Thank You Amazon mais uma vez .. , Bom para casa e fora do uso em casa, toda resposta rápida para a natureza quente</v>
      </c>
    </row>
    <row r="1046">
      <c r="A1046" s="9" t="s">
        <v>4159</v>
      </c>
      <c r="B1046" s="29" t="str">
        <f>VLOOKUP(dados!A1046, reviews!A:G, 5, FALSE)</f>
        <v>Overall good performance,No things,Nice product,Good deal with Bajaj . It compact &amp; less area coverage.,GOOD,Fast delivery,Not working,Quality product at affordable price</v>
      </c>
      <c r="C1046" s="29" t="str">
        <f>VLOOKUP(dados!A1046, reviews!A:G, 6, FALSE)</f>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v>
      </c>
      <c r="D1046" s="29" t="str">
        <f>IFERROR(__xludf.DUMMYFUNCTION("GOOGLETRANSLATE(B1046, ""en"", ""pt-br"")"),"No geral, bom desempenho, sem coisas, bom produto, bom acordo com Bajaj. É compacta e menos cobertura de área., Boa, entrega rápida, não funcionando, produto de qualidade a preço acessível")</f>
        <v>No geral, bom desempenho, sem coisas, bom produto, bom acordo com Bajaj. É compacta e menos cobertura de área., Boa, entrega rápida, não funcionando, produto de qualidade a preço acessível</v>
      </c>
      <c r="E1046" s="29" t="str">
        <f>IFERROR(__xludf.DUMMYFUNCTION("GOOGLETRANSLATE(C1046, ""en"", ""pt-br"")"),"O produto é bom para 4 membros da família. Demora 15 minutos para fornecer água quente (temperatura definida para 75%). Eu verifiquei que mantém intacta a água por 6 a 8 horas se não for utilizada. Insstalação é uma tarefa eaze. O desempenho geral é bom a"&amp;"té a data., OK, bom produto, é um bom negócio, eu tenho usado isso no último ano do Bajaj Neo Shkati 15 LT. , Falta é o tubo de conexão e o parafuso e a instalação de Haning não são fornecidos pela empresa. Outros sábios muito em Rs. 5300 VENDA DE FESTIVA"&amp;"L, Bom Valor para o Dinheiro, Gosto de Bajaj Geyser. Já nos últimos 17 anos, usamos apenas um bajaj geyser agora é o segundo. eletricidade. O controle de temperatura também funciona bem, em geral, um negócio roubado pelo preço abaixo de 6000.Totalmente re"&amp;"comendado para uso.")</f>
        <v>O produto é bom para 4 membros da família. Demora 15 minutos para fornecer água quente (temperatura definida para 75%). Eu verifiquei que mantém intacta a água por 6 a 8 horas se não for utilizada. Insstalação é uma tarefa eaze. O desempenho geral é bom até a data., OK, bom produto, é um bom negócio, eu tenho usado isso no último ano do Bajaj Neo Shkati 15 LT. , Falta é o tubo de conexão e o parafuso e a instalação de Haning não são fornecidos pela empresa. Outros sábios muito em Rs. 5300 VENDA DE FESTIVAL, Bom Valor para o Dinheiro, Gosto de Bajaj Geyser. Já nos últimos 17 anos, usamos apenas um bajaj geyser agora é o segundo. eletricidade. O controle de temperatura também funciona bem, em geral, um negócio roubado pelo preço abaixo de 6000.Totalmente recomendado para uso.</v>
      </c>
    </row>
    <row r="1047">
      <c r="A1047" s="9" t="s">
        <v>4165</v>
      </c>
      <c r="B1047" s="29" t="str">
        <f>VLOOKUP(dados!A1047, reviews!A:G, 5, FALSE)</f>
        <v>Overall satisfactory in this price range,Nothing,Noiselesss and good material quality,Pocket friendly,I like this product,Superb item.,Lifelong mixer,Best product by longlife</v>
      </c>
      <c r="C1047" s="29" t="str">
        <f>VLOOKUP(dados!A1047, reviews!A:G, 6, FALSE)</f>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v>
      </c>
      <c r="D1047" s="29" t="str">
        <f>IFERROR(__xludf.DUMMYFUNCTION("GOOGLETRANSLATE(B1047, ""en"", ""pt-br"")"),"No geral, satisfatório nessa faixa de preço, nada, silencioso e boa qualidade de material, amigável para bolso, eu gosto deste produto, item excelente., Mixer ao longo da vida, melhor produto da Longlife")</f>
        <v>No geral, satisfatório nessa faixa de preço, nada, silencioso e boa qualidade de material, amigável para bolso, eu gosto deste produto, item excelente., Mixer ao longo da vida, melhor produto da Longlife</v>
      </c>
      <c r="E1047" s="29" t="str">
        <f>IFERROR(__xludf.DUMMYFUNCTION("GOOGLETRANSLATE(C1047, ""en"", ""pt-br"")"),"No geral, satisfatório nessa faixa de preço, compramos mais de 15 NOS de mixy, mas um pacote não continha as tampas dos 3 potes. Organize -nos para nos enviar com urgência. Preço absolutamente razoável. Great.Jio LifeLong., A esse preço, vale a pena mistu"&amp;"rar com três frascos., Melhor nesse preço.")</f>
        <v>No geral, satisfatório nessa faixa de preço, compramos mais de 15 NOS de mixy, mas um pacote não continha as tampas dos 3 potes. Organize -nos para nos enviar com urgência. Preço absolutamente razoável. Great.Jio LifeLong., A esse preço, vale a pena misturar com três frascos., Melhor nesse preço.</v>
      </c>
    </row>
    <row r="1048">
      <c r="A1048" s="9" t="s">
        <v>4169</v>
      </c>
      <c r="B1048" s="29" t="str">
        <f>VLOOKUP(dados!A1048, reviews!A:G, 5, FALSE)</f>
        <v>Good product at this price,An excellent product experience. Does job well at this price range..,Ok,overall good at this price,The Steel around the handle gets hot too!,Light weight product,Nice,A good iron for the reasonable price, tepreture control..</v>
      </c>
      <c r="C1048" s="29" t="str">
        <f>VLOOKUP(dados!A1048, reviews!A:G, 6, FALSE)</f>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👈👈👈👈,Good product,https://m.media-amazon.com/images/W/WEBP_402378-T1/images/I/711PBdCVuvL._SY88.jpg</v>
      </c>
      <c r="D1048" s="29" t="str">
        <f>IFERROR(__xludf.DUMMYFUNCTION("GOOGLETRANSLATE(B1048, ""en"", ""pt-br"")"),"Bom produto a esse preço, uma excelente experiência de produto. Trabalha bem nessa faixa de preço .., ok, em geral, bom nesse preço, o aço ao redor da alça também fica quente!, Produto leve, bom, um bom ferro pelo preço razoável, o controle do teatro ..")</f>
        <v>Bom produto a esse preço, uma excelente experiência de produto. Trabalha bem nessa faixa de preço .., ok, em geral, bom nesse preço, o aço ao redor da alça também fica quente!, Produto leve, bom, um bom ferro pelo preço razoável, o controle do teatro ..</v>
      </c>
      <c r="E1048" s="29" t="str">
        <f>IFERROR(__xludf.DUMMYFUNCTION("GOOGLETRANSLATE(C1048, ""en"", ""pt-br"")"),"É muito fácil de ferro, mas a caixa de ferro era muito pequena e há um botão de desligamento, é automaticamente ligado e desligado, um produto incrível comprado a um bom preço., OK, valor de produto a esse preço, o aço ao redor da alça também fica quente "&amp;"! Fora isso, este produto é bom., Estou usando esses produtos a partir de 4 meses e compro o produto sem perda de dinheiro, produto mais valioso nessa faixa de preço; portanto, compre e use obrigado 👈👈👈👈, bom produto, https : //m.media-amazon.com/imag"&amp;"es/w/webp_402378-t1/images/i/711pbdcvuvl._sy88.jpg")</f>
        <v>É muito fácil de ferro, mas a caixa de ferro era muito pequena e há um botão de desligamento, é automaticamente ligado e desligado, um produto incrível comprado a um bom preço., OK, valor de produto a esse preço, o aço ao redor da alça também fica quente ! Fora isso, este produto é bom., Estou usando esses produtos a partir de 4 meses e compro o produto sem perda de dinheiro, produto mais valioso nessa faixa de preço; portanto, compre e use obrigado 👈👈👈👈, bom produto, https : //m.media-amazon.com/images/w/webp_402378-t1/images/i/711pbdcvuvl._sy88.jpg</v>
      </c>
    </row>
    <row r="1049">
      <c r="A1049" s="9" t="s">
        <v>4173</v>
      </c>
      <c r="B1049" s="29" t="str">
        <f>VLOOKUP(dados!A1049, reviews!A:G, 5, FALSE)</f>
        <v>Just go for it.👍🏻,3 PIN Plug should be there,Mixer is good as well as jar is good.But packing is very bad.,Too much noise,Good quality product......,Good,Nc,Useful</v>
      </c>
      <c r="C1049" s="29" t="str">
        <f>VLOOKUP(dados!A1049, reviews!A:G, 6, FALSE)</f>
        <v>Product is so good but packaging was so bad😠.,Not able to plug JN sockets just because it has 2 pin plug,Packing is too bad. Mixer is good,Except noise everything looks good. Very irritating noise.,I like the product most. Worth for money...Fully sastisfy from this product.. Thanks amazon,Produce noise but good 👍,Nice,Useful</v>
      </c>
      <c r="D1049" s="29" t="str">
        <f>IFERROR(__xludf.DUMMYFUNCTION("GOOGLETRANSLATE(B1049, ""en"", ""pt-br"")"),"Basta ir em frente. Útil")</f>
        <v>Basta ir em frente. Útil</v>
      </c>
      <c r="E1049" s="29" t="str">
        <f>IFERROR(__xludf.DUMMYFUNCTION("GOOGLETRANSLATE(C1049, ""en"", ""pt-br"")"),"O produto é tão bom, mas a embalagem foi tão ruim. O misturador é bom, exceto o ruído, tudo parece bom. Ruído muito irritante., Gosto mais do produto. Vale a pena pelo dinheiro ... Totalmente Sastisfy deste produto .. obrigado Amazon, produza ruído, mas b"&amp;"om 👍, bom, útil")</f>
        <v>O produto é tão bom, mas a embalagem foi tão ruim. O misturador é bom, exceto o ruído, tudo parece bom. Ruído muito irritante., Gosto mais do produto. Vale a pena pelo dinheiro ... Totalmente Sastisfy deste produto .. obrigado Amazon, produza ruído, mas bom 👍, bom, útil</v>
      </c>
    </row>
    <row r="1050">
      <c r="A1050" s="9" t="s">
        <v>4177</v>
      </c>
      <c r="B1050" s="29" t="str">
        <f>VLOOKUP(dados!A1050, reviews!A:G, 5, FALSE)</f>
        <v>Well over all iits nice, make sure the lid of kettle has stell casing,cord should been long,Product is ok.,Product,Easy to use,Good,Good Product.,Product body looks week . Hope it stays long .,Good looking but not very strong. What else can you get for 499</v>
      </c>
      <c r="C1050" s="29" t="str">
        <f>VLOOKUP(dados!A1050, reviews!A:G, 6, FALSE)</f>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v>
      </c>
      <c r="D1050" s="29" t="str">
        <f>IFERROR(__xludf.DUMMYFUNCTION("GOOGLETRANSLATE(B1050, ""en"", ""pt-br"")"),"Bem, sobre todos os IITs legais, verifique se a tampa da chaleira possui hussing de granizo, o cordão deve ser longo, o produto está ok., Produto, fácil de usar, bom e bom produto., Corpo de produto Looks Week. Espero que fique muito tempo., Bonito, mas n"&amp;"ão muito forte. O que mais você pode obter por 499")</f>
        <v>Bem, sobre todos os IITs legais, verifique se a tampa da chaleira possui hussing de granizo, o cordão deve ser longo, o produto está ok., Produto, fácil de usar, bom e bom produto., Corpo de produto Looks Week. Espero que fique muito tempo., Bonito, mas não muito forte. O que mais você pode obter por 499</v>
      </c>
      <c r="E1050" s="29" t="str">
        <f>IFERROR(__xludf.DUMMYFUNCTION("GOOGLETRANSLATE(C1050, ""en"", ""pt-br"")"),"Bem, sobre todos os IITs legais, verifique se a tampa da chaleira tem uma haltagem Stell, o cordão deve ser longo, o cordão é muito curto de usar, produto maravilhoso ... fácil de usar .... vá em frente, https: // m.media-mazon.com/images/w/webp_402378-t1"&amp;"/images/i/71uxqrechtl._sy88.jpg,economicamente bom produto, bom produto, produto geral bom e valor para dinheiro. Esperando que funcione bem como seu corpo pareça um pouco uma semana, o meu não funcionou, então teve que ser devolvido")</f>
        <v>Bem, sobre todos os IITs legais, verifique se a tampa da chaleira tem uma haltagem Stell, o cordão deve ser longo, o cordão é muito curto de usar, produto maravilhoso ... fácil de usar .... vá em frente, https: // m.media-mazon.com/images/w/webp_402378-t1/images/i/71uxqrechtl._sy88.jpg,economicamente bom produto, bom produto, produto geral bom e valor para dinheiro. Esperando que funcione bem como seu corpo pareça um pouco uma semana, o meu não funcionou, então teve que ser devolvido</v>
      </c>
    </row>
    <row r="1051">
      <c r="A1051" s="9" t="s">
        <v>4181</v>
      </c>
      <c r="B1051" s="29" t="str">
        <f>VLOOKUP(dados!A1051, reviews!A:G, 5, FALSE)</f>
        <v>Impressive in first use,SUPERB IN ALL DEPARTMENT. BEST IN THIS PRICE RANGE,Nice product,Worth the price,It is value for money but I don't think it will last very long...,The dizion is good and comportable.,Good product,Durability may be an issue</v>
      </c>
      <c r="C1051" s="29" t="str">
        <f>VLOOKUP(dados!A1051, reviews!A:G, 6, FALSE)</f>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v>
      </c>
      <c r="D1051" s="29" t="str">
        <f>IFERROR(__xludf.DUMMYFUNCTION("GOOGLETRANSLATE(B1051, ""en"", ""pt-br"")"),"Impressionante no primeiro uso, excelente em todos os departamentos. Melhor nessa faixa de preço, bom produto, vale o preço, é uma relação custo")</f>
        <v>Impressionante no primeiro uso, excelente em todos os departamentos. Melhor nessa faixa de preço, bom produto, vale o preço, é uma relação custo</v>
      </c>
      <c r="E1051" s="29" t="str">
        <f>IFERROR(__xludf.DUMMYFUNCTION("GOOGLETRANSLATE(C1051, ""en"", ""pt-br"")"),"Acabei de receber o produto dentro de um dia de entrega ... o serviço foi muito rápido ... o produto é econômico e funciona bem. Eu já usei outro produto da marca ao longo da vida e eles funcionaram perfeitamente tão felizes com esta marca. Minha mãe ador"&amp;"ou. É minúsculo, mas o superperperformer, produzindo calor até 1 ou 2 mt. Room pode ser aquecido em 30 min., Valor pelo preço pago, está funcionando bem até agora o 1º dia, dificilmente o usou por semana e eu noto bandas escuras nos elementos ....!, Muito"&amp;" complicável para usar. Mas o defeito do dispositivo de segurança, https: //m.media-amazon.com/images/i/51gf-cdgkfl._sy88.jpg,durability é um problema")</f>
        <v>Acabei de receber o produto dentro de um dia de entrega ... o serviço foi muito rápido ... o produto é econômico e funciona bem. Eu já usei outro produto da marca ao longo da vida e eles funcionaram perfeitamente tão felizes com esta marca. Minha mãe adorou. É minúsculo, mas o superperperformer, produzindo calor até 1 ou 2 mt. Room pode ser aquecido em 30 min., Valor pelo preço pago, está funcionando bem até agora o 1º dia, dificilmente o usou por semana e eu noto bandas escuras nos elementos ....!, Muito complicável para usar. Mas o defeito do dispositivo de segurança, https: //m.media-amazon.com/images/i/51gf-cdgkfl._sy88.jpg,durability é um problema</v>
      </c>
    </row>
    <row r="1052">
      <c r="A1052" s="9" t="s">
        <v>4185</v>
      </c>
      <c r="B1052" s="29" t="str">
        <f>VLOOKUP(dados!A1052, reviews!A:G, 5, FALSE)</f>
        <v>The Best Purchase,Very useful product,Good products,Very handy to remove lint,Good product,Good product,Good,It's worth it.</v>
      </c>
      <c r="C1052" s="29" t="str">
        <f>VLOOKUP(dados!A1052, reviews!A:G, 6, FALSE)</f>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v>
      </c>
      <c r="D1052" s="29" t="str">
        <f>IFERROR(__xludf.DUMMYFUNCTION("GOOGLETRANSLATE(B1052, ""en"", ""pt-br"")"),"A melhor compra, produto muito útil, bons produtos, muito útil para remover fiapos, bom produto, bom produto, bom, vale a pena.")</f>
        <v>A melhor compra, produto muito útil, bons produtos, muito útil para remover fiapos, bom produto, bom produto, bom, vale a pena.</v>
      </c>
      <c r="E1052" s="29" t="str">
        <f>IFERROR(__xludf.DUMMYFUNCTION("GOOGLETRANSLATE(C1052, ""en"", ""pt-br"")"),"Sou cliente da Amazon desde 2014/15. Esta é, sem dúvida, a melhor compra que já fiz. para pílula. Pilling são aquelas pequenas bolhas redondas no pano: faça o item parecer velho e abatido, como se tivessem me entregado. Bem, este produto o redefinirá de v"&amp;"olta à sua aparência original. É uma loucura como funciona, em meias, blusas, silenciadores, bonés, luvas, jaquetas de lã, calças de lã, qualquer coisa que tenha composição de fibras artificiais. Não foi apenas aquele com bateria, porque você será restrit"&amp;"o à capacidade do Bateria e quando degrada o produto é inútil - com fio é o caminho a seguir para mim. Cinco estrelas sem dúvida., Fácil de usar e um produto muito útil. Estou muito feliz, Made Plastic poderia ter sido melhor, bom produto, Funciona muito "&amp;"bem ..., remove fiapos de uma só vez. Bom para usar. Usuário pela primeira vez., Bom, muito fácil de usar e funciona muito bem. Deixa um tecido próximo e limpo depois de remover completamente o fiapo.")</f>
        <v>Sou cliente da Amazon desde 2014/15. Esta é, sem dúvida, a melhor compra que já fiz. para pílula. Pilling são aquelas pequenas bolhas redondas no pano: faça o item parecer velho e abatido, como se tivessem me entregado. Bem, este produto o redefinirá de volta à sua aparência original. É uma loucura como funciona, em meias, blusas, silenciadores, bonés, luvas, jaquetas de lã, calças de lã, qualquer coisa que tenha composição de fibras artificiais. Não foi apenas aquele com bateria, porque você será restrito à capacidade do Bateria e quando degrada o produto é inútil - com fio é o caminho a seguir para mim. Cinco estrelas sem dúvida., Fácil de usar e um produto muito útil. Estou muito feliz, Made Plastic poderia ter sido melhor, bom produto, Funciona muito bem ..., remove fiapos de uma só vez. Bom para usar. Usuário pela primeira vez., Bom, muito fácil de usar e funciona muito bem. Deixa um tecido próximo e limpo depois de remover completamente o fiapo.</v>
      </c>
    </row>
    <row r="1053">
      <c r="A1053" s="9" t="s">
        <v>4189</v>
      </c>
      <c r="B1053" s="29" t="str">
        <f>VLOOKUP(dados!A1053, reviews!A:G, 5, FALSE)</f>
        <v>Warranty,Plug is not supporting,Good product,Great,Product is good,You can go for it but...... Read review,Fabulous,Good</v>
      </c>
      <c r="C1053" s="29" t="str">
        <f>VLOOKUP(dados!A1053, reviews!A:G, 6, FALSE)</f>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v>
      </c>
      <c r="D1053" s="29" t="str">
        <f>IFERROR(__xludf.DUMMYFUNCTION("GOOGLETRANSLATE(B1053, ""en"", ""pt-br"")"),"Garantia, Plug não está apoiando, bom produto, ótimo, produto é bom, você pode ir em frente, mas ...... Leia a revisão, fabulosa, boa")</f>
        <v>Garantia, Plug não está apoiando, bom produto, ótimo, produto é bom, você pode ir em frente, mas ...... Leia a revisão, fabulosa, boa</v>
      </c>
      <c r="E1053" s="29" t="str">
        <f>IFERROR(__xludf.DUMMYFUNCTION("GOOGLETRANSLATE(C1053, ""en"", ""pt-br"")"),"A forma está ficando mudando dia a dia ... acho que durará 1 ano, o plugue não é suportado nos soquetes usados ​​em nossas casas. Precisa comprar outro soquete de 16 campo para tornar este produto utilizável. Caso contrário, será inútil., Bom produto. Aqu"&amp;"ece a água de 1 balde em 5m., Marcada e boa qualidade, usei este produto duas vezes desde a compra e é bom. O comprimento do cordão pode ser aumentado mais, para que seja fácil de usar. A água está ficando aquecida em um curto período de tempo. Há uma mar"&amp;"cação mínima e máxima no aquecedor e o aquecedor deve ser imerso dentro da água até que as marcas mínimas obrigatórias .. então A quarta -feira e a lenteira do fio são suficientes, mas com fáceis de usar, mas empacotar shi se ki hui nhi hoti4 estrela para"&amp;" um bom produto, mas removido 1 estrela para uma embalagem ruim, bom, bom, bom")</f>
        <v>A forma está ficando mudando dia a dia ... acho que durará 1 ano, o plugue não é suportado nos soquetes usados ​​em nossas casas. Precisa comprar outro soquete de 16 campo para tornar este produto utilizável. Caso contrário, será inútil., Bom produto. Aquece a água de 1 balde em 5m., Marcada e boa qualidade, usei este produto duas vezes desde a compra e é bom. O comprimento do cordão pode ser aumentado mais, para que seja fácil de usar. A água está ficando aquecida em um curto período de tempo. Há uma marcação mínima e máxima no aquecedor e o aquecedor deve ser imerso dentro da água até que as marcas mínimas obrigatórias .. então A quarta -feira e a lenteira do fio são suficientes, mas com fáceis de usar, mas empacotar shi se ki hui nhi hoti4 estrela para um bom produto, mas removido 1 estrela para uma embalagem ruim, bom, bom, bom</v>
      </c>
    </row>
    <row r="1054">
      <c r="A1054" s="9" t="s">
        <v>4195</v>
      </c>
      <c r="B1054" s="29" t="str">
        <f>VLOOKUP(dados!A1054, reviews!A:G, 5, FALSE)</f>
        <v>Easy water boiling,Its fine... to use and easy to implement.,It's a good product.,improvement required,Good utility,Must Buy Product,Good product,It's just wow product, i used for a day and then i order for one more for my child hostel. L</v>
      </c>
      <c r="C1054" s="29" t="str">
        <f>VLOOKUP(dados!A1054, reviews!A:G, 6, FALSE)</f>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It’s very easy to operate easy to clean and a very quick way to get hot water.,Very good product and helpful and polite delivery person,Cord length is very short. Difficult to reach to table</v>
      </c>
      <c r="D1054" s="29" t="str">
        <f>IFERROR(__xludf.DUMMYFUNCTION("GOOGLETRANSLATE(B1054, ""en"", ""pt-br"")"),"Fácil ebulição de água, está bem ... para usar e fácil de implementar., É um bom produto., Melhoria necessária, boa utilidade, deve comprar produto, bom produto, é apenas produto uau, eu usei por um dia e depois encomenho Para mais um para o meu filho alb"&amp;"ergue. eu")</f>
        <v>Fácil ebulição de água, está bem ... para usar e fácil de implementar., É um bom produto., Melhoria necessária, boa utilidade, deve comprar produto, bom produto, é apenas produto uau, eu usei por um dia e depois encomenho Para mais um para o meu filho albergue. eu</v>
      </c>
      <c r="E1054" s="29" t="str">
        <f>IFERROR(__xludf.DUMMYFUNCTION("GOOGLETRANSLATE(C1054, ""en"", ""pt-br"")"),"Demora aproximadamente 2 minutos para ferver a água. Portanto, é fácil de usar, a garantia deve ser real, pois tenho alguns problemas com sua superfície interna, vamos ver se eu recebo uma ajuda, é um bom produto, odor plástico muito forte após o aquecime"&amp;"nto da água, é melhor procurar chaleira com tampas de vidro. , É uma chaleira muito boa para uso em casa e cozinha. Sua qualidade de aço é muito boa, eu uso o Inalsa Kettle, é um produto muito bom. É muito fácil operar fácil de limpar e uma maneira muito "&amp;"rápida de obter água quente., Produto muito bom e uma pessoa útil e educada, o comprimento do cordão é muito curto. Difícil de alcançar para a mesa")</f>
        <v>Demora aproximadamente 2 minutos para ferver a água. Portanto, é fácil de usar, a garantia deve ser real, pois tenho alguns problemas com sua superfície interna, vamos ver se eu recebo uma ajuda, é um bom produto, odor plástico muito forte após o aquecimento da água, é melhor procurar chaleira com tampas de vidro. , É uma chaleira muito boa para uso em casa e cozinha. Sua qualidade de aço é muito boa, eu uso o Inalsa Kettle, é um produto muito bom. É muito fácil operar fácil de limpar e uma maneira muito rápida de obter água quente., Produto muito bom e uma pessoa útil e educada, o comprimento do cordão é muito curto. Difícil de alcançar para a mesa</v>
      </c>
    </row>
    <row r="1055">
      <c r="A1055" s="9" t="s">
        <v>4199</v>
      </c>
      <c r="B1055" s="29" t="str">
        <f>VLOOKUP(dados!A1055, reviews!A:G, 5, FALSE)</f>
        <v>Good product in this range,Value for money,Nice,Nice one,Superb easy to use,Everything is great only issue is durability,Fabulous,The Cable is small</v>
      </c>
      <c r="C1055" s="29" t="str">
        <f>VLOOKUP(dados!A1055, reviews!A:G, 6, FALSE)</f>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😌,nice product</v>
      </c>
      <c r="D1055" s="29" t="str">
        <f>IFERROR(__xludf.DUMMYFUNCTION("GOOGLETRANSLATE(B1055, ""en"", ""pt-br"")"),"Bom produto nesse intervalo, valor para dinheiro, bom, bom, excelente fácil de usar, tudo é ótimo, apenas um problema é durabilidade, fabuloso, o cabo é pequeno")</f>
        <v>Bom produto nesse intervalo, valor para dinheiro, bom, bom, excelente fácil de usar, tudo é ótimo, apenas um problema é durabilidade, fabuloso, o cabo é pequeno</v>
      </c>
      <c r="E1055" s="29" t="str">
        <f>IFERROR(__xludf.DUMMYFUNCTION("GOOGLETRANSLATE(C1055, ""en"", ""pt-br"")"),"O produto é bom. Mas dando 4 estrelas apenas devido a uma embalagem ruim. A caixa estava em condição aberta., Cook rápido, fácil de usar, agradável, como este produto, estou escrevendo esta revisão exatamente após 3 anos de uso. Comprei por volta de 1700,"&amp;" foi muito. Nunca enfrentei nenhum problema com a funcionalidade de indução nesses 3 anos. Mas, após 1,5 anos, o corpo externo feito de fibra plástica começou a rachadura de trás devido a carga pesada. E agora, depois de 3 anos, o fã parou de funcionar e "&amp;"outros problemas começaram a aparecer. Ainda estou para visitar a loja de reparos local para consertá -lo, uma vez que fazer será atualizado ainda mais ..., bom produto 😌, bom produto")</f>
        <v>O produto é bom. Mas dando 4 estrelas apenas devido a uma embalagem ruim. A caixa estava em condição aberta., Cook rápido, fácil de usar, agradável, como este produto, estou escrevendo esta revisão exatamente após 3 anos de uso. Comprei por volta de 1700, foi muito. Nunca enfrentei nenhum problema com a funcionalidade de indução nesses 3 anos. Mas, após 1,5 anos, o corpo externo feito de fibra plástica começou a rachadura de trás devido a carga pesada. E agora, depois de 3 anos, o fã parou de funcionar e outros problemas começaram a aparecer. Ainda estou para visitar a loja de reparos local para consertá -lo, uma vez que fazer será atualizado ainda mais ..., bom produto 😌, bom produto</v>
      </c>
    </row>
    <row r="1056">
      <c r="A1056" s="9" t="s">
        <v>4203</v>
      </c>
      <c r="B1056" s="29" t="str">
        <f>VLOOKUP(dados!A1056, reviews!A:G, 5, FALSE)</f>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v>
      </c>
      <c r="C1056" s="29" t="str">
        <f>VLOOKUP(dados!A1056, reviews!A:G, 6, FALSE)</f>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v>
      </c>
      <c r="D1056" s="29" t="str">
        <f>IFERROR(__xludf.DUMMYFUNCTION("GOOGLETRANSLATE(B1056, ""en"", ""pt-br"")"),"Novo usuário, digno a esse preço, bom em preço ao comparar com outras marcas que está tendo dois anos de garantia, mas não há proprietários adequados manuel ... que resumem a operação final e o tempo de cozimento., Ignore críticas negativas, melhor Produt"&amp;"o com um preço razoável, a melhor fritadeira de melhor qualidade que você pode obter por esse preço, pense antes de comprar")</f>
        <v>Novo usuário, digno a esse preço, bom em preço ao comparar com outras marcas que está tendo dois anos de garantia, mas não há proprietários adequados manuel ... que resumem a operação final e o tempo de cozimento., Ignore críticas negativas, melhor Produto com um preço razoável, a melhor fritadeira de melhor qualidade que você pode obter por esse preço, pense antes de comprar</v>
      </c>
      <c r="E1056" s="29" t="str">
        <f>IFERROR(__xludf.DUMMYFUNCTION("GOOGLETRANSLATE(C1056, ""en"", ""pt-br"")"),"Revisando logo após um dia usando este produto. Fizemos batatas fritas e tikka de frango e o resultado é silencioso impressionante! O livro de receitas e as dicas de culinária do código QR fornecido são realmente úteis. Espero que sirva por muito tempo. N"&amp;"ão esqueça a bela garrafa verde e dourada. .. Não faço ideia sobre o tempo de cozimento. Como usar não é descrito., Funciona bem e a qualidade do plástico é ruim, mas pode ter a temperatura com certeza. Não é um brinquedo para procurar plástico de alta qu"&amp;"alidade. E, pela metade do preço que os outros modelos, podemos ignorar isso.Funcionalidade em termos perfeitos. Apenas compre, não opte por produtos caros, pois está disponível em um preço razoável e tem tantos recursos excelentes. Estou feliz com isso, "&amp;"Pigeon nunca desapontou com sua qualidade. A melhor maneira de ter comida saudável e crocante., O resultado de cozido não fica à altura. O livro de receitas não foi anexado, então é difícil saber como cozinhar pratos diferentes. Eu tentei um pouco, mas o "&amp;"resultado foi ruim. Definitivamente, você terá que comprometer o sabor se usar este aparelho. Estou muito preocupado com o consumo atual. Pense antes de comprar essas fritadeiras.")</f>
        <v>Revisando logo após um dia usando este produto. Fizemos batatas fritas e tikka de frango e o resultado é silencioso impressionante! O livro de receitas e as dicas de culinária do código QR fornecido são realmente úteis. Espero que sirva por muito tempo. Não esqueça a bela garrafa verde e dourada. .. Não faço ideia sobre o tempo de cozimento. Como usar não é descrito., Funciona bem e a qualidade do plástico é ruim, mas pode ter a temperatura com certeza. Não é um brinquedo para procurar plástico de alta qualidade. E, pela metade do preço que os outros modelos, podemos ignorar isso.Funcionalidade em termos perfeitos. Apenas compre, não opte por produtos caros, pois está disponível em um preço razoável e tem tantos recursos excelentes. Estou feliz com isso, Pigeon nunca desapontou com sua qualidade. A melhor maneira de ter comida saudável e crocante., O resultado de cozido não fica à altura. O livro de receitas não foi anexado, então é difícil saber como cozinhar pratos diferentes. Eu tentei um pouco, mas o resultado foi ruim. Definitivamente, você terá que comprometer o sabor se usar este aparelho. Estou muito preocupado com o consumo atual. Pense antes de comprar essas fritadeiras.</v>
      </c>
    </row>
    <row r="1057">
      <c r="A1057" s="9" t="s">
        <v>4210</v>
      </c>
      <c r="B1057" s="29" t="str">
        <f>VLOOKUP(dados!A1057, reviews!A:G, 5, FALSE)</f>
        <v>Good buy,Item is good and recommendable,Worth the money,Satisfied,Good quality storage bag,Very useful,Good product,Not as shown in the picture. Different products received.</v>
      </c>
      <c r="C1057" s="29" t="str">
        <f>VLOOKUP(dados!A1057, reviews!A:G, 6, FALSE)</f>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v>
      </c>
      <c r="D1057" s="29" t="str">
        <f>IFERROR(__xludf.DUMMYFUNCTION("GOOGLETRANSLATE(B1057, ""en"", ""pt-br"")"),"Boa compra, item é bom e recomendável, vale o dinheiro, satisfeito, sacola de armazenamento de boa qualidade, muito útil, bom produto, não como mostrado na imagem. Diferentes produtos recebidos.")</f>
        <v>Boa compra, item é bom e recomendável, vale o dinheiro, satisfeito, sacola de armazenamento de boa qualidade, muito útil, bom produto, não como mostrado na imagem. Diferentes produtos recebidos.</v>
      </c>
      <c r="E1057" s="29" t="str">
        <f>IFERROR(__xludf.DUMMYFUNCTION("GOOGLETRANSLATE(C1057, ""en"", ""pt-br"")"),"Bom produto especialmente para albergues. Custo-benefício. E parece bom no seu quarto., O item é muito bom e atendeu à minha expectativa, é bom para pessoas solteiras ou duplas que compartilham espaço, eu realmente recomendo isso. Melhor Produto, https: /"&amp;"/m.media-amazon.com/images/i/7168pizheil._sy88.jpg, muito útil, bom produto nesse preço. Vá para isso.,")</f>
        <v>Bom produto especialmente para albergues. Custo-benefício. E parece bom no seu quarto., O item é muito bom e atendeu à minha expectativa, é bom para pessoas solteiras ou duplas que compartilham espaço, eu realmente recomendo isso. Melhor Produto, https: //m.media-amazon.com/images/i/7168pizheil._sy88.jpg, muito útil, bom produto nesse preço. Vá para isso.,</v>
      </c>
    </row>
    <row r="1058">
      <c r="A1058" s="9" t="s">
        <v>4218</v>
      </c>
      <c r="B1058" s="29" t="str">
        <f>VLOOKUP(dados!A1058, reviews!A:G, 5, FALSE)</f>
        <v>How to choose an iron ? This one-A decent combo of features &amp; price.Cable quality not good though.,Quality Iron for power users with effective spray &amp; steam function | Review | Guide | Tips,Doesn’t remove hard wrinkles.,Easyto use but it leaks water,Very easy to use,Good product,Quick warm up,Not good</v>
      </c>
      <c r="C1058" s="29" t="str">
        <f>VLOOKUP(dados!A1058, reviews!A:G, 6, FALSE)</f>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“not so careful handling and care”.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“Still-Decent Looking “model.6.) FEATURES LIKE ANTI DRIP ,ANTI-CALC, GRIP:xxxxxxxxxxxxxxxxxxxxxxxxxxxxxxxxxxxxxxxxxxxxxxxxxxxTo tell you the truth these are more of a fancy terms rather than actual purpose  for most of the users. Presence of these features, isn’t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soleplate.•••••••••••••••INSIDE BOX•••••••••••••••→Steam Iron inside a poly pack→Instruction leaflet/Warranty card•••••••••ABOUT•••••••••Wattage: 1440 wattWeight: ~1 kgWater Capacity: 180 mlCord length: 1.8 meterIndicator: on/off (based on temperature setting)Max Water level markingWarranty: 2 years•••••••PROS•••••••1.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only.)••••••••CONS••••••••1.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 Cons are temporary and don't affect functionality in the long run. So a ★★★★★ device.•••••••••••••••••••••••••BUTTONS &amp; KNOBS•••••••••••••••••••••••••Spray Button→ push to spraySteam Knob→ Off: no steam→ Low: less steam→ High: high steam→ Calc clean mode: calcium deposit cleaning (more below)Temperature Dial→ Rotate to set temperature cutoff for different fabric types (Linen, Cotton, Woolen, Silk, etc)••••••••••••••••••USAGE GUIDE••••••••••••••••••1.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required.•••••••••••••••USAGE TIPS•••••••••••••••1.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shocks.•••••••••••••••••••••••••••••CALC CLEANING MODE•••••••••••••••••••••••••••••This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 The principle behind this function is a sudden change in temperatures of inside zone, which leads to contraction &amp; expansion resulting in scaling shredding and flush out.•••••••••••••••••••••••••••••••••••••••••••••••••••••••••••••••••••••••••••••••••••••••••••••••••••••••••••••••••••••••••••CLARIFICATION: DAMAGE TO BODY OR PLATE &amp; OTHER ISSUES (concerns raised by other users)•••••••••••••••••••••••••••••••••••••••••••••••••••••••••••••••••••••••••••••••••••••••••••••••••••••••••••••••••••••••••••Several users posted about the damaged product or soleplate on arrival and other usage issues. Let me put my insights into those.→ I had no issue with the quality of the product delivered. It arrived in proper condition without any damage anywhere, as proper care was taken for this using air cushions. Maybe their seller was careless enough and that resulted in damage during transit.→ Soleplate had no marks on it. Yes, here Philips can provide a protective sticker or film on the plate which will reduce the ratio of complaints, for the damaged sole plate on arrival.→ Temperature dial works properly and markings are intact after months of usage.→ Slight difference in color tone maybe there across different zones, as different materials are used as per requirement. Say hot zone near plate vs cold zone at back.→ Leakage will be there if the steam knob is in steam position and iron is not sufficiently hot to convert incoming water. So it's passed directly, &amp; appears as leakage. Philips has explicitly mentioned this in product details.▶ Remember to order it from a reputed seller. Check seller ratings, reviews and amazon verified tag to avoid any issues, like the faulty product, duplicate product, etc.••••••••••••••••••••••••••••••••••••••••••••••••••••••••••••••••••••••••••••DON'T GET CONFUSED (There's No Steam Burst Mode Here)••••••••••••••••••••••••••••••••••••••••••••••••••••••••••••••••••••••••••••1.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17g/min.•••••••••••••••••••FINAL VERDICT•••••••••••••••••••▶ If you are looking for good quality, durable steaming iron in the 1.5k range, Philips is the name you should seek for. This model of Philips has got good build quality &amp; features which are more than enough for an average home user. So at any point, you can go for this model.▶ If on a lower budget (&lt;1k range) you can go for Philips GC1011 1200w or Bajaj MX 3 1250w but both are low power and Philips one misses steam spray function too. But still, both will cover most of the usage pattern of a home user.▶ Heavy users may go for Philips EasySpeed Plus GC2040 2100w or Black+Decker BD BXIR2001IN 2000w or Morphy Richards Super Glide 2000w in 2k range.••••••••NOTE••••••••→ Unlike regular lightweight irons, steam irons generally don't go easy with repairs.→ Unlike regular iron, If the coil is damaged in the steam iron whole of the bottom plate needs to be replaced &amp; if you are out of warranty it will cost you a lot. In fact, for the cost of the plate plus a few bucks, you get a new iron.→ So, check your requirement for regular vs steam iron &amp; choose wisely.,I tried removing hard wrinkles of a jeans but it couldn’t remove them properly. They were still visible even after using the steam.,Easyto use but it leaks water,Very good,Its a good product,Iron is good and the best delivery with few hours, just this iron doesn't have a stream burst...rest is good,Simple cloth iron</v>
      </c>
      <c r="D1058" s="29" t="str">
        <f>IFERROR(__xludf.DUMMYFUNCTION("GOOGLETRANSLATE(B1058, ""en"", ""pt-br"")"),"Como escolher um ferro? Esta combinação uma vez decente de recursos e preço. Revisão | Guia | Dicas, não remove as rugas duras., Fácil de usar, mas vaza água, muito fácil de usar, bom produto, aquecimento rápido, não bom")</f>
        <v>Como escolher um ferro? Esta combinação uma vez decente de recursos e preço. Revisão | Guia | Dicas, não remove as rugas duras., Fácil de usar, mas vaza água, muito fácil de usar, bom produto, aquecimento rápido, não bom</v>
      </c>
      <c r="E1058" s="29" t="str">
        <f>IFERROR(__xludf.DUMMYFUNCTION("GOOGLETRANSLATE(C1058, ""en"", ""pt-br"")"),"Atualização como em 28.10.2018: ********************************* O cabo de alimentação desenvolveu reviravoltas além do reparo e o Os núcleos separados agora são visíveis, o PVC de isolamento dos núcleos não parece muito durável. Não sei por que esses fa"&amp;"bricantes padrão não podem fornecer um cabo durável decente? weeks i'll have to change the cable for sure.Reducing one star for compromising upon the cable quality by such a big brand name.HOW IT STARTED - THE NEED FOR AN IRON:xxxxxxxxxxxxxxxxxxxxxxxxxxxx"&amp;"xxxxxxxxxxxxxxxxxxRecently , my previous Bajaj make dry iron, which I received Como presente de algum lugar, começou a dar problemas após dois anos de uso ocasional e com ""manuseio e cuidado não tão cuidadosos"". Inicialmente, seu isolamento de fios dent"&amp;"ro foi encontrado podre em torno do ponto de entrada de ferro que eu me reparei e, mais tarde, seu termostato começou a dar problemas. Finalmente, está em indicação e decidi que era hora de se despedir e encontrar um novo. Portanto, minha busca por uma ma"&amp;"rca de renome, o melhor valor para o dispositivo de dinheiro começou. Resumi bastante minhas expectativas do dispositivo de energia abaixo: 1.) Ferro seco vs Ferro a vapor: xxxxxxxxxxxxxxxxxxxxxxxxxxxxxxxxxxxxxxxxxxhis era bastante simples se considerarmo"&amp;"s a explicação que um ferro a vapor poderia executar como um ferro seco, mas vice-vice-versou. Além disso, quase sempre você encontra algumas ou outras rugas teimosas e distorções de vinco que são difíceis para o ferro seco superar e precisa usar água par"&amp;"a esse fim. Pelo contrário, à medida que o vapor afrouxa as fibras individuais das roupas, o A ação premente que a ação prementes do Steam Iron sugere as rugas, portanto, era melhor estar equipado com a instalação em primeiro lugar no próprio dispositivo."&amp;"2.) Reputação e garantia da marca: xxxxxxxxxxxxxxxxxxxxxxxxxxxxxxxxxxxxxxxxxxxxxxasas -xxxxxxxxxxxxxxxxxxxxxxxxxxxasas -xxxxxxxxxxxxxxxxxxxxxxxxxxxasas -xxxxxxxxxxxxxxxxxxxxxxxxxxasas -xxxxxxxxxxxxxxxxxxxxxxxxxxxasas públicas As marcas têm uma qualidade m"&amp;"ais alta e têm melhor desempenho. Com razão, uma marca que trabalha com um produto há décadas tem muita experiência e pesquisa sobre os possíveis pontos de falhas do produto e pode ser confiável. como ferro e vá com as super marcas como a Philips com déca"&amp;"das de especialização neste campo ... nosso produto vem com uma garantia global de dois anos que é bastante decente na minha opinião .3. xxduring Uso normal com vapor Uma entrega de qualquer coisa acima de 8 gramas/min está bem, mas alguns trabalhos de pa"&amp;"ssar a ferro, como cortinas ou colchas, requerem um suprimento muito mais de vapor. Nesses casos, o recurso de explosão do vapor é útil. Os usuários podem apertar um botão para receber uma explosão de vapor quando necessário. Mais orifícios na única placa"&amp;" contribuem para a eficácia do vapor. De suas limitações de design e tanque de água, um ferro a vapor é praticamente incapaz de abordar as rugas como essa e, portanto, pagar mais por esse recurso não é recomendado. Use a vapor de roupa dedicada para esse "&amp;"fim. ** Nossa Philips GC1905 vem com uma configuração variável Para a saída de vapor com uma entrega contínua de até 17 gramas/min, o que é muito bom. O recurso de vapor vertical não está disponível. Tão simples quanto parece. Certamente, mais watts signi"&amp;"fica mais calor gerado, mas mais potência limita nossa capacidade de preencher o ferro em qualquer soquete da casa, como para qualquer energia acima de 1500 watts, sugiro apenas plugar as tomadas de energia. Deve ser backup de um exame cuidadoso sobre se "&amp;"você realmente precisa de tanto aquecimento se for roupas normais que você precisa passar a maior parte do tempo.2. Certamente, mais calor desenvolvido é capaz de entregar mais vapor, mas isso depende do número de orifícios no seu único prato para que sej"&amp;"a realmente eficaz, o tamanho do tanque de retenção de água e, finalmente como pode pressionar o sistema. Por último, mas não menos importante - mais energia nem sempre significa aquecimento rápido, pois o aquecimento da placa de sola depende de vários fa"&amp;"tores como o material e a espessura da única placa, área de superfície do elemento de aquecimento usado dentro da sola etc. Destes detalhes intrincados, são de natureza variável e não podem ser mencionados especificamente pelo fabricante. Volts, 10 amp (m"&amp;"ax. A classificação do plugue é sempre extra para a amperagem real) 3 pinos, que podem ser facilmente conectados aos nossos soquetes casuais de 6 amp. é de cerca de 1,8 metros, o que é bom o suficiente para qualquer comprimento prático, assim como isso se"&amp;"ria complicado de manusear. O cordão é trançado com uma luva de algodão isolada, que é útil para torções e isolantes durante um dano ao cabo. Curso de uso, o cordão geralmente desenvolve reviravoltas rígidas sob a trança de algodão que é difícil de se end"&amp;"ireitar. Portanto, não é tão bom nos termos de qualidade do cabo.# O cabo vem apenas com 180 graus de movimento giratório, o que é bastante decepcionante e Eu realmente desejaria se fosse 360 ​​graus de liberdade de cordão.# O botão do termostato para a s"&amp;"eleção de temperatura vem com 5 configurações regulares, mas seguir uma marca de renome como a Philips sempre garante uma boa qualidade de termostato. Depois de tudo, o termostato é o heart and soul of modern day irons and must be highly durable and relia"&amp;"ble.# Lastly our product is an ISI marked product  which is quite an assurance for sure.5.) SOLEPLATE MATERIAL &amp; SHAPE:xxxxxxxxxxxxxxxxxxxxxxxxxxxxxxxxxxxxxxxThis is probably the toughest part where each company claims para ter as melhores e fáceis planad"&amp;"as de planície. Uma variedade de plantas soldeiras está disponível no mercado hoje, como placas de alumínio sem canto com revestimento de Teflon com revestimento de herança americano, placas de aço com ligas ou cerâmica revestida.ECH tem seus prós e contr"&amp;"as.# Teflon As placas revestidas são fáceis de ser arranhadas e reunir sujeira ao longo de um período de tempo.# A herança americana é semelhante a Teflon e desliza sobre o tecido ainda melhor.# Aço inoxidável é o mais durável e fácil de limpar, mas pode "&amp;"grudar em roupas em configurações mais altas .Adds peso no dispositivo. O metal funciona melhor do que a cerâmica para pressionar em vincos nítidos em mangas e calças.# Bom para deslizar suavemente e até distribuição de calor, mas a maior vantagem é elimi"&amp;"nar a carga estática a altas temperaturas que podem causar roupas. Quando passar a ferro em sintetizados e tecidos misturados com Spandex, um ferro de cerâmica atenderá melhor às suas necessidades, pois a cerâmica não se apega a esses tecidos, mas o reves"&amp;"timento pode descascar o manuseio grosseiro.# Soleplacas de alumínio aquecem rapidamente, mas são propensas a danos e podem aderir às roupas. ** Nosso produto Vem com uma soleira linada, que é um detalhe bastante inadequado, pois o linhagem é um processo "&amp;"de moagem ou polimento de uma superfície para torná -lo um plano perfeito.# No entanto O melhor deslizamento, é pesado, mas ainda não se apega às roupas. Fique longe dos teflon revestidos com os que estão de acordo com rápido. Nas especificações gerais, t"&amp;"ive que se acalmar com esse “modelo de aparência ainda decente“ Model.6.) dos usuários. A presença desses recursos, porém, não é um problema, pois em áreas onde a água chega duro, o anti-calc pode mexer e limpar o acúmulo de cálcio, se houver algum no tan"&amp;"que de água. No entanto, se você usar água adequada, drene-o fora de tempo, não preencha completamente o tanque, permita aquecer antes de usar o vapor e seguir todos os procedimentos corretamente, você não precisará usar esses recursos. Uma melhor aderênc"&amp;"ia. Eu não tinha nenhum preço predefinido em minha mente, mas ainda mais de 2500 se sentiria extremo por algo que não uso tanto. ** Eu comprei a um preço de cerca de 1200 dólares e para todos os recursos e o desempenho que ele oferece - acho que vale a pe"&amp;"na. O melhor giro do cordão, ainda assim, o que ele tem é-um pacote completo de todos os recursos individuais batidos juntos de uma maneira decente de desempenho direito, que é difícil de encontrar em um modelo individual., Eu recebi este sob demanda da m"&amp;"ãe. Por alguns dias, ela insistia em comprar um ferro para tarefas diárias. Eu já estava pesquisando ferro para um dos meus amigos. Portanto, essa pesquisa não durou muito. : Deven anteriormente, Philips era o único nome que me veio à mente devido à sua c"&amp;"onsistência e qualidade do produto. Eu também tinha Bajaj, Usha, Morphy na lista. Mas confie em Philips não me deixou ir para nenhuma outra marca. Consegui este ferro bem em uma peça e sem arranhões na sola. •••••••••••• → Ferro a vapor dentro de um folhe"&amp;"to de poli → folhetos de instrução/cartão de garantia •••••••• Aos abordagem de ••••••••• 1940: ~ ~ 1 kgwater Capacidade: 180 mlcord Comprimento: 1,8 Mederindicador: On/Off (com base na configuração de temperatura) Máxia da água MarkingWarranty: 2 anos ••"&amp;"•••• Pros •••••• 1. Ferro de boa qualidade com ferro e vapor eficaz.2. O corpo é sólido, com bom acabamento em geral nesta faixa. Sole com revestimento de teflon lingueado para facilitar a planação em todos os tecidos. Deslizar é um pouco limitado no modo"&amp;" de vapor devido à umidade. Cabo suficientemente longo com articulação giratória no ferro para facilitar o movimento e o uso. A capacidade do tanque de água é suficiente para a operação média de vapor (30 min ou mais em um preenchimento) .6. A função de s"&amp;"pray é bem projetada, ele espalha uniformemente a água e não apenas joga um jato fino de água. A função de spray produz uma névoa fina que umidade uniformemente o tecido, facilitando a resolução de vincos difíceis. Wattage (1440W) é suficiente para o uso "&amp;"de casas e pode facilmente cobrir rugas duras e roupas pesadas. Fácil e rápido preenchimento do tanque devido ao enorme orifício de enchimento.10. O esvaziamento fácil e completo do tanque de água devido ao grande buraco e a porta de abertura lateral.11. "&amp;"Peso no lado OK, nem um peso leve, mas nem mesmo pesado. Algum peso é útil, pois ajuda a passar a ferro, aplicando pressão no pano. (O ferro vazio é apenas leve.) O botão de controle de vapor parece solto no começo, mas funciona bem a longo prazo. O movim"&amp;"ento da água durante o ferro cria empurrões e afeta a operação suave. Mas é assim que vai funcionar e você não pode fazer nada. Para usuários regulares de ferro leves, ele parecerá volumoso no início. Mas você se acostuma em alguns dias. Nenhuma função de"&amp;" explosão de vapor neste modelo GC1905, mas você obtém o que paga. ▶ Os contras são temporários e não afetam a funcionalidade a longo prazo. Então, um dispositivo ★★★★★. • botão de pulverização para pulverizar botão → desligado: sem vapor → baixo: menos v"&amp;"apor → alto: alto vapor → calc cálculo Modo: limpeza de depósito de cálcio (mais abaixo) Dial de temperatura → girar Para definir o corte de temperatura para diferentes tipos de tecidos (linho, algodão, lã, seda, etc. ••••••• 1. Mantenha o botão &amp; Dial na"&amp;" posição OFF. Preencha o tanque no nível máximo se planeja usar a função Steam.3. Conectar -se à rede elétrica. Defina o botão de controle de temperatura na posição necessária. Deixe aquecer até que o indicador dispare. Agora opere o botão de vapor em vap"&amp;"or baixo ou alto. Desfrute de passar a ferro ou cozinhar sem interrupção até a água durar.8. Use função de pulverização de água conforme necessário. Use água filtrada RO, se possível, pois é baixa em dureza e garantirá a longevidade do ferro sem engasgar "&amp;"as aberturas ou orifícios.2. Deixe o calor de ferro corretamente antes do uso. O vazamento foi observado se alguém usar o ferro sem aquecimento corretamente, pois a água passará diretamente das aberturas sem ser convertida em vapor.3. Limpe delicadamente "&amp;"sola e não use material ou produto químico rígido. O esvaziamento do tanque de água toda vez que o uso é recomendado para evitar o problema da escala. Como os depósitos de cálcio são mais em água parada. Destange e endireitar o cordão uma vez após cada us"&amp;"o antes do armazenamento. Como esses cabos tendem a desenvolver voltas nítidas irrecuperáveis ​​ao longo do tempo e essas são zonas quentes para falha do cabo. Quando não estiver usando a função de vapor, mantenha o botão de vapor na posição off.7. Use o "&amp;"modo Calc Clean uma vez em 2 semanas se estiver usando água normal da torneira com dureza média. Se a água for muito difícil, aumente a frequência ou se estiver usando a água de água diminuir a frequência. Uma vez em alguns meses, limpe a agulha de contro"&amp;"le de vapor usando vinagre. Para remover a agulha, gire o botão para calcular o modo limpo e puxá -la suavemente para fora. Por último, mas o mais importante, use um soquete de parede aterrado adequadamente para o ferro para evitar choques. ••••••••••••••"&amp;"•••••••••••••••••• Este ferro tem um modo de limpeza de calcário para descer. Para fazer isso, siga as etapas abaixo: 1. Mantenha o botão na posição OFF a vapor. Encha o tanque para o nível máximo. Gire o disco de temperatura para a posição máxima e aguar"&amp;"de o indicador sair. Retire o soquete da rede elétrica e mova o ferro para afundar. Gire o botão de vapor para calcular a posição limpa e puxe -a para cima alguns cm.6. Que toda a água seja usada. O vapor e a água quente saem junto com os depósitos de cál"&amp;"cio. ▶ O princípio por trás dessa função é uma mudança repentina nas temperaturas da zona interna, o que leva à contração e expansão, resultando em escalonamento de trituração e liberação. 19 19 ••••••••••••••• Esclarecimento: dano ao corpo ou prato e out"&amp;"ros problemas (preocupações levantadas por outros usuários) 19 19 Vários usuários postaram sobre o produto danificado ou a sola na chegada e em outros problemas de uso. Deixe -me colocar minhas idéias nelas. → Não tive nenhum problema com a qualidade do p"&amp;"roduto entregue. Chegou em estado adequado sem nenhum dano em qualquer lugar, pois foi tomado cuidado adequado para isso usando almofadas de ar. Talvez o vendedor tenha sido descuidado o suficiente e isso resultou em danos durante o trânsito. → Soleplate "&amp;"não tinha notas. Sim, aqui a Philips pode fornecer um adesivo ou filme de proteção no prato que reduzirá a proporção de reclamações, para a única placa danificada na chegada. → Dial de temperatura funciona corretamente e as marcações estão intactas após m"&amp;"eses de uso. → Pequena diferença no tom de cor Talvez existam zonas diferentes, pois diferentes materiais são usados ​​de acordo com os requisitos. Diga a zona quente perto da placa versus a zona fria nas costas. → O vazamento estará lá se o botão de vapo"&amp;"r estiver na posição de vapor e o ferro não estiver suficientemente quente para converter a água de entrada. Portanto, é passado diretamente, e aparece como vazamento. A Philips mencionou explicitamente isso nos detalhes do produto. ▶ Lembre -se de encome"&amp;"ndá -lo de um vendedor de renome. Verifique as classificações do vendedor, as críticas e a tag da Amazon para evitar problemas, como o produto com defeito, o produto duplicado, etc. 19 Não se confunda (não há modo de explosão de vapor aqui) ••••••••••••••"&amp;"•••••••••••••••••••••••••••••••••••••••••••••••••••••••••••••••••••••••••••••••••••••••••••••••••••••••••••••••••••••••••• ••••••••••••••••••••••••••••••••••••••••• 1. Algumas das fotos exibidas são com o símbolo da função Steam Burst no botão e até algun"&amp;"s usuários mencionaram isso em suas críticas, mas não está presente neste modelo. Os modelos com a referida função têm dois botões (para spray e burst) em vez de um aqui (apenas para spray) .2. Além disso, a saída de vapor em um local é de 13g/min, outro "&amp;"local 17g/min. É realmente 17g/min. Procurando por boa qualidade e ferro durável na faixa de 1,5k, Philips é o nome que você deve procurar. Este modelo de Philips tem uma boa qualidade de construção e recursos que são mais do que suficientes para um usuár"&amp;"io doméstico médio. Portanto, a qualquer momento, você pode optar por este modelo. ▶ Se estiver com um orçamento mais baixo (faixa &lt;1k), você pode optar por Philips GC1011 1200W ou Bajaj MX 3 1250W, mas ambos são de baixa potência e também perde a função "&amp;"de pulverização de vapor. Mas ainda assim, ambos abrangem a maior parte do padrão de uso de um usuário doméstico. ▶ Os usuários pesados ​​podem ir para Philips Easyspeed Plus GC2040 2100W ou Black+Decker BD BXIR2001in 2000W ou Morphy Richards Super Glide "&amp;"2000W na linha 2K. •? Substituído e se você estiver fora da garantia, custará muito. De fato, pelo custo da placa mais alguns dólares, você recebe um novo ferro. → Então, verifique sua exigência de ferro regular vs vapor e escolha sabiamente., Tentei remo"&amp;"ver rugas duras de um jeans, mas não conseguiu remover eles adequadamente. Eles ainda eram visíveis mesmo depois de usar o vapor., Easyto Use, mas vaza água, muito bom, é um bom produto, o ferro é bom e a melhor entrega com poucas horas, apenas esse ferro"&amp;" não tem uma explosão de riacho ... descanso é bom, ferro de pano simples")</f>
        <v>Atualização como em 28.10.2018: ********************************* O cabo de alimentação desenvolveu reviravoltas além do reparo e o Os núcleos separados agora são visíveis, o PVC de isolamento dos núcleos não parece muito durável. Não sei por que esses fabricantes padrão não podem fornecer um cabo durável decente? weeks i'll have to change the cable for sure.Reducing one star for compromising upon the cable quality by such a big brand name.HOW IT STARTED - THE NEED FOR AN IRON:xxxxxxxxxxxxxxxxxxxxxxxxxxxxxxxxxxxxxxxxxxxxxxRecently , my previous Bajaj make dry iron, which I received Como presente de algum lugar, começou a dar problemas após dois anos de uso ocasional e com "manuseio e cuidado não tão cuidadosos". Inicialmente, seu isolamento de fios dentro foi encontrado podre em torno do ponto de entrada de ferro que eu me reparei e, mais tarde, seu termostato começou a dar problemas. Finalmente, está em indicação e decidi que era hora de se despedir e encontrar um novo. Portanto, minha busca por uma marca de renome, o melhor valor para o dispositivo de dinheiro começou. Resumi bastante minhas expectativas do dispositivo de energia abaixo: 1.) Ferro seco vs Ferro a vapor: xxxxxxxxxxxxxxxxxxxxxxxxxxxxxxxxxxxxxxxxxxhis era bastante simples se considerarmos a explicação que um ferro a vapor poderia executar como um ferro seco, mas vice-vice-versou. Além disso, quase sempre você encontra algumas ou outras rugas teimosas e distorções de vinco que são difíceis para o ferro seco superar e precisa usar água para esse fim. Pelo contrário, à medida que o vapor afrouxa as fibras individuais das roupas, o A ação premente que a ação prementes do Steam Iron sugere as rugas, portanto, era melhor estar equipado com a instalação em primeiro lugar no próprio dispositivo.2.) Reputação e garantia da marca: xxxxxxxxxxxxxxxxxxxxxxxxxxxxxxxxxxxxxxxxxxxxxxasas -xxxxxxxxxxxxxxxxxxxxxxxxxxxasas -xxxxxxxxxxxxxxxxxxxxxxxxxxxasas -xxxxxxxxxxxxxxxxxxxxxxxxxxasas -xxxxxxxxxxxxxxxxxxxxxxxxxxxasas públicas As marcas têm uma qualidade mais alta e têm melhor desempenho. Com razão, uma marca que trabalha com um produto há décadas tem muita experiência e pesquisa sobre os possíveis pontos de falhas do produto e pode ser confiável. como ferro e vá com as super marcas como a Philips com décadas de especialização neste campo ... nosso produto vem com uma garantia global de dois anos que é bastante decente na minha opinião .3. xxduring Uso normal com vapor Uma entrega de qualquer coisa acima de 8 gramas/min está bem, mas alguns trabalhos de passar a ferro, como cortinas ou colchas, requerem um suprimento muito mais de vapor. Nesses casos, o recurso de explosão do vapor é útil. Os usuários podem apertar um botão para receber uma explosão de vapor quando necessário. Mais orifícios na única placa contribuem para a eficácia do vapor. De suas limitações de design e tanque de água, um ferro a vapor é praticamente incapaz de abordar as rugas como essa e, portanto, pagar mais por esse recurso não é recomendado. Use a vapor de roupa dedicada para esse fim. ** Nossa Philips GC1905 vem com uma configuração variável Para a saída de vapor com uma entrega contínua de até 17 gramas/min, o que é muito bom. O recurso de vapor vertical não está disponível. Tão simples quanto parece. Certamente, mais watts significa mais calor gerado, mas mais potência limita nossa capacidade de preencher o ferro em qualquer soquete da casa, como para qualquer energia acima de 1500 watts, sugiro apenas plugar as tomadas de energia. Deve ser backup de um exame cuidadoso sobre se você realmente precisa de tanto aquecimento se for roupas normais que você precisa passar a maior parte do tempo.2. Certamente, mais calor desenvolvido é capaz de entregar mais vapor, mas isso depende do número de orifícios no seu único prato para que seja realmente eficaz, o tamanho do tanque de retenção de água e, finalmente como pode pressionar o sistema. Por último, mas não menos importante - mais energia nem sempre significa aquecimento rápido, pois o aquecimento da placa de sola depende de vários fatores como o material e a espessura da única placa, área de superfície do elemento de aquecimento usado dentro da sola etc. Destes detalhes intrincados, são de natureza variável e não podem ser mencionados especificamente pelo fabricante. Volts, 10 amp (max. A classificação do plugue é sempre extra para a amperagem real) 3 pinos, que podem ser facilmente conectados aos nossos soquetes casuais de 6 amp. é de cerca de 1,8 metros, o que é bom o suficiente para qualquer comprimento prático, assim como isso seria complicado de manusear. O cordão é trançado com uma luva de algodão isolada, que é útil para torções e isolantes durante um dano ao cabo. Curso de uso, o cordão geralmente desenvolve reviravoltas rígidas sob a trança de algodão que é difícil de se endireitar. Portanto, não é tão bom nos termos de qualidade do cabo.# O cabo vem apenas com 180 graus de movimento giratório, o que é bastante decepcionante e Eu realmente desejaria se fosse 360 ​​graus de liberdade de cordão.# O botão do termostato para a seleção de temperatura vem com 5 configurações regulares, mas seguir uma marca de renome como a Philips sempre garante uma boa qualidade de termostato. Depois de tudo, o termostato é o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para ter as melhores e fáceis planadas de planície. Uma variedade de plantas soldeiras está disponível no mercado hoje, como placas de alumínio sem canto com revestimento de Teflon com revestimento de herança americano, placas de aço com ligas ou cerâmica revestida.ECH tem seus prós e contras.# Teflon As placas revestidas são fáceis de ser arranhadas e reunir sujeira ao longo de um período de tempo.# A herança americana é semelhante a Teflon e desliza sobre o tecido ainda melhor.# Aço inoxidável é o mais durável e fácil de limpar, mas pode grudar em roupas em configurações mais altas .Adds peso no dispositivo. O metal funciona melhor do que a cerâmica para pressionar em vincos nítidos em mangas e calças.# Bom para deslizar suavemente e até distribuição de calor, mas a maior vantagem é eliminar a carga estática a altas temperaturas que podem causar roupas. Quando passar a ferro em sintetizados e tecidos misturados com Spandex, um ferro de cerâmica atenderá melhor às suas necessidades, pois a cerâmica não se apega a esses tecidos, mas o revestimento pode descascar o manuseio grosseiro.# Soleplacas de alumínio aquecem rapidamente, mas são propensas a danos e podem aderir às roupas. ** Nosso produto Vem com uma soleira linada, que é um detalhe bastante inadequado, pois o linhagem é um processo de moagem ou polimento de uma superfície para torná -lo um plano perfeito.# No entanto O melhor deslizamento, é pesado, mas ainda não se apega às roupas. Fique longe dos teflon revestidos com os que estão de acordo com rápido. Nas especificações gerais, tive que se acalmar com esse “modelo de aparência ainda decente“ Model.6.) dos usuários. A presença desses recursos, porém, não é um problema, pois em áreas onde a água chega duro, o anti-calc pode mexer e limpar o acúmulo de cálcio, se houver algum no tanque de água. No entanto, se você usar água adequada, drene-o fora de tempo, não preencha completamente o tanque, permita aquecer antes de usar o vapor e seguir todos os procedimentos corretamente, você não precisará usar esses recursos. Uma melhor aderência. Eu não tinha nenhum preço predefinido em minha mente, mas ainda mais de 2500 se sentiria extremo por algo que não uso tanto. ** Eu comprei a um preço de cerca de 1200 dólares e para todos os recursos e o desempenho que ele oferece - acho que vale a pena. O melhor giro do cordão, ainda assim, o que ele tem é-um pacote completo de todos os recursos individuais batidos juntos de uma maneira decente de desempenho direito, que é difícil de encontrar em um modelo individual., Eu recebi este sob demanda da mãe. Por alguns dias, ela insistia em comprar um ferro para tarefas diárias. Eu já estava pesquisando ferro para um dos meus amigos. Portanto, essa pesquisa não durou muito. : Deven anteriormente, Philips era o único nome que me veio à mente devido à sua consistência e qualidade do produto. Eu também tinha Bajaj, Usha, Morphy na lista. Mas confie em Philips não me deixou ir para nenhuma outra marca. Consegui este ferro bem em uma peça e sem arranhões na sola. •••••••••••• → Ferro a vapor dentro de um folheto de poli → folhetos de instrução/cartão de garantia •••••••• Aos abordagem de ••••••••• 1940: ~ ~ 1 kgwater Capacidade: 180 mlcord Comprimento: 1,8 Mederindicador: On/Off (com base na configuração de temperatura) Máxia da água MarkingWarranty: 2 anos •••••• Pros •••••• 1. Ferro de boa qualidade com ferro e vapor eficaz.2. O corpo é sólido, com bom acabamento em geral nesta faixa. Sole com revestimento de teflon lingueado para facilitar a planação em todos os tecidos. Deslizar é um pouco limitado no modo de vapor devido à umidade. Cabo suficientemente longo com articulação giratória no ferro para facilitar o movimento e o uso. A capacidade do tanque de água é suficiente para a operação média de vapor (30 min ou mais em um preenchimento) .6. A função de spray é bem projetada, ele espalha uniformemente a água e não apenas joga um jato fino de água. A função de spray produz uma névoa fina que umidade uniformemente o tecido, facilitando a resolução de vincos difíceis. Wattage (1440W) é suficiente para o uso de casas e pode facilmente cobrir rugas duras e roupas pesadas. Fácil e rápido preenchimento do tanque devido ao enorme orifício de enchimento.10. O esvaziamento fácil e completo do tanque de água devido ao grande buraco e a porta de abertura lateral.11. Peso no lado OK, nem um peso leve, mas nem mesmo pesado. Algum peso é útil, pois ajuda a passar a ferro, aplicando pressão no pano. (O ferro vazio é apenas leve.) O botão de controle de vapor parece solto no começo, mas funciona bem a longo prazo. O movimento da água durante o ferro cria empurrões e afeta a operação suave. Mas é assim que vai funcionar e você não pode fazer nada. Para usuários regulares de ferro leves, ele parecerá volumoso no início. Mas você se acostuma em alguns dias. Nenhuma função de explosão de vapor neste modelo GC1905, mas você obtém o que paga. ▶ Os contras são temporários e não afetam a funcionalidade a longo prazo. Então, um dispositivo ★★★★★. • botão de pulverização para pulverizar botão → desligado: sem vapor → baixo: menos vapor → alto: alto vapor → calc cálculo Modo: limpeza de depósito de cálcio (mais abaixo) Dial de temperatura → girar Para definir o corte de temperatura para diferentes tipos de tecidos (linho, algodão, lã, seda, etc. ••••••• 1. Mantenha o botão &amp; Dial na posição OFF. Preencha o tanque no nível máximo se planeja usar a função Steam.3. Conectar -se à rede elétrica. Defina o botão de controle de temperatura na posição necessária. Deixe aquecer até que o indicador dispare. Agora opere o botão de vapor em vapor baixo ou alto. Desfrute de passar a ferro ou cozinhar sem interrupção até a água durar.8. Use função de pulverização de água conforme necessário. Use água filtrada RO, se possível, pois é baixa em dureza e garantirá a longevidade do ferro sem engasgar as aberturas ou orifícios.2. Deixe o calor de ferro corretamente antes do uso. O vazamento foi observado se alguém usar o ferro sem aquecimento corretamente, pois a água passará diretamente das aberturas sem ser convertida em vapor.3. Limpe delicadamente sola e não use material ou produto químico rígido. O esvaziamento do tanque de água toda vez que o uso é recomendado para evitar o problema da escala. Como os depósitos de cálcio são mais em água parada. Destange e endireitar o cordão uma vez após cada uso antes do armazenamento. Como esses cabos tendem a desenvolver voltas nítidas irrecuperáveis ​​ao longo do tempo e essas são zonas quentes para falha do cabo. Quando não estiver usando a função de vapor, mantenha o botão de vapor na posição off.7. Use o modo Calc Clean uma vez em 2 semanas se estiver usando água normal da torneira com dureza média. Se a água for muito difícil, aumente a frequência ou se estiver usando a água de água diminuir a frequência. Uma vez em alguns meses, limpe a agulha de controle de vapor usando vinagre. Para remover a agulha, gire o botão para calcular o modo limpo e puxá -la suavemente para fora. Por último, mas o mais importante, use um soquete de parede aterrado adequadamente para o ferro para evitar choques. •••••••••••••••••••••••••••••••• Este ferro tem um modo de limpeza de calcário para descer. Para fazer isso, siga as etapas abaixo: 1. Mantenha o botão na posição OFF a vapor. Encha o tanque para o nível máximo. Gire o disco de temperatura para a posição máxima e aguarde o indicador sair. Retire o soquete da rede elétrica e mova o ferro para afundar. Gire o botão de vapor para calcular a posição limpa e puxe -a para cima alguns cm.6. Que toda a água seja usada. O vapor e a água quente saem junto com os depósitos de cálcio. ▶ O princípio por trás dessa função é uma mudança repentina nas temperaturas da zona interna, o que leva à contração e expansão, resultando em escalonamento de trituração e liberação. 19 19 ••••••••••••••• Esclarecimento: dano ao corpo ou prato e outros problemas (preocupações levantadas por outros usuários) 19 19 Vários usuários postaram sobre o produto danificado ou a sola na chegada e em outros problemas de uso. Deixe -me colocar minhas idéias nelas. → Não tive nenhum problema com a qualidade do produto entregue. Chegou em estado adequado sem nenhum dano em qualquer lugar, pois foi tomado cuidado adequado para isso usando almofadas de ar. Talvez o vendedor tenha sido descuidado o suficiente e isso resultou em danos durante o trânsito. → Soleplate não tinha notas. Sim, aqui a Philips pode fornecer um adesivo ou filme de proteção no prato que reduzirá a proporção de reclamações, para a única placa danificada na chegada. → Dial de temperatura funciona corretamente e as marcações estão intactas após meses de uso. → Pequena diferença no tom de cor Talvez existam zonas diferentes, pois diferentes materiais são usados ​​de acordo com os requisitos. Diga a zona quente perto da placa versus a zona fria nas costas. → O vazamento estará lá se o botão de vapor estiver na posição de vapor e o ferro não estiver suficientemente quente para converter a água de entrada. Portanto, é passado diretamente, e aparece como vazamento. A Philips mencionou explicitamente isso nos detalhes do produto. ▶ Lembre -se de encomendá -lo de um vendedor de renome. Verifique as classificações do vendedor, as críticas e a tag da Amazon para evitar problemas, como o produto com defeito, o produto duplicado, etc. 19 Não se confunda (não há modo de explosão de vapor aqui) •••••••••••••••••••••••••••••••••••••••••••••••••••••••••••••••••••••••••••••••••••••••••••••••••••••••••••••••••••••••••••••••••••••••• ••••••••••••••••••••••••••••••••••••••••• 1. Algumas das fotos exibidas são com o símbolo da função Steam Burst no botão e até alguns usuários mencionaram isso em suas críticas, mas não está presente neste modelo. Os modelos com a referida função têm dois botões (para spray e burst) em vez de um aqui (apenas para spray) .2. Além disso, a saída de vapor em um local é de 13g/min, outro local 17g/min. É realmente 17g/min. Procurando por boa qualidade e ferro durável na faixa de 1,5k, Philips é o nome que você deve procurar. Este modelo de Philips tem uma boa qualidade de construção e recursos que são mais do que suficientes para um usuário doméstico médio. Portanto, a qualquer momento, você pode optar por este modelo. ▶ Se estiver com um orçamento mais baixo (faixa &lt;1k), você pode optar por Philips GC1011 1200W ou Bajaj MX 3 1250W, mas ambos são de baixa potência e também perde a função de pulverização de vapor. Mas ainda assim, ambos abrangem a maior parte do padrão de uso de um usuário doméstico. ▶ Os usuários pesados ​​podem ir para Philips Easyspeed Plus GC2040 2100W ou Black+Decker BD BXIR2001in 2000W ou Morphy Richards Super Glide 2000W na linha 2K. •? Substituído e se você estiver fora da garantia, custará muito. De fato, pelo custo da placa mais alguns dólares, você recebe um novo ferro. → Então, verifique sua exigência de ferro regular vs vapor e escolha sabiamente., Tentei remover rugas duras de um jeans, mas não conseguiu remover eles adequadamente. Eles ainda eram visíveis mesmo depois de usar o vapor., Easyto Use, mas vaza água, muito bom, é um bom produto, o ferro é bom e a melhor entrega com poucas horas, apenas esse ferro não tem uma explosão de riacho ... descanso é bom, ferro de pano simples</v>
      </c>
    </row>
    <row r="1059">
      <c r="A1059" s="9" t="s">
        <v>4223</v>
      </c>
      <c r="B1059" s="29" t="str">
        <f>VLOOKUP(dados!A1059, reviews!A:G, 5, FALSE)</f>
        <v>Needs accessories,Gets water hot in under 10 mins,Slightly disappointed,Useful,Value for your money,Havells water heater is an excellent product.,v.nice,This product is very good and easy to use</v>
      </c>
      <c r="C1059" s="29" t="str">
        <f>VLOOKUP(dados!A1059, reviews!A:G, 6, FALSE)</f>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v>
      </c>
      <c r="D1059" s="29" t="str">
        <f>IFERROR(__xludf.DUMMYFUNCTION("GOOGLETRANSLATE(B1059, ""en"", ""pt-br"")"),"Precisa de acessórios, deixa a água quente em menos de 10 minutos, um pouco decepcionada, útil, valor para o seu dinheiro, o aquecedor de água Havells é um excelente produto., V.Nice, este produto é muito bom e fácil de usar")</f>
        <v>Precisa de acessórios, deixa a água quente em menos de 10 minutos, um pouco decepcionada, útil, valor para o seu dinheiro, o aquecedor de água Havells é um excelente produto., V.Nice, este produto é muito bom e fácil de usar</v>
      </c>
      <c r="E1059" s="29" t="str">
        <f>IFERROR(__xludf.DUMMYFUNCTION("GOOGLETRANSLATE(C1059, ""en"", ""pt-br"")"),"Os aquecedores de imersão mudaram muito pouco em termos de recursos ou design ao longo dos 40 anos ou mais, eu os uso. E, independentemente de qual nome de marca esteja carimbado, eles se parecem com clones um do outro. Foi, portanto, com alguma emoção qu"&amp;"e comprei esse modelo Havells que tinha pelo menos três recursos novos: uma instalação de corte automático, um botão de controle de temperatura e uma cobertura de plástico protetora para essa parte dos usuários do aquecedor poderia entrar em contato acide"&amp;"ntal com. Mas um pouco da minha emoção drenada quando o aquecedor chegou. Eu não poderia usá -lo imediatamente, porque possui um cabo que tem apenas um metro de comprimento, e ele simplesmente não conseguiu chegar ao soquete 16A em que precisa ser conecta"&amp;"do. Esses soquetes pesados ​​são normalmente posicionados no alto da maioria dos banheiros, para que sejam facilmente acessíveis a todos os curadores de água de armazenamento que possam ser instalados. Os Havells deveriam ter concedido subsídios para isso"&amp;" e adicionado pelo menos mais pé e meio ao comprimento do cordão. Para um fabricante em larga escala, esse comprimento extra faria pouca diferença no custo de produção. De qualquer forma, o produto custa algumas centenas de rúpias do que outros aquecedore"&amp;"s de 1500W (o MRP é ainda mais alto, em Rs1000). No meu caso, portanto, o aquecedor teve que ser 'acessório' antes que pudesse ser usado: eu tinha comprar um banquinho que elevaria o balde do chão e, assim, compensaria a falta do cordão. E não, não pode s"&amp;"er nenhum banquinho deitado em sua casa: tem que ser um banquinho de uma certa altura, cerca de 14 polegadas para mim. Qualquer mais alto, e o balde não pode ser acomodado sob a torneira; Qualquer curto, e você começa a xingar novamente por sua obra com o"&amp;" cordão. O banquinho levou dois dias para chegar, e eu 'inaugurei' o aquecedor apenas quatro dias depois de ser entregue. Graças a Deus meu antigo aquecedor de imersão ainda era utilizável, apesar de sua condição fortemente calcificada. Há mais um problem"&amp;"a com este aquecedor: embora ele permita que você escolha entre três configurações de temperatura, você não sabe qual valor cada configuração corresponde a . O que significa 'alta' temperatura - 60 graus Celsius? Setenta? Descobri da maneira mais difícil "&amp;"quando ajustei a temperatura alta, e o aquecedor não se deslocava por 15 minutos, o que é cinco minutos a mais do que o tempo que meu aquecedor antigo leva para aquecer cerca de 20 litros de água. E até então, a água ficou escaldante. Eu tentei o cenário "&amp;"'médio' no dia seguinte e, novamente, tive a experiência desagradável de ter que lidar com água quente extra. Talvez a configuração certa seja 'baixa' então. Eu não tenho certeza. Nem a literatura de produto que acompanha o aquecedor nem o site da Havells"&amp;" têm qualquer informação que o ajudará a escolher a configuração certa e impedir que você se queime. Então, ambos os recursos inovadores deste aquecedor que me fizeram comprá -lo - a configuração de calor variável E o corte automático-acabou sendo bastant"&amp;"e inútil. Eu ainda tenho que depender do meu instinto e da minha experiência com meu antigo aquecedor 'Featureless' e desligar manualmente o aquecedor quando acho que fez o seu trabalho. Tenho uma pergunta para outros usuários deste produto ou para o fabr"&amp;"icante : A temperatura pode ser definida como valores intermediários, algo entre 'baixo' e 'meio', por exemplo. A maneira como o botão de controle é marcado, com várias linhas entre as predefinições, sugere que isso é possível. Ou talvez isso seja mais um"&amp;"a característica ""inútil"" desse aquecedor sofisticado. Mais tentativa e erro? Mas esse equipamento tão básico deve ser tão difícil de usar? Updateafter Uso por uma semana desse aquecedor, gostaria de adicionar uma palavra de cautela para o benefício de "&amp;"outros compradores e usuários. Como o aquecedor tem sua própria luz indicadora, que desliga a temperatura definida, você pode esquecer de desligar o interruptor, principalmente se o interruptor estiver longe do soquete, como em alguns banheiros contemporâ"&amp;"neos que têm todos os interruptores reunidos no porta do banheiro. Se você esquecer de desligar o soquete e, enquanto isso, removeu o aquecedor do balde, ele começará a aquecer novamente quando a temperatura estiver abaixo do valor definido. Esse aquecime"&amp;"nto a seco danificará o aquecedor e a parede, se você pendurar o aquecedor. Mas, mais significativamente, também será extremamente perigoso se seu corpo estiver molhado, e não há ninguém por perto para desligar o soquete para você. Isso aconteceu comigo d"&amp;"uas vezes. Me chame de burro, se quiser, mas tenha cuidado. O produto é bom e faz o seu trabalho. Não encontrei nenhum uso do recurso de termostato, como se ele desligasse automaticamente o temperamento baixo em si mesmo é muito quente. Leva apenas 5 a 7 "&amp;"minutos para preparar a água. Além disso, o produto diz que a haste não deve tocar no balde, mas o identificador do produto é feito de tal maneira que toca, mas isso não causa problemas. Não é à prova de choque, portanto, não verifique a temperatura da ág"&amp;"ua com ela ligada., Produto recebido com alguns arranhões, não sei como o produto do pacote interno fica com os arranhões do que tudo o que está tudo bem, o produto é bom e é à prova de choques por segurança, mas não recomendado Toque em água, valor ao di"&amp;"nheiro, produto é bom e satisfatório, um pequeno problema que o cordão é pouco duro., Está funcionando como esperado. Nenhum problema encontrado até agora, mas observei que a luz vermelha não está chegando completamente. Eu podia ver apenas a luz vermelha"&amp;" parcial é visível. No geral, o melhor produto, bom, este produto é muito bom e fácil de usar, mas seu plugue é de 16 amperes que deveriam ter sido de 6 amperes")</f>
        <v>Os aquecedores de imersão mudaram muito pouco em termos de recursos ou design ao longo dos 40 anos ou mais, eu os uso. E, independentemente de qual nome de marca esteja carimbado, eles se parecem com clones um do outro. Foi, portanto, com alguma emoção que comprei esse modelo Havells que tinha pelo menos três recursos novos: uma instalação de corte automático, um botão de controle de temperatura e uma cobertura de plástico protetora para essa parte dos usuários do aquecedor poderia entrar em contato acidental com. Mas um pouco da minha emoção drenada quando o aquecedor chegou. Eu não poderia usá -lo imediatamente, porque possui um cabo que tem apenas um metro de comprimento, e ele simplesmente não conseguiu chegar ao soquete 16A em que precisa ser conectado. Esses soquetes pesados ​​são normalmente posicionados no alto da maioria dos banheiros, para que sejam facilmente acessíveis a todos os curadores de água de armazenamento que possam ser instalados. Os Havells deveriam ter concedido subsídios para isso e adicionado pelo menos mais pé e meio ao comprimento do cordão. Para um fabricante em larga escala, esse comprimento extra faria pouca diferença no custo de produção. De qualquer forma, o produto custa algumas centenas de rúpias do que outros aquecedores de 1500W (o MRP é ainda mais alto, em Rs1000). No meu caso, portanto, o aquecedor teve que ser 'acessório' antes que pudesse ser usado: eu tinha comprar um banquinho que elevaria o balde do chão e, assim, compensaria a falta do cordão. E não, não pode ser nenhum banquinho deitado em sua casa: tem que ser um banquinho de uma certa altura, cerca de 14 polegadas para mim. Qualquer mais alto, e o balde não pode ser acomodado sob a torneira; Qualquer curto, e você começa a xingar novamente por sua obra com o cordão. O banquinho levou dois dias para chegar, e eu 'inaugurei' o aquecedor apenas quatro dias depois de ser entregue. Graças a Deus meu antigo aquecedor de imersão ainda era utilizável, apesar de sua condição fortemente calcificada. Há mais um problema com este aquecedor: embora ele permita que você escolha entre três configurações de temperatura, você não sabe qual valor cada configuração corresponde a . O que significa 'alta' temperatura - 60 graus Celsius? Setenta? Descobri da maneira mais difícil quando ajustei a temperatura alta, e o aquecedor não se deslocava por 15 minutos, o que é cinco minutos a mais do que o tempo que meu aquecedor antigo leva para aquecer cerca de 20 litros de água. E até então, a água ficou escaldante. Eu tentei o cenário 'médio' no dia seguinte e, novamente, tive a experiência desagradável de ter que lidar com água quente extra. Talvez a configuração certa seja 'baixa' então. Eu não tenho certeza. Nem a literatura de produto que acompanha o aquecedor nem o site da Havells têm qualquer informação que o ajudará a escolher a configuração certa e impedir que você se queime. Então, ambos os recursos inovadores deste aquecedor que me fizeram comprá -lo - a configuração de calor variável E o corte automático-acabou sendo bastante inútil. Eu ainda tenho que depender do meu instinto e da minha experiência com meu antigo aquecedor 'Featureless' e desligar manualmente o aquecedor quando acho que fez o seu trabalho. Tenho uma pergunta para outros usuários deste produto ou para o fabricante : A temperatura pode ser definida como valores intermediários, algo entre 'baixo' e 'meio', por exemplo. A maneira como o botão de controle é marcado, com várias linhas entre as predefinições, sugere que isso é possível. Ou talvez isso seja mais uma característica "inútil" desse aquecedor sofisticado. Mais tentativa e erro? Mas esse equipamento tão básico deve ser tão difícil de usar? Updateafter Uso por uma semana desse aquecedor, gostaria de adicionar uma palavra de cautela para o benefício de outros compradores e usuários. Como o aquecedor tem sua própria luz indicadora, que desliga a temperatura definida, você pode esquecer de desligar o interruptor, principalmente se o interruptor estiver longe do soquete, como em alguns banheiros contemporâneos que têm todos os interruptores reunidos no porta do banheiro. Se você esquecer de desligar o soquete e, enquanto isso, removeu o aquecedor do balde, ele começará a aquecer novamente quando a temperatura estiver abaixo do valor definido. Esse aquecimento a seco danificará o aquecedor e a parede, se você pendurar o aquecedor. Mas, mais significativamente, também será extremamente perigoso se seu corpo estiver molhado, e não há ninguém por perto para desligar o soquete para você. Isso aconteceu comigo duas vezes. Me chame de burro, se quiser, mas tenha cuidado. O produto é bom e faz o seu trabalho. Não encontrei nenhum uso do recurso de termostato, como se ele desligasse automaticamente o temperamento baixo em si mesmo é muito quente. Leva apenas 5 a 7 minutos para preparar a água. Além disso, o produto diz que a haste não deve tocar no balde, mas o identificador do produto é feito de tal maneira que toca, mas isso não causa problemas. Não é à prova de choque, portanto, não verifique a temperatura da água com ela ligada., Produto recebido com alguns arranhões, não sei como o produto do pacote interno fica com os arranhões do que tudo o que está tudo bem, o produto é bom e é à prova de choques por segurança, mas não recomendado Toque em água, valor ao dinheiro, produto é bom e satisfatório, um pequeno problema que o cordão é pouco duro., Está funcionando como esperado. Nenhum problema encontrado até agora, mas observei que a luz vermelha não está chegando completamente. Eu podia ver apenas a luz vermelha parcial é visível. No geral, o melhor produto, bom, este produto é muito bom e fácil de usar, mas seu plugue é de 16 amperes que deveriam ter sido de 6 amperes</v>
      </c>
    </row>
    <row r="1060">
      <c r="A1060" s="9" t="s">
        <v>4227</v>
      </c>
      <c r="B1060" s="29" t="str">
        <f>VLOOKUP(dados!A1060, reviews!A:G, 5, FALSE)</f>
        <v>Good product, removes lint efficiently.,Good product. Does job well.,A recommended product,Easy to use,Good product,The Product Is Very Useful Thanks To Agaro,Good lint remover,Nice product</v>
      </c>
      <c r="C1060" s="29" t="str">
        <f>VLOOKUP(dados!A1060, reviews!A:G, 6, FALSE)</f>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v>
      </c>
      <c r="D1060" s="29" t="str">
        <f>IFERROR(__xludf.DUMMYFUNCTION("GOOGLETRANSLATE(B1060, ""en"", ""pt-br"")"),"Bom produto, remove o fiapo com eficiência., Bom produto. Trabalho bem., Um produto recomendado, fácil de usar, bom produto, o produto é muito útil graças a Agaro, bom removedor de fiapos, bom produto")</f>
        <v>Bom produto, remove o fiapo com eficiência., Bom produto. Trabalho bem., Um produto recomendado, fácil de usar, bom produto, o produto é muito útil graças a Agaro, bom removedor de fiapos, bom produto</v>
      </c>
      <c r="E1060" s="29" t="str">
        <f>IFERROR(__xludf.DUMMYFUNCTION("GOOGLETRANSLATE(C1060, ""en"", ""pt-br"")"),"Eu tenho usado este produto nos últimos dias e ele remove o fiapo com muita eficiência. Muito útil para usar. No entanto, às vezes alguns fiapos permanecem abaixo das lâminas e não são completamente expulsos, mas depois de limpar, funciona bem. No geral, "&amp;"vou dar 4 estrelas. ,, um bom produto, recomendaria comprar um produto de marca do que um produto sem marca. Muito bem, sem problemas e a qualidade construída também é boa, produto sem fio")</f>
        <v>Eu tenho usado este produto nos últimos dias e ele remove o fiapo com muita eficiência. Muito útil para usar. No entanto, às vezes alguns fiapos permanecem abaixo das lâminas e não são completamente expulsos, mas depois de limpar, funciona bem. No geral, vou dar 4 estrelas. ,, um bom produto, recomendaria comprar um produto de marca do que um produto sem marca. Muito bem, sem problemas e a qualidade construída também é boa, produto sem fio</v>
      </c>
    </row>
    <row r="1061">
      <c r="A1061" s="9" t="s">
        <v>4231</v>
      </c>
      <c r="B1061" s="29" t="str">
        <f>VLOOKUP(dados!A1061, reviews!A:G, 5, FALSE)</f>
        <v>Kettle is good but bottle is not good quality,Good,Ok,Bottle is not sturdy; kettle id light but heats fast,Value for money,Steel Quality is not as per expectation,Satisfactory experience,Good</v>
      </c>
      <c r="C1061" s="29" t="str">
        <f>VLOOKUP(dados!A1061, reviews!A:G, 6, FALSE)</f>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v>
      </c>
      <c r="D1061" s="29" t="str">
        <f>IFERROR(__xludf.DUMMYFUNCTION("GOOGLETRANSLATE(B1061, ""en"", ""pt-br"")"),"A chaleira é boa, mas a garrafa não é de boa qualidade, boa, ok, a garrafa não é resistente; Luz de identificação de chaleira, mas aquece rapidamente, valor ao dinheiro, a qualidade do aço não é conforme expectativa, experiência satisfatória, bom")</f>
        <v>A chaleira é boa, mas a garrafa não é de boa qualidade, boa, ok, a garrafa não é resistente; Luz de identificação de chaleira, mas aquece rapidamente, valor ao dinheiro, a qualidade do aço não é conforme expectativa, experiência satisfatória, bom</v>
      </c>
      <c r="E1061" s="29" t="str">
        <f>IFERROR(__xludf.DUMMYFUNCTION("GOOGLETRANSLATE(C1061, ""en"", ""pt-br"")"),"A qualidade da garrafa não é boa., Melhor para água quente, https: //m.media-amazon.com/images/i/71hgsliebil._sy88.jpg, como o preço, a garrafa não é resistente e muito leve. A chaleira também é fina, mas aquece rapidamente. Como outro padrão de mercado, "&amp;"a garrafa e a chaleira devem ser resistentes. Tem que lidar com muito delicadamente Dent será inevitável. O produto é um bom pacote. A garrafa acompanhada é uma garrafa de aço comum e não uma garrafa térmica. A chaleira é muito difícil de limpar, então é "&amp;"melhor evitar fazer qualquer coisa que a manche. O interruptor parecia ficar preso, mas com um pouco de empurrão começou a funcionar novamente., Qualidade de aço não é boa, a chaleira é boa para os invernos. Você pode ferver a água em alguns minutos. Mas "&amp;"o comprimento do cordão é curto. Seria melhor se for há muito tempo. No geral, a experiência foi boa. Você pode ir em frente. É realmente um produto incrível para seus pais. É por isso que estou classificando 4 estrelas., Bom")</f>
        <v>A qualidade da garrafa não é boa., Melhor para água quente, https: //m.media-amazon.com/images/i/71hgsliebil._sy88.jpg, como o preço, a garrafa não é resistente e muito leve. A chaleira também é fina, mas aquece rapidamente. Como outro padrão de mercado, a garrafa e a chaleira devem ser resistentes. Tem que lidar com muito delicadamente Dent será inevitável. O produto é um bom pacote. A garrafa acompanhada é uma garrafa de aço comum e não uma garrafa térmica. A chaleira é muito difícil de limpar, então é melhor evitar fazer qualquer coisa que a manche. O interruptor parecia ficar preso, mas com um pouco de empurrão começou a funcionar novamente., Qualidade de aço não é boa, a chaleira é boa para os invernos. Você pode ferver a água em alguns minutos. Mas o comprimento do cordão é curto. Seria melhor se for há muito tempo. No geral, a experiência foi boa. Você pode ir em frente. É realmente um produto incrível para seus pais. É por isso que estou classificando 4 estrelas., Bom</v>
      </c>
    </row>
    <row r="1062">
      <c r="A1062" s="9" t="s">
        <v>4235</v>
      </c>
      <c r="B1062" s="29" t="str">
        <f>VLOOKUP(dados!A1062, reviews!A:G, 5, FALSE)</f>
        <v>Used almost for a month,User friendly product  worth the money.  The product working fast.,Very happy with cookwell services,Worth,Very good product...,Good product,Good Customer Service,Good one easy to use</v>
      </c>
      <c r="C1062" s="29" t="str">
        <f>VLOOKUP(dados!A1062, reviews!A:G, 6, FALSE)</f>
        <v>ProsCan use for preparing purée and small portion grindingsLess noiseLess space requiredEasily portable compact in sizeConsThe small jar started to crack a bit don’t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v>
      </c>
      <c r="D1062" s="29" t="str">
        <f>IFERROR(__xludf.DUMMYFUNCTION("GOOGLETRANSLATE(B1062, ""en"", ""pt-br"")"),"Usado quase por um mês, um produto fácil de usar vale o dinheiro. O produto que trabalha rápido., Muito feliz com os serviços de Cookwell, vale a pena, muito bom produto ..., bom produto, bom atendimento ao cliente, bom e fácil de usar")</f>
        <v>Usado quase por um mês, um produto fácil de usar vale o dinheiro. O produto que trabalha rápido., Muito feliz com os serviços de Cookwell, vale a pena, muito bom produto ..., bom produto, bom atendimento ao cliente, bom e fácil de usar</v>
      </c>
      <c r="E1062" s="29" t="str">
        <f>IFERROR(__xludf.DUMMYFUNCTION("GOOGLETRANSLATE(C1062, ""en"", ""pt-br"")"),"Uso proscano para preparar o purê e o espaço silencioso sem barulho necessários para o compacto portátil em sizcons. Bem como itens secos, o produto que está funcionando está bem, eu enfrento um problema, imediatamente entrei em contato com o atendimento "&amp;"ao cliente, essa pessoa ficou clara o problema dentro de um dia. Feliz em comprar o produto., Ele parou de funcionar em 2 usos, mas a empresa Cookwell Substitui por uma nova em 10 dias. Então, uma estrela de 5 estrelas para a Cookwell Services., Bom produ"&amp;"to ... fácil de usar ... o dinheiro. A garantia também era fácil de reivindicar, bom, bom produto e feliz para o suporte ao atendimento ao cliente. 😊, o produto está funcionando bem ... já faz mais de meio ano ... e eu tive um problema com um dos lâminas"&amp;" Isso começou a vazar enquanto estava em uso, mas entrei em contato com o suporte ao cliente e eles foram muito úteis e me ofereceram uma nova lâmina ... em suma, estou feliz com minha compra ... :), bom de fácil usar e se Qualquer problema de máquina, o "&amp;"serviço também é muito bom.")</f>
        <v>Uso proscano para preparar o purê e o espaço silencioso sem barulho necessários para o compacto portátil em sizcons. Bem como itens secos, o produto que está funcionando está bem, eu enfrento um problema, imediatamente entrei em contato com o atendimento ao cliente, essa pessoa ficou clara o problema dentro de um dia. Feliz em comprar o produto., Ele parou de funcionar em 2 usos, mas a empresa Cookwell Substitui por uma nova em 10 dias. Então, uma estrela de 5 estrelas para a Cookwell Services., Bom produto ... fácil de usar ... o dinheiro. A garantia também era fácil de reivindicar, bom, bom produto e feliz para o suporte ao atendimento ao cliente. 😊, o produto está funcionando bem ... já faz mais de meio ano ... e eu tive um problema com um dos lâminas Isso começou a vazar enquanto estava em uso, mas entrei em contato com o suporte ao cliente e eles foram muito úteis e me ofereceram uma nova lâmina ... em suma, estou feliz com minha compra ... :), bom de fácil usar e se Qualquer problema de máquina, o serviço também é muito bom.</v>
      </c>
    </row>
    <row r="1063">
      <c r="A1063" s="9" t="s">
        <v>4241</v>
      </c>
      <c r="B1063" s="29" t="str">
        <f>VLOOKUP(dados!A1063, reviews!A:G, 5, FALSE)</f>
        <v>Good Portable product,Product is good but within 3/4 uses battery is dead now have to change its battery(cell),Finally I got my item and it works fine.,Overall Very good products and value for money , go for it,Wonderful product,Nice,It was just osm,It's best</v>
      </c>
      <c r="C1063" s="29" t="str">
        <f>VLOOKUP(dados!A1063, reviews!A:G, 6, FALSE)</f>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v>
      </c>
      <c r="D1063" s="29" t="str">
        <f>IFERROR(__xludf.DUMMYFUNCTION("GOOGLETRANSLATE(B1063, ""en"", ""pt-br"")"),"Bom produto portátil, o produto é bom, mas dentro de 3/4 usa a bateria está morto agora tem que alterar sua bateria (célula), finalmente recebi meu item e funciona bem., No geral, produtos muito bons e valor por dinheiro, vá em frente, Produto maravilhoso"&amp;", bom, era apenas osm, é o melhor")</f>
        <v>Bom produto portátil, o produto é bom, mas dentro de 3/4 usa a bateria está morto agora tem que alterar sua bateria (célula), finalmente recebi meu item e funciona bem., No geral, produtos muito bons e valor por dinheiro, vá em frente, Produto maravilhoso, bom, era apenas osm, é o melhor</v>
      </c>
      <c r="E1063" s="29" t="str">
        <f>IFERROR(__xludf.DUMMYFUNCTION("GOOGLETRANSLATE(C1063, ""en"", ""pt-br"")"),"Portátil, fácil de usar, faz bem o trabalho. No entanto, a limpeza de lâminas parecia difícil com a escova fornecida. Alguma escova de limpeza de estilo de swab em uma extremidade provavelmente teria feito melhor. No geral, um bom produto chinês, sua dura"&amp;"bilidade da bateria é menos, bom produto, em geral, produtos muito bons e valor para dinheiro, vá em frente, bom produto como esperado e realmente Remove o fiapo das roupas, veja quanto tempo funciona a bateria., Excelente produto, era apenas OSM. Fiquei "&amp;"tão chocado depois de usá -lo. Muito bom, recomendo a todos para comprá -lo. É muito útil seriamente, funciona muito bem e fácil de usar, poderoso também")</f>
        <v>Portátil, fácil de usar, faz bem o trabalho. No entanto, a limpeza de lâminas parecia difícil com a escova fornecida. Alguma escova de limpeza de estilo de swab em uma extremidade provavelmente teria feito melhor. No geral, um bom produto chinês, sua durabilidade da bateria é menos, bom produto, em geral, produtos muito bons e valor para dinheiro, vá em frente, bom produto como esperado e realmente Remove o fiapo das roupas, veja quanto tempo funciona a bateria., Excelente produto, era apenas OSM. Fiquei tão chocado depois de usá -lo. Muito bom, recomendo a todos para comprá -lo. É muito útil seriamente, funciona muito bem e fácil de usar, poderoso também</v>
      </c>
    </row>
    <row r="1064">
      <c r="A1064" s="9" t="s">
        <v>4245</v>
      </c>
      <c r="B1064" s="29" t="str">
        <f>VLOOKUP(dados!A1064, reviews!A:G, 5, FALSE)</f>
        <v>Products review,Good &amp; easy to use.,Good and portable,Motor Like unusal Noise,Better product with value for money.,Nice product from havells,Very easy to yse and portable those looking for small room this s best to buy,it's good choice</v>
      </c>
      <c r="C1064" s="29" t="str">
        <f>VLOOKUP(dados!A1064, reviews!A:G, 6, FALSE)</f>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v>
      </c>
      <c r="D1064" s="29" t="str">
        <f>IFERROR(__xludf.DUMMYFUNCTION("GOOGLETRANSLATE(B1064, ""en"", ""pt-br"")"),"Revisão de produtos, bom e fácil de usar., Bom e portátil, motor como ruído não -consumal, melhor produto com relação custo boa escolha")</f>
        <v>Revisão de produtos, bom e fácil de usar., Bom e portátil, motor como ruído não -consumal, melhor produto com relação custo boa escolha</v>
      </c>
      <c r="E1064" s="29" t="str">
        <f>IFERROR(__xludf.DUMMYFUNCTION("GOOGLETRANSLATE(C1064, ""en"", ""pt-br"")"),"Valor para o Power Power Goodone Ponto de perda de temperatura O fundo não é adicionado, minha mãe de 88 anos considera eficaz e fácil de usar., É minúsculo e aquece facilmente a sala .. portátil ... vai parar se girarmos o botão próximo a menos ou se hou"&amp;"ver flutuações na corrente, senão tudo bem .., oi time, vendedor eu gostaria de trazer para perceber que, ao mesmo tempo em que operar "", há um ruído muito irritante que não é muito bom enquanto trabalha. Para Mark Havells com essa figura de marca, falho"&amp;"u miseravelmente em justificar o mesmo. A capacidade de aquecimento é boa para o frio de Delhi, mas o som ou o ruído é muito irritante, é bom para fazer uma sala quente com temperatura., Boa compra 2,5 pés cordão de cordão Lambi Hoti Toh Max Aata Mazzza, "&amp;"https: //m.media-amazon.com/images/w/webp_402378-t2/images/i/71uuzy-5bpl._sy88.jpg,")</f>
        <v>Valor para o Power Power Goodone Ponto de perda de temperatura O fundo não é adicionado, minha mãe de 88 anos considera eficaz e fácil de usar., É minúsculo e aquece facilmente a sala .. portátil ... vai parar se girarmos o botão próximo a menos ou se houver flutuações na corrente, senão tudo bem .., oi time, vendedor eu gostaria de trazer para perceber que, ao mesmo tempo em que operar ", há um ruído muito irritante que não é muito bom enquanto trabalha. Para Mark Havells com essa figura de marca, falhou miseravelmente em justificar o mesmo. A capacidade de aquecimento é boa para o frio de Delhi, mas o som ou o ruído é muito irritante, é bom para fazer uma sala quente com temperatura., Boa compra 2,5 pés cordão de cordão Lambi Hoti Toh Max Aata Mazzza, https: //m.media-amazon.com/images/w/webp_402378-t2/images/i/71uuzy-5bpl._sy88.jpg,</v>
      </c>
    </row>
    <row r="1065">
      <c r="A1065" s="9" t="s">
        <v>4249</v>
      </c>
      <c r="B1065" s="29" t="str">
        <f>VLOOKUP(dados!A1065, reviews!A:G, 5, FALSE)</f>
        <v>Vaccum cleaner,Ok,Good product,Quite loud, heats quickly but very good for cleaning upholstery,Compact in size,Only for limited &amp; light duty usage,Value for money, Good bargain,Handy n works well</v>
      </c>
      <c r="C1065" s="29" t="str">
        <f>VLOOKUP(dados!A1065, reviews!A:G, 6, FALSE)</f>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usage.,It’s a good vaccum, good suction and easy to clean up. However the suction sound is quite loud. Nevertheless it’s a good machine. Does the job well.,The product works well. It just heats up after using for 15mins.</v>
      </c>
      <c r="D1065" s="29" t="str">
        <f>IFERROR(__xludf.DUMMYFUNCTION("GOOGLETRANSLATE(B1065, ""en"", ""pt-br"")"),"Vaccum Cleaner, OK, bom produto, bastante alto, aquece rapidamente, mas muito bom para limpar o estofamento, compacto em tamanho, apenas para uso limitado e de serviço leve, valor por dinheiro, boa pechincha, Handy N funciona bem")</f>
        <v>Vaccum Cleaner, OK, bom produto, bastante alto, aquece rapidamente, mas muito bom para limpar o estofamento, compacto em tamanho, apenas para uso limitado e de serviço leve, valor por dinheiro, boa pechincha, Handy N funciona bem</v>
      </c>
      <c r="E1065" s="29" t="str">
        <f>IFERROR(__xludf.DUMMYFUNCTION("GOOGLETRANSLATE(C1065, ""en"", ""pt-br"")"),"Estou escrevendo isso após 4 meses de uso, vá em frente, pois o poder de sucção é bom demais, apenas os contras são a capacidade de poeira é muito limitada, pois precisamos limpar com frequência, é muito pesado para ser manuseio. E não é bom para limpeza "&amp;"profunda. Tentei limpar os colchões e o sofá, mas as poeiras estavam lá., Muito cedo para escrever a revisão, mas funcionando bem até agora, gosta:- prático, fácil de usar, relativamente limpeza de luz extremamente bem devido ao forte poder de sucção.- Pa"&amp;"rece bom. Um bom design limpo.- O cabo de alimentação é muito longo. Teve que desligar e deixar esfriar. Portanto, obviamente, não é algo que possa ser usado em um trecho para limpar todo o seu estofamento etc. Como outros aspiradores (mais caros)- sem ma"&amp;"ngueira flexível com a versão mais cara com palito de extensão. Quando se pagou muito mais, fornecendo a pequena mangueira flexível, destinada a limpar áreas inacessíveis, como sofás, tetos etc., era algo que eu esperava. Tenho certeza de que a mangueira "&amp;"em si é bastante barata. Eles poderiam facilmente ter fornecido sem custo extra. Se precisamos dessa mangueira, é necessário comprar a unidade mais barata (novamente!) Apenas para obter a mangueira, pois ela nem está disponível para venda separadamente. P"&amp;"ara limpar o filtro.- Não vem na embalagem da Amazon, mesmo que seja cumprida pela Amazon. É apenas a caixa de Agaro, pensa que é fechada por abas abertas, nem mesmo seladas. Portanto, não podemos ter certeza se é um produto defeituoso devolvido ou um nov"&amp;"o. Em um vídeo do YouTube, havia um adesivo na junta do conector de poeira e do corpo principal, no meu não há adesivo, apenas um pequeno resíduo pegajoso. Então foi removido por alguém. Não tenho certeza se é um produto devolvido (novamente, pois não há "&amp;"vedações na caixa). Eu não quero devolver isso, pois já havia devolvido uma caixa imunda com manchas de óleo e abriu de baixo (as abas se separaram), nenhum dos acessórios etc. . Lendo os comentários, pensei que seria menos barulhento, mas não é.- nenhuma"&amp;" função de soprador (outras marcas nesse intervalo têm). Teria sido ótimo ter isso. leve. Se alguém deseja limpar superfícies altas, como lados dos ventiladores de teto ou teto, etc., precisa levantá-lo e segurar na mão durante a limpeza. Muito difícil de"&amp;" fazer, especialmente para mulheres (ou pelo menos para mim, uma senhora de meia idade). Novamente, aqui a mangueira flexível, se fornecida, teria sido útil. Alguém poderia segurar o aspirador de pó enquanto usava a mangueira para limpar áreas altas. Tudo"&amp;" de todas, razoavelmente feliz com esta compra - pois é suplementar para os meus 35+ existentes Eureka Forbes Vacuum Cleaner, que ainda está forte, pois os acessórios de limpeza de estofados para esse modelo se perderam. Sinto fortemente, embora o preço p"&amp;"ossa ter sido reduzido, considerando todos os prós e contras acima, tamanho compacto, é um Serviço leve, uso de luz e um equipamento limitado da área de aplicação. Não é para uso eficaz e completo., É um bom vácuo, boa sucção e fácil de limpar. No entanto"&amp;", o som de sucção é bastante alto. No entanto, é uma boa máquina. Faz bem o trabalho., O produto funciona bem. Ele apenas aquece depois de usar por 15 minutos.")</f>
        <v>Estou escrevendo isso após 4 meses de uso, vá em frente, pois o poder de sucção é bom demais, apenas os contras são a capacidade de poeira é muito limitada, pois precisamos limpar com frequência, é muito pesado para ser manuseio. E não é bom para limpeza profunda. Tentei limpar os colchões e o sofá, mas as poeiras estavam lá., Muito cedo para escrever a revisão, mas funcionando bem até agora, gosta:- prático, fácil de usar, relativamente limpeza de luz extremamente bem devido ao forte poder de sucção.- Parece bom. Um bom design limpo.- O cabo de alimentação é muito longo. Teve que desligar e deixar esfriar. Portanto, obviamente, não é algo que possa ser usado em um trecho para limpar todo o seu estofamento etc. Como outros aspiradores (mais caros)- sem mangueira flexível com a versão mais cara com palito de extensão. Quando se pagou muito mais, fornecendo a pequena mangueira flexível, destinada a limpar áreas inacessíveis, como sofás, tetos etc., era algo que eu esperava. Tenho certeza de que a mangueira em si é bastante barata. Eles poderiam facilmente ter fornecido sem custo extra. Se precisamos dessa mangueira, é necessário comprar a unidade mais barata (novamente!) Apenas para obter a mangueira, pois ela nem está disponível para venda separadamente. Para limpar o filtro.- Não vem na embalagem da Amazon, mesmo que seja cumprida pela Amazon. É apenas a caixa de Agaro, pensa que é fechada por abas abertas, nem mesmo seladas. Portanto, não podemos ter certeza se é um produto defeituoso devolvido ou um novo. Em um vídeo do YouTube, havia um adesivo na junta do conector de poeira e do corpo principal, no meu não há adesivo, apenas um pequeno resíduo pegajoso. Então foi removido por alguém. Não tenho certeza se é um produto devolvido (novamente, pois não há vedações na caixa). Eu não quero devolver isso, pois já havia devolvido uma caixa imunda com manchas de óleo e abriu de baixo (as abas se separaram), nenhum dos acessórios etc. . Lendo os comentários, pensei que seria menos barulhento, mas não é.- nenhuma função de soprador (outras marcas nesse intervalo têm). Teria sido ótimo ter isso. leve. Se alguém deseja limpar superfícies altas, como lados dos ventiladores de teto ou teto, etc., precisa levantá-lo e segurar na mão durante a limpeza. Muito difícil de fazer, especialmente para mulheres (ou pelo menos para mim, uma senhora de meia idade). Novamente, aqui a mangueira flexível, se fornecida, teria sido útil. Alguém poderia segurar o aspirador de pó enquanto usava a mangueira para limpar áreas altas. Tudo de todas, razoavelmente feliz com esta compra - pois é suplementar para os meus 35+ existentes Eureka Forbes Vacuum Cleaner, que ainda está forte, pois os acessórios de limpeza de estofados para esse modelo se perderam. Sinto fortemente, embora o preço possa ter sido reduzido, considerando todos os prós e contras acima, tamanho compacto, é um Serviço leve, uso de luz e um equipamento limitado da área de aplicação. Não é para uso eficaz e completo., É um bom vácuo, boa sucção e fácil de limpar. No entanto, o som de sucção é bastante alto. No entanto, é uma boa máquina. Faz bem o trabalho., O produto funciona bem. Ele apenas aquece depois de usar por 15 minutos.</v>
      </c>
    </row>
    <row r="1066">
      <c r="A1066" s="9" t="s">
        <v>4256</v>
      </c>
      <c r="B1066" s="29" t="str">
        <f>VLOOKUP(dados!A1066, reviews!A:G, 5, FALSE)</f>
        <v>Product as describe,Good product,Good product but price high.,I miss my gas stove.... Induction sucks :(,Great value,No1,तेल गर्म करने में परेशानी,Good</v>
      </c>
      <c r="C1066" s="29" t="str">
        <f>VLOOKUP(dados!A1066, reviews!A:G, 6, FALSE)</f>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nearly.,No1,तेल गर्म करने में परेशानी,Ordered 3 one was faulty</v>
      </c>
      <c r="D1066" s="29" t="str">
        <f>IFERROR(__xludf.DUMMYFUNCTION("GOOGLETRANSLATE(B1066, ""en"", ""pt-br"")"),"Produto como descreva, bom produto, bom produto, mas preço alto. Sinto falta do meu fogão a gás .... a indução é uma merda :(, ótimo valor, no1, तेल गर्म करने में परेशानी, bom")</f>
        <v>Produto como descreva, bom produto, bom produto, mas preço alto. Sinto falta do meu fogão a gás .... a indução é uma merda :(, ótimo valor, no1, तेल गर्म करने में परेशानी, bom</v>
      </c>
      <c r="E1066" s="29" t="str">
        <f>IFERROR(__xludf.DUMMYFUNCTION("GOOGLETRANSLATE(C1066, ""en"", ""pt-br"")"),"Recupei o produto dentro de 3 anos, devido à área rural, outros produtos tks 10 dys para entregar N RECVD do produto na condição GD N funciona bem, o uso de AFTR se o smthng cms up revisará novamente, ele funcionará bem. Bom aquecimento. Mas difícil de li"&amp;"mpar, pois possui cristas e pequenas lacunas entre a placa quente e os controles e também abaixo das bordas da placa. Além disso, produto fino, 2500 SE Jyada Price Nahi Hona Chahiye Tha. Use Karne Mein Bahut Achha Hai, sobre tudo o que estou realmente dec"&amp;"epcionado com o produto e especialmente a experiência de culinária. Eu estava acostumado com o gás normal e era fácil regular para a temperatura de propper. Este produto possui apenas 8 configurações de temperatura e é muito quente ou muito frio e não pod"&amp;"e ser definido no meio. Por exemplo, quando eu defino 160 ° C, então é queimando torradas e cebolas ... quando eu defino uma etapa, é 130 ° C e não é suficiente para fritar: (((. Além disso, você precisa comprar uma indução mais cara amigável Cookware. E "&amp;"mesmo quando investi na panela de tefal caro, ele aquece principalmente no centro e é muito mais frio nas bordas ... você pode ver em fotos que fervendo apenas no meio e torradas sendo queimadas no meio e crua lá fora: (((A panela é muito boa e tem uma ár"&amp;"ea de indução em todo o fundo, por isso tenho certeza de que a culpa está neste fogão Philips ... você pode ver a panela do fundo que a área de indução está quase no fundo inteiro ... também devido Para o fato de que apenas o centro está quente e fritando"&amp;" as cebolas está demorando muito mais do que no fogão a gás normal, onde o calor é melhor distribuído: (((e mesmo que você tenha passado mais tempo fritando as cebolas, o resultado é pior ... a cebola é pouco queimada de Lá fora e ainda não é macio por de"&amp;"ntro ... Estou realmente decepcionado com a experiência de fritar em comparação com o fogão a gás ... há um lado positivo e é que o aquecimento é rápido. Minha estrela da panela de pressão assobia rapidamente. Mais rápido que no fogão a gás. Além disso, v"&amp;"ocê pode definir o tempo para 10 minutos e deixá -lo, o que é bastante conveniente ... o controle é fácil. Mas eu odeio detalhes. Primeiro eu amo um detalhe. Há botão de ""pausa"" que é muito legal. Se algo aquece muito rapidamente ou você só precisará fa"&amp;"zer outra coisa que pressiona o botão de pausa e não há calor novo - é muito mais agradável em comparação com o fogão a gás onde você precisaria desligar, ilumine novamente e encontre chamas corretas novamente ... Aqui você apenas pressiona a pausa novame"&amp;"nte e cozinhe como antes ... mas isso é a única coisa que eu amo. Caso contrário, eu odeio como ele é projetado ... a primeira fila de botões básica inteira é inútil. Esses botões são temperaturas predefinidas. Mas, de qualquer forma, essas temperaturas e"&amp;"stão erradas ou apenas para itens que você não cozinha ... como se houvesse um botão 'Sirir Fry' e ele definiu 180C. Ele queima totalmente cebola ... eu geralmente defini 180C para o início e depois mudei para 160 ° C. Mas mesmo 160C é muito queimando ..."&amp;" mas a configuração mais baixa é de apenas 130 ° C, o que não está fritando. Eu precisaria de 150c, eu acho e é impossível definir: (((... também notei outra questão que o fogão às vezes está fazendo pausas automáticas. Ele aquece e provavelmente quando a"&amp;"cha que está muito quente, então pare de completar e parar de Em 10 segundos, começam novamente. Então, em vez de temperaturas consistentes, ele está fazendo um um '-' mas não 2 vezes '-'. Por quê ??? Eu não sei provavelmente vai ... você precisa primeiro"&amp;" pressionar o botão ""manual"" que muda completamente a temperatura para 130C e só então você pode pressionar livremente + /- e defina a temperatura desejada. Então, basicamente, eu nunca uso nenhum modo predefinido e sempre pressiono o 'manual' e +/- par"&amp;"a definir minha temperatura ... outro controle é o tempo de configuração. Devo dizer que o tempo de sacting é um recurso útil e Adoro, mas como é implementado, eu odeio. Quando você pressiona o botão Hora, então, por padrão, ele define 30 minutos ... ok, "&amp;"mas quando você segura '-', ele pula tão rapidamente que em um segundo conta para 0 e role a 3 horas .... manter o incremento/decréscimo é tão rápido que é inútil. Ele deve ter implementado algum idiota ... de qualquer maneira, você sempre pode clicar em "&amp;"um por um. Então, para definir 10 minutos, você deve clicar no botão 'Time' e clicar em 20 vezes o botão 'menos' para definir 10 minutos ... é factível, mas muito irritante. Ou eu pressiono há muito tempo '-' ele pula diretamente para 3 horas e depois pre"&amp;"ssiono 11 vezes +... ainda é uma vez, mas eu economizo 8 cliques ... o que é super idiota é que, quando quero adicionar 5 minutos, clico tempo e, por padrão, definir 30 minutos novamente: ((((arrrrggghhhhh .... Então, em vez de apenas clicar na hora e 5 v"&amp;"ezes '+' eu preciso clicar em 25 vezes '-': (((((.... realmente Isso deve ter feito algum idiota .... Outra coisa desagradável é que, se você precisar mudar de temperatura, não pode ... imagine que algo começa a queimar e você precisa esperar 3 segundos e"&amp;" não pressionar '-'/'+' e Depois desses três segundos, o modo de configuração do tempo é deixado automaticamente deixado e permitirá que você altere as temperaturas novamente ... quando controlar a estupidez está queimando minha comida, isso me deixa com "&amp;"raiva: (((((tão acabado de comprar qualquer outra coisa na próxima vez .. . Talvez seja pior, mas eu teria pelo menos ... de qualquer maneira, dizer algo positivo no final, eu gosto que o produto pareça bastante durável e a qualidade do material parece bo"&amp;"a. A embalagem também estava bem. Mas o cabo de alimentação é apenas 1,2 metros .... isso pode ser muito curto ... mas para mim apenas o suficiente ... também gosto de botões mecânicos, algum fogão possui botões de capacidade que é legal e totalmente plan"&amp;"o, mas eu gosto de Sinta a prensa e o clique. Os botões estão sob papel alumínio, para que não haja risco de algo vazar neles. A limpeza é muito fácil porque é quase plana :) A experiência de limpeza é muito melhor do que limpar o fogão a gás ..., o produ"&amp;"to é bom, mas o problema do centro de serviço não está quase disponível., No1, तेल गर्म करने में परेशानी, ordenado 3, um com defeito estava com defeito")</f>
        <v>Recupei o produto dentro de 3 anos, devido à área rural, outros produtos tks 10 dys para entregar N RECVD do produto na condição GD N funciona bem, o uso de AFTR se o smthng cms up revisará novamente, ele funcionará bem. Bom aquecimento. Mas difícil de limpar, pois possui cristas e pequenas lacunas entre a placa quente e os controles e também abaixo das bordas da placa. Além disso, produto fino, 2500 SE Jyada Price Nahi Hona Chahiye Tha. Use Karne Mein Bahut Achha Hai, sobre tudo o que estou realmente decepcionado com o produto e especialmente a experiência de culinária. Eu estava acostumado com o gás normal e era fácil regular para a temperatura de propper. Este produto possui apenas 8 configurações de temperatura e é muito quente ou muito frio e não pode ser definido no meio. Por exemplo, quando eu defino 160 ° C, então é queimando torradas e cebolas ... quando eu defino uma etapa, é 130 ° C e não é suficiente para fritar: (((. Além disso, você precisa comprar uma indução mais cara amigável Cookware. E mesmo quando investi na panela de tefal caro, ele aquece principalmente no centro e é muito mais frio nas bordas ... você pode ver em fotos que fervendo apenas no meio e torradas sendo queimadas no meio e crua lá fora: (((A panela é muito boa e tem uma área de indução em todo o fundo, por isso tenho certeza de que a culpa está neste fogão Philips ... você pode ver a panela do fundo que a área de indução está quase no fundo inteiro ... também devido Para o fato de que apenas o centro está quente e fritando as cebolas está demorando muito mais do que no fogão a gás normal, onde o calor é melhor distribuído: (((e mesmo que você tenha passado mais tempo fritando as cebolas, o resultado é pior ... a cebola é pouco queimada de Lá fora e ainda não é macio por dentro ... Estou realmente decepcionado com a experiência de fritar em comparação com o fogão a gás ... há um lado positivo e é que o aquecimento é rápido. Minha estrela da panela de pressão assobia rapidamente. Mais rápido que no fogão a gás. Além disso, você pode definir o tempo para 10 minutos e deixá -lo, o que é bastante conveniente ... o controle é fácil. Mas eu odeio detalhes. Primeiro eu amo um detalhe. Há botão de "pausa" que é muito legal. Se algo aquece muito rapidamente ou você só precisará fazer outra coisa que pressiona o botão de pausa e não há calor novo - é muito mais agradável em comparação com o fogão a gás onde você precisaria desligar, ilumine novamente e encontre chamas corretas novamente ... Aqui você apenas pressiona a pausa novamente e cozinhe como antes ... mas isso é a única coisa que eu amo. Caso contrário, eu odeio como ele é projetado ... a primeira fila de botões básica inteira é inútil. Esses botões são temperaturas predefinidas. Mas, de qualquer forma, essas temperaturas estão erradas ou apenas para itens que você não cozinha ... como se houvesse um botão 'Sirir Fry' e ele definiu 180C. Ele queima totalmente cebola ... eu geralmente defini 180C para o início e depois mudei para 160 ° C. Mas mesmo 160C é muito queimando ... mas a configuração mais baixa é de apenas 130 ° C, o que não está fritando. Eu precisaria de 150c, eu acho e é impossível definir: (((... também notei outra questão que o fogão às vezes está fazendo pausas automáticas. Ele aquece e provavelmente quando acha que está muito quente, então pare de completar e parar de Em 10 segundos, começam novamente. Então, em vez de temperaturas consistentes, ele está fazendo um um '-' mas não 2 vezes '-'. Por quê ??? Eu não sei provavelmente vai ... você precisa primeiro pressionar o botão "manual" que muda completamente a temperatura para 130C e só então você pode pressionar livremente + /- e defina a temperatura desejada. Então, basicamente, eu nunca uso nenhum modo predefinido e sempre pressiono o 'manual' e +/- para definir minha temperatura ... outro controle é o tempo de configuração. Devo dizer que o tempo de sacting é um recurso útil e Adoro, mas como é implementado, eu odeio. Quando você pressiona o botão Hora, então, por padrão, ele define 30 minutos ... ok, mas quando você segura '-', ele pula tão rapidamente que em um segundo conta para 0 e role a 3 horas .... manter o incremento/decréscimo é tão rápido que é inútil. Ele deve ter implementado algum idiota ... de qualquer maneira, você sempre pode clicar em um por um. Então, para definir 10 minutos, você deve clicar no botão 'Time' e clicar em 20 vezes o botão 'menos' para definir 10 minutos ... é factível, mas muito irritante. Ou eu pressiono há muito tempo '-' ele pula diretamente para 3 horas e depois pressiono 11 vezes +... ainda é uma vez, mas eu economizo 8 cliques ... o que é super idiota é que, quando quero adicionar 5 minutos, clico tempo e, por padrão, definir 30 minutos novamente: ((((arrrrggghhhhh .... Então, em vez de apenas clicar na hora e 5 vezes '+' eu preciso clicar em 25 vezes '-': (((((.... realmente Isso deve ter feito algum idiota .... Outra coisa desagradável é que, se você precisar mudar de temperatura, não pode ... imagine que algo começa a queimar e você precisa esperar 3 segundos e não pressionar '-'/'+' e Depois desses três segundos, o modo de configuração do tempo é deixado automaticamente deixado e permitirá que você altere as temperaturas novamente ... quando controlar a estupidez está queimando minha comida, isso me deixa com raiva: (((((tão acabado de comprar qualquer outra coisa na próxima vez .. . Talvez seja pior, mas eu teria pelo menos ... de qualquer maneira, dizer algo positivo no final, eu gosto que o produto pareça bastante durável e a qualidade do material parece boa. A embalagem também estava bem. Mas o cabo de alimentação é apenas 1,2 metros .... isso pode ser muito curto ... mas para mim apenas o suficiente ... também gosto de botões mecânicos, algum fogão possui botões de capacidade que é legal e totalmente plano, mas eu gosto de Sinta a prensa e o clique. Os botões estão sob papel alumínio, para que não haja risco de algo vazar neles. A limpeza é muito fácil porque é quase plana :) A experiência de limpeza é muito melhor do que limpar o fogão a gás ..., o produto é bom, mas o problema do centro de serviço não está quase disponível., No1, तेल गर्म करने में परेशानी, ordenado 3, um com defeito estava com defeito</v>
      </c>
    </row>
    <row r="1067">
      <c r="A1067" s="9" t="s">
        <v>4260</v>
      </c>
      <c r="B1067" s="29" t="str">
        <f>VLOOKUP(dados!A1067, reviews!A:G, 5, FALSE)</f>
        <v>It's an okay induction stove on a budget price,Super,Nice product,Pigeon Induction,Easy to clean,Works fine issue with delivery product bit damaged,Average,It is nice product &amp; easy to use best at this price</v>
      </c>
      <c r="C1067" s="29" t="str">
        <f>VLOOKUP(dados!A1067, reviews!A:G, 6, FALSE)</f>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👍🏻,Good product,Works fine issue with delivery product bit damaged,Satisfied,Its timer functions is so easy</v>
      </c>
      <c r="D1067" s="29" t="str">
        <f>IFERROR(__xludf.DUMMYFUNCTION("GOOGLETRANSLATE(B1067, ""en"", ""pt-br"")"),"É um fogão de indução de boa")</f>
        <v>É um fogão de indução de boa</v>
      </c>
      <c r="E1067" s="29" t="str">
        <f>IFERROR(__xludf.DUMMYFUNCTION("GOOGLETRANSLATE(C1067, ""en"", ""pt-br"")"),"Recebeu o pacote hoje. O produto veio intacto .Pon Abrindo o produto viu algumas coisas brancas em toda a bordas. Tive que limpá -lo e verificar se todas as funções funcionavam corretamente. Parece fácil de usar. E todas as funções funcionaram bem. Existe"&amp;"m opções dedicadas para frituras profundas que algumas marcas não têm. Atualizará a revisão depois de usá -la por um tempo .., boa qualidade, bom produto, bom produto 👍🏻, bom produto, funciona bem com o produto de entrega danificado, satisfeito, suas fu"&amp;"nções de timer é tão fácil")</f>
        <v>Recebeu o pacote hoje. O produto veio intacto .Pon Abrindo o produto viu algumas coisas brancas em toda a bordas. Tive que limpá -lo e verificar se todas as funções funcionavam corretamente. Parece fácil de usar. E todas as funções funcionaram bem. Existem opções dedicadas para frituras profundas que algumas marcas não têm. Atualizará a revisão depois de usá -la por um tempo .., boa qualidade, bom produto, bom produto 👍🏻, bom produto, funciona bem com o produto de entrega danificado, satisfeito, suas funções de timer é tão fácil</v>
      </c>
    </row>
    <row r="1068">
      <c r="A1068" s="9" t="s">
        <v>4264</v>
      </c>
      <c r="B1068" s="29" t="str">
        <f>VLOOKUP(dados!A1068, reviews!A:G, 5, FALSE)</f>
        <v>600 W heating kettle with warmer &amp; temp control, half coil heating element looks odd,Overall a Good Electric Kettle,Overall good.,Good Multicooker within budget,Agaro esteem Multi kettle,Quality,Very nice product. Like it.❤,Nice one for hostellers. A must buy product.</v>
      </c>
      <c r="C1068" s="29" t="str">
        <f>VLOOKUP(dados!A1068, reviews!A:G, 6, FALSE)</f>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users.😅,Liked the design and operation. However cord length could be longer. Temperature control is good but knob need some modifications. Overall happy with this product.</v>
      </c>
      <c r="D1068" s="29" t="str">
        <f>IFERROR(__xludf.DUMMYFUNCTION("GOOGLETRANSLATE(B1068, ""en"", ""pt-br"")"),"Kettle de aquecimento de 600 W com controle mais quente e temp, o elemento de aquecimento de meia bobina parece estranho, em geral uma boa chaleira elétrica, em geral. Como isso.❤, bom para os hostellers. Um produto obrigatório.")</f>
        <v>Kettle de aquecimento de 600 W com controle mais quente e temp, o elemento de aquecimento de meia bobina parece estranho, em geral uma boa chaleira elétrica, em geral. Como isso.❤, bom para os hostellers. Um produto obrigatório.</v>
      </c>
      <c r="E1068" s="29" t="str">
        <f>IFERROR(__xludf.DUMMYFUNCTION("GOOGLETRANSLATE(C1068, ""en"", ""pt-br"")"),"1. Eu o usei principalmente para a água fervente (o botão girou o máximo para a direita), portanto, não pode comentar muito sobre as configurações de temperatura mais baixa.2. Leva cerca de 10 minutos para a água ferver. Sugira o MFR para liberar em outra"&amp;"s cores, como azul claro etc (como vejo outras chaleiras). Pode adicionar aos olhares e dar uma sensação calorosa na sala. O aço inoxidável parece brilhante, mas o material não é muito grosso, mas não há problema para o preço. Pode haver formação de escal"&amp;"onamento ou manchas acastanhas brancas na base da chaleira em forma de C devido à meia bobina em forma de C na base (design engraçado, talvez um produto criado modificando uma chaleira circular completa de maior potência). As escalas são mais quando a águ"&amp;"a da torneira é usada devido à maior presença de sais, talvez. Eles parecem ser limpos pela lavagem usual. Dada a forma ampla do cilindro, é muito fácil de limpar. Para estar ciente: a chaleira não se apaga automaticamente quando a água ferve. Da mesma fo"&amp;"rma, a temperatura da chaleira será mantida quente na configuração do botão, a menos que o botão esteja à esquerda quando se deslocar. Caso contrário, a água continuará seca até secar completamente e, em seguida, a chaleira deve ser desligada automaticame"&amp;"nte para evitar aquecimento a seco (embora não testei isso). Estes são mencionados no manual. Portanto, isso pode ser pensado como uma caldeira mais quente. Portanto, você não pode deixar a chaleira sem vigilância, pensando que ela se deslocará automatica"&amp;"mente como outras chaleiras quando a água começar a ferver. Suponho que isso tenha sido projetado dessa maneira para permitir um pouco de cozimento para aqueles que desejam usá -lo dessa maneira. Accessórios: não pode entender qual é a utilidade da tigela"&amp;" de plástico fornecida. Dado que os plásticos podem lixiviar produtos químicos quando aquecidos, eu não sugeriria usá -lo dentro da chaleira de qualquer forma, por exemplo, cozinhando a vapor. Um rack de aço também é dado. Isso pode ser usado junto com um"&amp;"a placa de aço com orifícios para cozinhar a vapor, mas não há nenhum fornecido com o próprio produto. vai fazer o trabalho. Se um produto semelhante estivesse disponível com uma potência mais alta a um preço mais alto, eu teria comprado isso., Eu queria "&amp;"dar uma classificação de 1 estrela porque a Agaro força seus clientes a dar classificação e revisão para obter a garantia. É uma prática ruim. Você não pode forçar o cliente a dar classificação. Como mencionei, isso pode resultar no produto ter uma classi"&amp;"ficação negativa na Amazon, apesar de ser um bom produto. Na minha opinião, o próprio produto é bom. Aquece a água muito rápido. É bom para fazer Maggie, massas e ovos fervendo. Mas preciso ter cuidado ao fazer maggie ou massas porque, uma vez seco, começ"&amp;"am a ficar no fundo. A chaleira é muito fácil de limpar. O comprimento do cordão deveria ter sido mais longo. Base de chaleira gera calor., Tudo é bom e tem sido muito útil para mim. Existe apenas uma desvantagem; Eu acho que o aquecimento não é uniforme "&amp;"na base da chaleira, pois sempre que eu fervei o leite ou faço chá/café, uma porção de um lateral de bola ao leite. Mesmo enquanto fervendo água, posso ver o sintoma semelhante., A Agaro Mulicooker é bom e oferece uma variedade de opções de cozinha/ ebuli"&amp;"ção como leite, chá, ovos, maggi, etc. Somente o ponto negativo é que a equipe de Agaro promete garantia prolongada de 6 meses por Dando solicitar uma revisão positiva na Amazon, mas não cumpre sua promessa e não fornece nenhuma garantia prolongada., a en"&amp;"trega tem um item seguro com segurança. Garantia e resposta da empresa. Gostei da rapidez com que faz o trabalho, mas odeio a sujeira que entra depois de cozinhar alguma coisa, ele coloca seu produto lindo e lindo. O mais bonito é que o comprimento do cor"&amp;"dão é grande. Essa é uma opção melhor para sua cozinha e ASLO que é a melhor opção para usuários de albergues. 😅, gostei do design e operação. No entanto, o comprimento do cordão pode ser mais longo. O controle de temperatura é bom, mas o botão precisa d"&amp;"e algumas modificações. No geral, feliz com este produto.")</f>
        <v>1. Eu o usei principalmente para a água fervente (o botão girou o máximo para a direita), portanto, não pode comentar muito sobre as configurações de temperatura mais baixa.2. Leva cerca de 10 minutos para a água ferver. Sugira o MFR para liberar em outras cores, como azul claro etc (como vejo outras chaleiras). Pode adicionar aos olhares e dar uma sensação calorosa na sala. O aço inoxidável parece brilhante, mas o material não é muito grosso, mas não há problema para o preço. Pode haver formação de escalonamento ou manchas acastanhas brancas na base da chaleira em forma de C devido à meia bobina em forma de C na base (design engraçado, talvez um produto criado modificando uma chaleira circular completa de maior potência). As escalas são mais quando a água da torneira é usada devido à maior presença de sais, talvez. Eles parecem ser limpos pela lavagem usual. Dada a forma ampla do cilindro, é muito fácil de limpar. Para estar ciente: a chaleira não se apaga automaticamente quando a água ferve. Da mesma forma, a temperatura da chaleira será mantida quente na configuração do botão, a menos que o botão esteja à esquerda quando se deslocar. Caso contrário, a água continuará seca até secar completamente e, em seguida, a chaleira deve ser desligada automaticamente para evitar aquecimento a seco (embora não testei isso). Estes são mencionados no manual. Portanto, isso pode ser pensado como uma caldeira mais quente. Portanto, você não pode deixar a chaleira sem vigilância, pensando que ela se deslocará automaticamente como outras chaleiras quando a água começar a ferver. Suponho que isso tenha sido projetado dessa maneira para permitir um pouco de cozimento para aqueles que desejam usá -lo dessa maneira. Accessórios: não pode entender qual é a utilidade da tigela de plástico fornecida. Dado que os plásticos podem lixiviar produtos químicos quando aquecidos, eu não sugeriria usá -lo dentro da chaleira de qualquer forma, por exemplo, cozinhando a vapor. Um rack de aço também é dado. Isso pode ser usado junto com uma placa de aço com orifícios para cozinhar a vapor, mas não há nenhum fornecido com o próprio produto. vai fazer o trabalho. Se um produto semelhante estivesse disponível com uma potência mais alta a um preço mais alto, eu teria comprado isso., Eu queria dar uma classificação de 1 estrela porque a Agaro força seus clientes a dar classificação e revisão para obter a garantia. É uma prática ruim. Você não pode forçar o cliente a dar classificação. Como mencionei, isso pode resultar no produto ter uma classificação negativa na Amazon, apesar de ser um bom produto. Na minha opinião, o próprio produto é bom. Aquece a água muito rápido. É bom para fazer Maggie, massas e ovos fervendo. Mas preciso ter cuidado ao fazer maggie ou massas porque, uma vez seco, começam a ficar no fundo. A chaleira é muito fácil de limpar. O comprimento do cordão deveria ter sido mais longo. Base de chaleira gera calor., Tudo é bom e tem sido muito útil para mim. Existe apenas uma desvantagem; Eu acho que o aquecimento não é uniforme na base da chaleira, pois sempre que eu fervei o leite ou faço chá/café, uma porção de um lateral de bola ao leite. Mesmo enquanto fervendo água, posso ver o sintoma semelhante., A Agaro Mulicooker é bom e oferece uma variedade de opções de cozinha/ ebulição como leite, chá, ovos, maggi, etc. Somente o ponto negativo é que a equipe de Agaro promete garantia prolongada de 6 meses por Dando solicitar uma revisão positiva na Amazon, mas não cumpre sua promessa e não fornece nenhuma garantia prolongada., a entrega tem um item seguro com segurança. Garantia e resposta da empresa. Gostei da rapidez com que faz o trabalho, mas odeio a sujeira que entra depois de cozinhar alguma coisa, ele coloca seu produto lindo e lindo. O mais bonito é que o comprimento do cordão é grande. Essa é uma opção melhor para sua cozinha e ASLO que é a melhor opção para usuários de albergues. 😅, gostei do design e operação. No entanto, o comprimento do cordão pode ser mais longo. O controle de temperatura é bom, mas o botão precisa de algumas modificações. No geral, feliz com este produto.</v>
      </c>
    </row>
    <row r="1069">
      <c r="A1069" s="9" t="s">
        <v>4268</v>
      </c>
      <c r="B1069" s="29" t="str">
        <f>VLOOKUP(dados!A1069, reviews!A:G, 5, FALSE)</f>
        <v>Poor packaging,Nice products,Good,Spr,Worth to money,Heating is little less,Good for heating a single room.,Acha hai</v>
      </c>
      <c r="C1069" s="29" t="str">
        <f>VLOOKUP(dados!A1069, reviews!A:G, 6, FALSE)</f>
        <v>पहले भी 2 बजाज के रूम हीटर मैंने अमेजन से मंगवाए थे जो बजाज के पैकेजिंग डिब्बे को एक दूसरे बड़े अमेजन के डिब्बे में पैक करके आया था और सुरक्षित प्राप्त हुए। इस बार सीधे ही बजाज के डिब्बे पे  एड्रेस चिपका के भेज दिया मेरे पास आने तक डिब्बा कई जगह से फट गया था  प्लीज पैकिंग को पुनः एक और डिब्बे में करके भेजे,Nice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v>
      </c>
      <c r="D1069" s="29" t="str">
        <f>IFERROR(__xludf.DUMMYFUNCTION("GOOGLETRANSLATE(B1069, ""en"", ""pt-br"")"),"Má embalagem, produtos agradáveis, bom, SPR, vale a pena, o aquecimento é um pouco menor, bom para aquecer um quarto único., ACHA HAI")</f>
        <v>Má embalagem, produtos agradáveis, bom, SPR, vale a pena, o aquecimento é um pouco menor, bom para aquecer um quarto único., ACHA HAI</v>
      </c>
      <c r="E1069" s="29" t="str">
        <f>IFERROR(__xludf.DUMMYFUNCTION("GOOGLETRANSLATE(C1069, ""en"", ""pt-br"")"),"पहले भी 2 बजाज के ूम हीट हीट मैंने अमेजन से मंगवाए थे बज बजाज के डिब l डिब्बे को एक दूसरे बड़े के के डिब्बे में क करके आया था औरकरक्षित प्र क क क क आयncio इस बार सीधे ही बजाज के डिब्बे पे  एड्रेस चिपका के भेज दिया मेरे पास आने तक डिब्बा कई जगह से फट गया थ"&amp;"ा  प्लीज पैकिंग को पुनः एक और डिब्बे में करके भेजे,Nice products,Good product,https://m.media-amazon .com/imagens/w/webp_402378-t1/imagens/i/81xvufevuil._sy88.jpg ,, menos aquecimento de acordo com o preço. Funciona bem, o usa de um mês para a temperatura"&amp;" de Bangalore no inverno. Bom para um objetivo de aquecimento de um quarto individual. Não fica muito aquecido. Mantenha a noite toda. Não há controle de temperatura, pois não é necessário para aquecedores de 1000 watt., ACHA HAI")</f>
        <v>पहले भी 2 बजाज के ूम हीट हीट मैंने अमेजन से मंगवाए थे बज बजाज के डिब l डिब्बे को एक दूसरे बड़े के के डिब्बे में क करके आया था औरकरक्षित प्र क क क क आयncio इस बार सीधे ही बजाज के डिब्बे पे  एड्रेस चिपका के भेज दिया मेरे पास आने तक डिब्बा कई जगह से फट गया था  प्लीज पैकिंग को पुनः एक और डिब्बे में करके भेजे,Nice products,Good product,https://m.media-amazon .com/imagens/w/webp_402378-t1/imagens/i/81xvufevuil._sy88.jpg ,, menos aquecimento de acordo com o preço. Funciona bem, o usa de um mês para a temperatura de Bangalore no inverno. Bom para um objetivo de aquecimento de um quarto individual. Não fica muito aquecido. Mantenha a noite toda. Não há controle de temperatura, pois não é necessário para aquecedores de 1000 watt., ACHA HAI</v>
      </c>
    </row>
    <row r="1070">
      <c r="A1070" s="9" t="s">
        <v>4272</v>
      </c>
      <c r="B1070" s="29" t="str">
        <f>VLOOKUP(dados!A1070, reviews!A:G, 5, FALSE)</f>
        <v>Very nice product from Amazon,Work in very good,good product,Good,Nice 👍,Good performance with cheap look,User manual book and Warranty card not in Box.,Satisfied 😁</v>
      </c>
      <c r="C1070" s="29" t="str">
        <f>VLOOKUP(dados!A1070, reviews!A:G, 6, FALSE)</f>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v>
      </c>
      <c r="D1070" s="29" t="str">
        <f>IFERROR(__xludf.DUMMYFUNCTION("GOOGLETRANSLATE(B1070, ""en"", ""pt-br"")"),"Produto muito bom da Amazon, trabalho em muito bom, bom produto, bom, bom 👍, bom desempenho com aparência barata, livro manual do usuário e cartão de garantia não na caixa., Satisfeita 😁")</f>
        <v>Produto muito bom da Amazon, trabalho em muito bom, bom produto, bom, bom 👍, bom desempenho com aparência barata, livro manual do usuário e cartão de garantia não na caixa., Satisfeita 😁</v>
      </c>
      <c r="E1070" s="29" t="str">
        <f>IFERROR(__xludf.DUMMYFUNCTION("GOOGLETRANSLATE(C1070, ""en"", ""pt-br"")"),"É um produto completamente bom da Amazon, a melhor taxa e qualidade, bom valor para o dinheiro, bom som baixo, bom, o desempenho é bom, embora um pouco barulhento. Parece sábio é muito barato. Não é brilhante como mostrado na foto e parece muito barato. N"&amp;"enhuma luz indicadora de energia fornecida., Manual do Usuário CUM CARRAÇÃO DE GARANTIA NÃO Nesta caixa e jarro médio e jarra de jarra descendente Shake e jarra de jarra de alça de junta A voz cortada de ponto de ponta, para que não seja satisfeito. O mot"&amp;"or começa a soprar o ar quente após minutos (verifique apenas sem jarra). Recebido em 01.01.2023 Manual do usuário Manual de garantia de garantia e todo o conjunto de unidades com jark ok., Cor de cor bem, trabalhando fácil e usando também fácil. empresa")</f>
        <v>É um produto completamente bom da Amazon, a melhor taxa e qualidade, bom valor para o dinheiro, bom som baixo, bom, o desempenho é bom, embora um pouco barulhento. Parece sábio é muito barato. Não é brilhante como mostrado na foto e parece muito barato. Nenhuma luz indicadora de energia fornecida., Manual do Usuário CUM CARRAÇÃO DE GARANTIA NÃO Nesta caixa e jarro médio e jarra de jarra descendente Shake e jarra de jarra de alça de junta A voz cortada de ponto de ponta, para que não seja satisfeito. O motor começa a soprar o ar quente após minutos (verifique apenas sem jarra). Recebido em 01.01.2023 Manual do usuário Manual de garantia de garantia e todo o conjunto de unidades com jark ok., Cor de cor bem, trabalhando fácil e usando também fácil. empresa</v>
      </c>
    </row>
    <row r="1071">
      <c r="A1071" s="9" t="s">
        <v>4276</v>
      </c>
      <c r="B1071" s="29" t="str">
        <f>VLOOKUP(dados!A1071, reviews!A:G, 5, FALSE)</f>
        <v>Egg boiler,Time efficient..easy to use,Good to use,Value for money,Very good product,Achha hai egg boil achhe hote hai,Best in Business,as the price product is good</v>
      </c>
      <c r="C1071" s="29" t="str">
        <f>VLOOKUP(dados!A1071, reviews!A:G, 6, FALSE)</f>
        <v>Hi, The product is working good. And taking only 5 ms to cook the eggs i can rate by 4 out of 5,It's a good product👍👍 Nice!! eggs are perfectly boiled after 10 minAm little bit afraid to clean the bottom as it is electricThak you☺️,This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v>
      </c>
      <c r="D1071" s="29" t="str">
        <f>IFERROR(__xludf.DUMMYFUNCTION("GOOGLETRANSLATE(B1071, ""en"", ""pt-br"")"),"Caldeira de ovo, eficiente de tempo ...")</f>
        <v>Caldeira de ovo, eficiente de tempo ...</v>
      </c>
      <c r="E1071" s="29" t="str">
        <f>IFERROR(__xludf.DUMMYFUNCTION("GOOGLETRANSLATE(C1071, ""en"", ""pt-br"")"),"Olá, o produto está funcionando bem. E levando apenas 5 ms para cozinhar os ovos que eu posso classificar por 4 em 5, é um bom produto👍👍 bom !! Os ovos são perfeitamente fervidos após 10 minm de um pouco de limpar o fundo, pois é o ElectricThak que você"&amp;" ☺, este produto é fácil de usar e ferve os ovos corretamente., É isso. nada chique. Parece barato preço barato, mas é o trabalho, muito bom produto e valor para o dinheiro, está tudo bem, mais rápido de ferver com alta eficiência, barato e melhor na cate"&amp;"goria de caldeiras de ovos., Pois o produto de preço é bom")</f>
        <v>Olá, o produto está funcionando bem. E levando apenas 5 ms para cozinhar os ovos que eu posso classificar por 4 em 5, é um bom produto👍👍 bom !! Os ovos são perfeitamente fervidos após 10 minm de um pouco de limpar o fundo, pois é o ElectricThak que você ☺, este produto é fácil de usar e ferve os ovos corretamente., É isso. nada chique. Parece barato preço barato, mas é o trabalho, muito bom produto e valor para o dinheiro, está tudo bem, mais rápido de ferver com alta eficiência, barato e melhor na categoria de caldeiras de ovos., Pois o produto de preço é bom</v>
      </c>
    </row>
    <row r="1072">
      <c r="A1072" s="9" t="s">
        <v>4282</v>
      </c>
      <c r="B1072" s="29" t="str">
        <f>VLOOKUP(dados!A1072, reviews!A:G, 5, FALSE)</f>
        <v>Compact and effective,Very handy and useful product,Not satisfied</v>
      </c>
      <c r="C1072" s="29" t="str">
        <f>VLOOKUP(dados!A1072, reviews!A:G, 6, FALSE)</f>
        <v>Pretty lightweight and solves the purpose.,I liked the compact size and efficiency of the product. Meets the specs and good product for a buy,Light indicator was not working,wire is too short not 1 and half metre</v>
      </c>
      <c r="D1072" s="29" t="str">
        <f>IFERROR(__xludf.DUMMYFUNCTION("GOOGLETRANSLATE(B1072, ""en"", ""pt-br"")"),"Produto compacto e eficaz, muito útil e útil, não satisfeito")</f>
        <v>Produto compacto e eficaz, muito útil e útil, não satisfeito</v>
      </c>
      <c r="E1072" s="29" t="str">
        <f>IFERROR(__xludf.DUMMYFUNCTION("GOOGLETRANSLATE(C1072, ""en"", ""pt-br"")"),"Bastante leve e resolve o objetivo. Gostei do tamanho e da eficiência compactos do produto. Atende às especificações e bom produto para uma compra, o indicador de luz não estava funcionando, o fio é muito curto e não 1 e meio metro")</f>
        <v>Bastante leve e resolve o objetivo. Gostei do tamanho e da eficiência compactos do produto. Atende às especificações e bom produto para uma compra, o indicador de luz não estava funcionando, o fio é muito curto e não 1 e meio metro</v>
      </c>
    </row>
    <row r="1073">
      <c r="A1073" s="9" t="s">
        <v>4286</v>
      </c>
      <c r="B1073" s="29" t="str">
        <f>VLOOKUP(dados!A1073, reviews!A:G, 5, FALSE)</f>
        <v>Worth for the price,Good,Just Average,Great!,Good product. Few minutes to boil the water and very useful,Very nice working,Good quality,Used the product.  As of everything was fine. Good</v>
      </c>
      <c r="C1073" s="29" t="str">
        <f>VLOOKUP(dados!A1073, reviews!A:G, 6, FALSE)</f>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v>
      </c>
      <c r="D1073" s="29" t="str">
        <f>IFERROR(__xludf.DUMMYFUNCTION("GOOGLETRANSLATE(B1073, ""en"", ""pt-br"")"),"Vale a pena o preço, bom, apenas média, ótima!, Bom produto. Poucos minutos para ferver a água e muito útil, muito agradável, de boa qualidade, usaram o produto. Como de tudo estava bem. Bom")</f>
        <v>Vale a pena o preço, bom, apenas média, ótima!, Bom produto. Poucos minutos para ferver a água e muito útil, muito agradável, de boa qualidade, usaram o produto. Como de tudo estava bem. Bom</v>
      </c>
      <c r="E1073" s="29" t="str">
        <f>IFERROR(__xludf.DUMMYFUNCTION("GOOGLETRANSLATE(C1073, ""en"", ""pt-br"")"),"Fácil de manusear ......, bom, bom produto nesse preço estou decepcionado por o AutoCUT não estar lá, como mostrado no site e na seção do produto., Fácil de usar e comparativamente menor custo., Este gado é melhor Do que outros marcam, a qualidade é tão b"&amp;"oa. Obtém aquecimento rapidamente. Fez água quente, chá e café .. como esperado .. adorei., Bom")</f>
        <v>Fácil de manusear ......, bom, bom produto nesse preço estou decepcionado por o AutoCUT não estar lá, como mostrado no site e na seção do produto., Fácil de usar e comparativamente menor custo., Este gado é melhor Do que outros marcam, a qualidade é tão boa. Obtém aquecimento rapidamente. Fez água quente, chá e café .. como esperado .. adorei., Bom</v>
      </c>
    </row>
    <row r="1074">
      <c r="A1074" s="9" t="s">
        <v>4290</v>
      </c>
      <c r="B1074" s="29" t="str">
        <f>VLOOKUP(dados!A1074, reviews!A:G, 5, FALSE)</f>
        <v>Very useful!,Good one for the price,Temperature,temparature controll is needed,Good product but price is too be very high,Quality of material,Best,Good product</v>
      </c>
      <c r="C1074" s="29" t="str">
        <f>VLOOKUP(dados!A1074, reviews!A:G, 6, FALSE)</f>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v>
      </c>
      <c r="D1074" s="29" t="str">
        <f>IFERROR(__xludf.DUMMYFUNCTION("GOOGLETRANSLATE(B1074, ""en"", ""pt-br"")"),"Muito útil!, Bom para o preço, a temperatura, o controle temparatura é necessário, bom produto, mas o preço é muito alto, qualidade do material, melhor, bom produto")</f>
        <v>Muito útil!, Bom para o preço, a temperatura, o controle temparatura é necessário, bom produto, mas o preço é muito alto, qualidade do material, melhor, bom produto</v>
      </c>
      <c r="E1074" s="29" t="str">
        <f>IFERROR(__xludf.DUMMYFUNCTION("GOOGLETRANSLATE(C1074, ""en"", ""pt-br"")"),"Livre e fácil de usar, é bom e funciona rapidamente. A desvantagem é que sua faixa de temperatura máxima que ele poderia alcançar é menos que eu sinto. Mas nunca consegui um sanduíche queimado com este., Tudo é bom ... só você precisa cuidar de calor e te"&amp;"mpo de corte de luz ... caso contrário, seu sanduíche queimará, é um produto muito bom, mesmo que o controle de temperatura seja Não é tão bom, você tem que pré -aquecê -lo antes que o cordão seja grande demais para o meu gosto, mas está bem, há alguns co"&amp;"ntras que seu topo fica muito aquecido quando você está usando, você tem que pré -aquecê -lo, leva tempo para esfriar, o que é um grande coisa que o produto geral é ajustado, 7/10 recomendaria para que seriam 5 estrelas se tivessem um bom controle de temp"&amp;"eratura, a grade em geral é boa, mas eles poderiam melhorar e uma coisa enorme que as luzes dadas acima dela ficam vermelhas e amarelas, que deve ser verde, pois amarelo Significa esperar e outras coisas e, no começo, pensei que a mesma coisa e meu sanduí"&amp;"che queimou os fios na parte traseira também se aquecem, o que pode causar fogo e é perigoso, estamos usando atualmente este produto, conforme aceito, este é um bom produto, Nice, https: //m.media-amazon.com/images/i/612pw1evgql._sy88.jpg")</f>
        <v>Livre e fácil de usar, é bom e funciona rapidamente. A desvantagem é que sua faixa de temperatura máxima que ele poderia alcançar é menos que eu sinto. Mas nunca consegui um sanduíche queimado com este., Tudo é bom ... só você precisa cuidar de calor e tempo de corte de luz ... caso contrário, seu sanduíche queimará, é um produto muito bom, mesmo que o controle de temperatura seja Não é tão bom, você tem que pré -aquecê -lo antes que o cordão seja grande demais para o meu gosto, mas está bem, há alguns contras que seu topo fica muito aquecido quando você está usando, você tem que pré -aquecê -lo, leva tempo para esfriar, o que é um grande coisa que o produto geral é ajustado, 7/10 recomendaria para que seriam 5 estrelas se tivessem um bom controle de temperatura, a grade em geral é boa, mas eles poderiam melhorar e uma coisa enorme que as luzes dadas acima dela ficam vermelhas e amarelas, que deve ser verde, pois amarelo Significa esperar e outras coisas e, no começo, pensei que a mesma coisa e meu sanduíche queimou os fios na parte traseira também se aquecem, o que pode causar fogo e é perigoso, estamos usando atualmente este produto, conforme aceito, este é um bom produto, Nice, https: //m.media-amazon.com/images/i/612pw1evgql._sy88.jpg</v>
      </c>
    </row>
    <row r="1075">
      <c r="A1075" s="9" t="s">
        <v>4296</v>
      </c>
      <c r="B1075" s="29" t="str">
        <f>VLOOKUP(dados!A1075, reviews!A:G, 5, FALSE)</f>
        <v>Worthy,Love this product,Good,Good,It can be used for two years,👍,Best in this price, will serve the purpose you bought it for.,Good choice in budget Range</v>
      </c>
      <c r="C1075" s="29" t="str">
        <f>VLOOKUP(dados!A1075, reviews!A:G, 6, FALSE)</f>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v>
      </c>
      <c r="D1075" s="29" t="str">
        <f>IFERROR(__xludf.DUMMYFUNCTION("GOOGLETRANSLATE(B1075, ""en"", ""pt-br"")"),"Digno, adoro este produto, bom, bom, ele pode ser usado por dois anos, 👍 👍, o melhor neste preço, servirá ao objetivo que você o comprou., Boa escolha no alcance do orçamento")</f>
        <v>Digno, adoro este produto, bom, bom, ele pode ser usado por dois anos, 👍 👍, o melhor neste preço, servirá ao objetivo que você o comprou., Boa escolha no alcance do orçamento</v>
      </c>
      <c r="E1075" s="29" t="str">
        <f>IFERROR(__xludf.DUMMYFUNCTION("GOOGLETRANSLATE(C1075, ""en"", ""pt-br"")"),"Boa imprensa, bom produto, bom, sim, é um produto de uso e arremesso. Modos como seda, algodão e muito mais, boa qualidade de fio de peso. Neste segmento orçamentário, o ferro é muito fino. O treino é rápido. O botão de controle da temperatura é bom. Tenh"&amp;"a cuidado extra ao aumentar a temperatura.")</f>
        <v>Boa imprensa, bom produto, bom, sim, é um produto de uso e arremesso. Modos como seda, algodão e muito mais, boa qualidade de fio de peso. Neste segmento orçamentário, o ferro é muito fino. O treino é rápido. O botão de controle da temperatura é bom. Tenha cuidado extra ao aumentar a temperatura.</v>
      </c>
    </row>
    <row r="1076">
      <c r="A1076" s="9" t="s">
        <v>4300</v>
      </c>
      <c r="B1076" s="29" t="str">
        <f>VLOOKUP(dados!A1076, reviews!A:G, 5, FALSE)</f>
        <v>For medium sized room,Best product,For bed only,not for full room,Damage,Its okay,Does the job,Not Good , Power cord  very short,Not satisfied</v>
      </c>
      <c r="C1076" s="29" t="str">
        <f>VLOOKUP(dados!A1076, reviews!A:G, 6, FALSE)</f>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properly……,Wire length is too small which is useless . तार से कितना बचा लोगे भाई</v>
      </c>
      <c r="D1076" s="29" t="str">
        <f>IFERROR(__xludf.DUMMYFUNCTION("GOOGLETRANSLATE(B1076, ""en"", ""pt-br"")"),"Para espaço de tamanho médio, melhor produto, apenas para cama, não para espaço completo, dano, está tudo bem, o trabalho, não é bom, o cabo de alimentação muito curto, não satisfeito")</f>
        <v>Para espaço de tamanho médio, melhor produto, apenas para cama, não para espaço completo, dano, está tudo bem, o trabalho, não é bom, o cabo de alimentação muito curto, não satisfeito</v>
      </c>
      <c r="E1076" s="29" t="str">
        <f>IFERROR(__xludf.DUMMYFUNCTION("GOOGLETRANSLATE(C1076, ""en"", ""pt-br"")"),", Bom soprador, não aquecendo a sala cheia, apenas cama, o produto está quebrado, o corpo é feito de plástico macio. De acordo com o preço, tudo bem., Revise após 10 dias de uso. Material do aquecedor é plástico e parece bom. Eu o uso para aquecer a sala "&amp;"de 16*10. Na temperatura ambiente de 15*-20*. Eu podia sentir que o quarto se aquece em 1 hora. O ar quente pode ser sentido até 4 pés. Ele vem com o plugue 15A. Eu uso o conversor 16a a 5a.Ches 16a tomada, ele pode ter um desempenho muito melhor. . तार स"&amp;"े कितना बचा लोगे भाई")</f>
        <v>, Bom soprador, não aquecendo a sala cheia, apenas cama, o produto está quebrado, o corpo é feito de plástico macio. De acordo com o preço, tudo bem., Revise após 10 dias de uso. Material do aquecedor é plástico e parece bom. Eu o uso para aquecer a sala de 16*10. Na temperatura ambiente de 15*-20*. Eu podia sentir que o quarto se aquece em 1 hora. O ar quente pode ser sentido até 4 pés. Ele vem com o plugue 15A. Eu uso o conversor 16a a 5a.Ches 16a tomada, ele pode ter um desempenho muito melhor. . तार से कितना बचा लोगे भाई</v>
      </c>
    </row>
    <row r="1077">
      <c r="A1077" s="9" t="s">
        <v>4304</v>
      </c>
      <c r="B1077" s="29" t="str">
        <f>VLOOKUP(dados!A1077, reviews!A:G, 5, FALSE)</f>
        <v>Good product worth of money,It’s okay,Not so superb,Philips Always THE BEST,Heavy weight iron,Very good,Super nice,Good One iron. Value for money and best one to used it</v>
      </c>
      <c r="C1077" s="29" t="str">
        <f>VLOOKUP(dados!A1077, reviews!A:G, 6, FALSE)</f>
        <v>Philips GC181 is a good iron. I have been using for six months its good,Okay,This is heavy, but still does not remove all wrinkles, heats heavily after some time.. But better relatively..,I Like It VERY Much,Temperature control is good,Very good,Super nice 👍👍,Good One iron. Value for money and best one to used it</v>
      </c>
      <c r="D1077" s="29" t="str">
        <f>IFERROR(__xludf.DUMMYFUNCTION("GOOGLETRANSLATE(B1077, ""en"", ""pt-br"")"),"Bom produto no valor de dinheiro, tudo bem, não tão excelente, Philips sempre o melhor e pesado ferro, muito bom, super agradável, bom de ferro. Valor pelo dinheiro e melhor para usá -lo")</f>
        <v>Bom produto no valor de dinheiro, tudo bem, não tão excelente, Philips sempre o melhor e pesado ferro, muito bom, super agradável, bom de ferro. Valor pelo dinheiro e melhor para usá -lo</v>
      </c>
      <c r="E1077" s="29" t="str">
        <f>IFERROR(__xludf.DUMMYFUNCTION("GOOGLETRANSLATE(C1077, ""en"", ""pt-br"")"),"Philips GC181 é um bom ferro. Eu uso há seis meses é bom, ok, isso é pesado, mas ainda não remove todas as rugas, aquece fortemente depois de algum tempo ... mas melhor relativamente .., eu gosto muito, o controle de temperatura é bom, muito bom , Super l"&amp;"egal 👍👍, bom ferro. Valor pelo dinheiro e melhor para usá -lo")</f>
        <v>Philips GC181 é um bom ferro. Eu uso há seis meses é bom, ok, isso é pesado, mas ainda não remove todas as rugas, aquece fortemente depois de algum tempo ... mas melhor relativamente .., eu gosto muito, o controle de temperatura é bom, muito bom , Super legal 👍👍, bom ferro. Valor pelo dinheiro e melhor para usá -lo</v>
      </c>
    </row>
    <row r="1078">
      <c r="A1078" s="9" t="s">
        <v>4308</v>
      </c>
      <c r="B1078" s="29" t="str">
        <f>VLOOKUP(dados!A1078, reviews!A:G, 5, FALSE)</f>
        <v>Good product must have for winters cloths.,All over good,Beautiful product and easy to use having items as shown in the details.,Working good but need to do some improvement,Nice product.,Awesome Product,Awesome finishing on clothes,Amazing best product</v>
      </c>
      <c r="C1078" s="29" t="str">
        <f>VLOOKUP(dados!A1078, reviews!A:G, 6, FALSE)</f>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v>
      </c>
      <c r="D1078" s="29" t="str">
        <f>IFERROR(__xludf.DUMMYFUNCTION("GOOGLETRANSLATE(B1078, ""en"", ""pt-br"")"),"Um bom produto deve ter para os winters panos., Em todo o produto bom e bonito e fácil de usar com itens como mostrado nos detalhes., Trabalhando bem, mas precisa fazer alguma melhoria, bom produto., Produto incrível, acabamento incrível em roupas, incrív"&amp;"el melhor produto")</f>
        <v>Um bom produto deve ter para os winters panos., Em todo o produto bom e bonito e fácil de usar com itens como mostrado nos detalhes., Trabalhando bem, mas precisa fazer alguma melhoria, bom produto., Produto incrível, acabamento incrível em roupas, incrível melhor produto</v>
      </c>
      <c r="E1078" s="29" t="str">
        <f>IFERROR(__xludf.DUMMYFUNCTION("GOOGLETRANSLATE(C1078, ""en"", ""pt-br"")"),", O produto é bom, mas não para o serviço pesado. As lâminas são muito fracas, fique com facilidade. Por todo o lado, para um solteiro, é um melhor produto. Quem tem animais de estimação não é o único., Gosto muito., Trabalhando bem, mas precisa fazer alg"&amp;"uma melhoria, tudo se foi. Uau. Esse dispositivo elétrico limpa o fiapo tão facilmente como se eu soubesse o que fazer. Uma lâmina extra é apenas uma cereja no topo do bolo. Basta escolher qualquer tipo de pano e apenas raspa qualquer coisa extra sobre el"&amp;"es., É especialmente o produto de inverno ... possui lâminas muito afiadas que remove facilmente os fiapos ou materiais wollen rolados. Também é muito bom tempo de execução de 45 min aprox. Isso torna o Winter Clothes Free Lint, que parece novo ... vem co"&amp;"m lâmina extra e cabo de carregamento, além de limpar o pincel ... Totalmente vale a pena ... graças à Amazon, é um removedor de fiapos muito incrível. Estou muito feliz com os resultados. Isso fará suas roupas, pois elas são novas em condição. Útil para "&amp;"todos os tipos de roupas de tecido. O backup da bateria é mais do que suficiente. Você receberá lâmina extra, limpando a escova e o cabo de carregamento com este dispositivo., Você pode remover muito fiapos em um determinado momento sem limpá -lo. Esse re"&amp;"movedor de fiapos acabou de economizar meu tempo e esforço. Feliz para usá -lo. Você receberá lâmina extra, escova de limpeza e cabo de carregamento")</f>
        <v>, O produto é bom, mas não para o serviço pesado. As lâminas são muito fracas, fique com facilidade. Por todo o lado, para um solteiro, é um melhor produto. Quem tem animais de estimação não é o único., Gosto muito., Trabalhando bem, mas precisa fazer alguma melhoria, tudo se foi. Uau. Esse dispositivo elétrico limpa o fiapo tão facilmente como se eu soubesse o que fazer. Uma lâmina extra é apenas uma cereja no topo do bolo. Basta escolher qualquer tipo de pano e apenas raspa qualquer coisa extra sobre eles., É especialmente o produto de inverno ... possui lâminas muito afiadas que remove facilmente os fiapos ou materiais wollen rolados. Também é muito bom tempo de execução de 45 min aprox. Isso torna o Winter Clothes Free Lint, que parece novo ... vem com lâmina extra e cabo de carregamento, além de limpar o pincel ... Totalmente vale a pena ... graças à Amazon, é um removedor de fiapos muito incrível. Estou muito feliz com os resultados. Isso fará suas roupas, pois elas são novas em condição. Útil para todos os tipos de roupas de tecido. O backup da bateria é mais do que suficiente. Você receberá lâmina extra, limpando a escova e o cabo de carregamento com este dispositivo., Você pode remover muito fiapos em um determinado momento sem limpá -lo. Esse removedor de fiapos acabou de economizar meu tempo e esforço. Feliz para usá -lo. Você receberá lâmina extra, escova de limpeza e cabo de carregamento</v>
      </c>
    </row>
    <row r="1079">
      <c r="A1079" s="9" t="s">
        <v>4312</v>
      </c>
      <c r="B1079" s="29" t="str">
        <f>VLOOKUP(dados!A1079, reviews!A:G, 5, FALSE)</f>
        <v>Nice iron box. Temperature control can be better.,Product quality,Very nice product,Great Product,It is gud for normal use...,Okk,It's good,Nice product</v>
      </c>
      <c r="C1079" s="29" t="str">
        <f>VLOOKUP(dados!A1079, reviews!A:G, 6, FALSE)</f>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v>
      </c>
      <c r="D1079" s="29" t="str">
        <f>IFERROR(__xludf.DUMMYFUNCTION("GOOGLETRANSLATE(B1079, ""en"", ""pt-br"")"),"Boa caixa de ferro. Controle de temperatura pode ser melhor., Qualidade do produto, produto muito bom, ótimo produto, é Gud para uso normal ..., OKK, é bom, bom produto")</f>
        <v>Boa caixa de ferro. Controle de temperatura pode ser melhor., Qualidade do produto, produto muito bom, ótimo produto, é Gud para uso normal ..., OKK, é bom, bom produto</v>
      </c>
      <c r="E1079" s="29" t="str">
        <f>IFERROR(__xludf.DUMMYFUNCTION("GOOGLETRANSLATE(C1079, ""en"", ""pt-br"")"),"Bom, estou acostumado a Phillips por tanto tempo agora, mas o revestimento de pratos se foi, causando danos, manchas de roupas. Assim, verifiquei e fui em frente com a Bajaj fez suas críticas e valor da marca. Eu diria que o produto decente, fácil de usar"&amp;" apenas a coisa é que o controle de temperatura pode ser um pouco melhor em comparação com Phillips e a prensagem precisa de mais peso a ser aplicada em comparação com Phillips., É muito bom produto e confiabilidade. Quase estou usando mais de 4 meses, bo"&amp;"m produto, estou feliz com este produto de ótima qualidade, Gud em orçamento, produto é bom, mas o preço é muito maior, é bom .., bom produto")</f>
        <v>Bom, estou acostumado a Phillips por tanto tempo agora, mas o revestimento de pratos se foi, causando danos, manchas de roupas. Assim, verifiquei e fui em frente com a Bajaj fez suas críticas e valor da marca. Eu diria que o produto decente, fácil de usar apenas a coisa é que o controle de temperatura pode ser um pouco melhor em comparação com Phillips e a prensagem precisa de mais peso a ser aplicada em comparação com Phillips., É muito bom produto e confiabilidade. Quase estou usando mais de 4 meses, bom produto, estou feliz com este produto de ótima qualidade, Gud em orçamento, produto é bom, mas o preço é muito maior, é bom .., bom produto</v>
      </c>
    </row>
    <row r="1080">
      <c r="A1080" s="9" t="s">
        <v>4316</v>
      </c>
      <c r="B1080" s="29" t="str">
        <f>VLOOKUP(dados!A1080, reviews!A:G, 5, FALSE)</f>
        <v>पैसा वसूल,Nice,Not a good dilvery by bajaj,Almost gud product but takes time for getting hot water,Uuummhh,Good product,Overall average to good product.,Good</v>
      </c>
      <c r="C1080" s="29" t="str">
        <f>VLOOKUP(dados!A1080, reviews!A:G, 6, FALSE)</f>
        <v>पैसा वसूल,Goid,Product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v>
      </c>
      <c r="D1080" s="29" t="str">
        <f>IFERROR(__xludf.DUMMYFUNCTION("GOOGLETRANSLATE(B1080, ""en"", ""pt-br"")"),"पैसा वसूल, bom, não é um bom dilvHe de Bajaj, quase Gud Product, mas leva tempo para obter água quente, uuummhh, bom produto, médio geral para bom produto., Bom")</f>
        <v>पैसा वसूल, bom, não é um bom dilvHe de Bajaj, quase Gud Product, mas leva tempo para obter água quente, uuummhh, bom produto, médio geral para bom produto., Bom</v>
      </c>
      <c r="E1080" s="29" t="str">
        <f>IFERROR(__xludf.DUMMYFUNCTION("GOOGLETRANSLATE(C1080, ""en"", ""pt-br"")"),"पैसा वसूल, Goid, o produto não está funcionando corretamente, a luz verde não piscando, o tempo necessário para ficar quente é mais e, por favor Mins para aquecer a água. Agora leva de 15 a 30 minutos. Recompensa para instalar através da marca e eles cobr"&amp;"am bem Rs200. trabalhando bem. Este é o segundo aquecedor de água. Anteriormente, também Bajaj e eu estou usando dos últimos 8 anos. Ainda funcionando bem. O tempo de aquecimento é bastante mais longo do que outros gêiseres. Especialmente no pico. Frio va"&amp;"i demorar 15-20 minutos.")</f>
        <v>पैसा वसूल, Goid, o produto não está funcionando corretamente, a luz verde não piscando, o tempo necessário para ficar quente é mais e, por favor Mins para aquecer a água. Agora leva de 15 a 30 minutos. Recompensa para instalar através da marca e eles cobram bem Rs200. trabalhando bem. Este é o segundo aquecedor de água. Anteriormente, também Bajaj e eu estou usando dos últimos 8 anos. Ainda funcionando bem. O tempo de aquecimento é bastante mais longo do que outros gêiseres. Especialmente no pico. Frio vai demorar 15-20 minutos.</v>
      </c>
    </row>
    <row r="1081">
      <c r="A1081" s="9" t="s">
        <v>4320</v>
      </c>
      <c r="B1081" s="29" t="str">
        <f>VLOOKUP(dados!A1081, reviews!A:G, 5, FALSE)</f>
        <v>Save ur clothes,Loved it.,Superb,Average product. Handy but has flaws.,Takes time to cool, but overall good product,great product and really handy!,Great product..nd best to carry in traveling,Too costly</v>
      </c>
      <c r="C1081" s="29" t="str">
        <f>VLOOKUP(dados!A1081, reviews!A:G, 6, FALSE)</f>
        <v>Useful for dark colour n delicate dress,What an amazing product. Was quite sceptical before buying it after reading all these mixed reviews but glad i did.Smoothens out the creases from dresses, coats, woollens and any fabric which is otherwise non iron-able. Of course, you can’t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doesn’t completely satisfy your purpose.</v>
      </c>
      <c r="D1081" s="29" t="str">
        <f>IFERROR(__xludf.DUMMYFUNCTION("GOOGLETRANSLATE(B1081, ""en"", ""pt-br"")"),"Salve suas roupas, adorei., Excelente, produto médio. Handy, mas tem falhas., Leva tempo para esfriar, mas em geral, bom produto, ótimo produto e muito útil!, Ótimo produto ... e melhor para transportar viajar, muito caro")</f>
        <v>Salve suas roupas, adorei., Excelente, produto médio. Handy, mas tem falhas., Leva tempo para esfriar, mas em geral, bom produto, ótimo produto e muito útil!, Ótimo produto ... e melhor para transportar viajar, muito caro</v>
      </c>
      <c r="E1081" s="29" t="str">
        <f>IFERROR(__xludf.DUMMYFUNCTION("GOOGLETRANSLATE(C1081, ""en"", ""pt-br"")"),"Útil para cores escuras e vestido delicado, que produto incrível. Foi bastante cético antes de comprá-lo depois de ler todas essas críticas mistas, mas feliz que eu o fiz. Sutens os vincos de vestidos, casacos, woollens e qualquer tecido que não seja capa"&amp;"z de ferro. Obviamente, você não pode esperar que ele desbaste as camisas de algodão, mas é um produto muito útil, especialmente se você estiver viajando. Além disso, o vapor higieniza as roupas que as tornam livres de odor. O tanque de água é pequeno e p"&amp;"recisa ser recheado novamente após cerca de 2 roupas, mas o tanque maior o tornaria pesado e difícil de operar. Produto enquanto estiver usando, ele faz o trabalho muito bem. Os contras de acordo comigo são 1. Você não pode usá -lo com roupas colocadas em"&amp;" superfícies planas horizontais. Porque a água não atinge a saída no tanque se o tanque estiver meio vazio. A alternativa é que o vestido deve ser enforcado em um cabide de pano e depois usar o vapor. Tenha cuidado ao cozinhar no vapor, pois pode queimar "&amp;"a pele. Mantenha sua palma a uma distância segura enquanto cozinhava o vestido. Isso pode ser um problema quando você tenta vaporizar as mangas da peça e também para vestidos fluidos. Nem todos os tecidos podem ser completamente sem rugas. Às vezes, deixa"&amp;" mais vapor e água às vezes deixando sua roupa com manchas molhadas. A roupa parece molhada depois de usar o vapor. Você precisa continuar enchendo o tanque duas vezes para usá -lo em uma parte superior., Fácil de usar, resistente e faz o trabalho, a únic"&amp;"a coisa é que leva tempo para esfriar, restante de tudo de bom, é um produto incrível e fácil de usar . Apenas pendure o pano em algum lugar e comece a usar isso., Ótimo produto ... fácil de transportar ... dobrável ... e resultados ótimos, um produto méd"&amp;"io, mas o custo é muito alto, pois não satisfaz completamente seu objetivo.")</f>
        <v>Útil para cores escuras e vestido delicado, que produto incrível. Foi bastante cético antes de comprá-lo depois de ler todas essas críticas mistas, mas feliz que eu o fiz. Sutens os vincos de vestidos, casacos, woollens e qualquer tecido que não seja capaz de ferro. Obviamente, você não pode esperar que ele desbaste as camisas de algodão, mas é um produto muito útil, especialmente se você estiver viajando. Além disso, o vapor higieniza as roupas que as tornam livres de odor. O tanque de água é pequeno e precisa ser recheado novamente após cerca de 2 roupas, mas o tanque maior o tornaria pesado e difícil de operar. Produto enquanto estiver usando, ele faz o trabalho muito bem. Os contras de acordo comigo são 1. Você não pode usá -lo com roupas colocadas em superfícies planas horizontais. Porque a água não atinge a saída no tanque se o tanque estiver meio vazio. A alternativa é que o vestido deve ser enforcado em um cabide de pano e depois usar o vapor. Tenha cuidado ao cozinhar no vapor, pois pode queimar a pele. Mantenha sua palma a uma distância segura enquanto cozinhava o vestido. Isso pode ser um problema quando você tenta vaporizar as mangas da peça e também para vestidos fluidos. Nem todos os tecidos podem ser completamente sem rugas. Às vezes, deixa mais vapor e água às vezes deixando sua roupa com manchas molhadas. A roupa parece molhada depois de usar o vapor. Você precisa continuar enchendo o tanque duas vezes para usá -lo em uma parte superior., Fácil de usar, resistente e faz o trabalho, a única coisa é que leva tempo para esfriar, restante de tudo de bom, é um produto incrível e fácil de usar . Apenas pendure o pano em algum lugar e comece a usar isso., Ótimo produto ... fácil de transportar ... dobrável ... e resultados ótimos, um produto médio, mas o custo é muito alto, pois não satisfaz completamente seu objetivo.</v>
      </c>
    </row>
    <row r="1082">
      <c r="A1082" s="9" t="s">
        <v>4324</v>
      </c>
      <c r="B1082" s="29" t="str">
        <f>VLOOKUP(dados!A1082, reviews!A:G, 5, FALSE)</f>
        <v>Good for small rooms,Better,Good quality,Nice product,Good product,Potable room heater,Room heater is useful,Good Heater</v>
      </c>
      <c r="C1082" s="29" t="str">
        <f>VLOOKUP(dados!A1082, reviews!A:G, 6, FALSE)</f>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😁,This is Very good product,It’s good for smaller space.</v>
      </c>
      <c r="D1082" s="29" t="str">
        <f>IFERROR(__xludf.DUMMYFUNCTION("GOOGLETRANSLATE(B1082, ""en"", ""pt-br"")"),"Bom para quartos pequenos, melhor, boa qualidade, bom produto, bom produto, aquecedor de sala de potável, aquecedor da sala é útil, bom aquecedor")</f>
        <v>Bom para quartos pequenos, melhor, boa qualidade, bom produto, bom produto, aquecedor de sala de potável, aquecedor da sala é útil, bom aquecedor</v>
      </c>
      <c r="E1082" s="29" t="str">
        <f>IFERROR(__xludf.DUMMYFUNCTION("GOOGLETRANSLATE(C1082, ""en"", ""pt-br"")"),"Se você tiver que aquecer uma pequena sala, você pode definitivamente usar esse aquecedor, mas as pessoas precisam estar perto dela para sentir o calor., O produto é bom e melhor apenas quando você estiver perto dele. Não pode esfriar a pequena sala ATLE,"&amp;" é uma relação custo / benefício e vale a pena comprar produtos, melhor qualidade de construção nessa faixa de preço, bom produto e peso leve muito fácil, bom produto, bom valor para o dinheiro, recebi o aquecedor da sala É realmente muito bom 😁, este é "&amp;"um produto muito bom, é bom para um espaço menor.")</f>
        <v>Se você tiver que aquecer uma pequena sala, você pode definitivamente usar esse aquecedor, mas as pessoas precisam estar perto dela para sentir o calor., O produto é bom e melhor apenas quando você estiver perto dele. Não pode esfriar a pequena sala ATLE, é uma relação custo / benefício e vale a pena comprar produtos, melhor qualidade de construção nessa faixa de preço, bom produto e peso leve muito fácil, bom produto, bom valor para o dinheiro, recebi o aquecedor da sala É realmente muito bom 😁, este é um produto muito bom, é bom para um espaço menor.</v>
      </c>
    </row>
    <row r="1083">
      <c r="A1083" s="9" t="s">
        <v>4328</v>
      </c>
      <c r="B1083" s="29" t="str">
        <f>VLOOKUP(dados!A1083, reviews!A:G, 5, FALSE)</f>
        <v>Good stuff,Perfect for small kitchen,Convenient for small quantity,Nice and compact product,Nice product, good small grinder /blender,Not satisfied.,Good,Small jar defective</v>
      </c>
      <c r="C1083" s="29" t="str">
        <f>VLOOKUP(dados!A1083, reviews!A:G, 6, FALSE)</f>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v>
      </c>
      <c r="D1083" s="29" t="str">
        <f>IFERROR(__xludf.DUMMYFUNCTION("GOOGLETRANSLATE(B1083, ""en"", ""pt-br"")"),"Coisas boas, perfeitas para cozinha pequena, conveniente para pequena quantidade, produto agradável e compacto, produto agradável, bom pequeno moedor /liquidificador, não satisfeito., Bom e pequeno jar com defeito")</f>
        <v>Coisas boas, perfeitas para cozinha pequena, conveniente para pequena quantidade, produto agradável e compacto, produto agradável, bom pequeno moedor /liquidificador, não satisfeito., Bom e pequeno jar com defeito</v>
      </c>
      <c r="E1083" s="29" t="str">
        <f>IFERROR(__xludf.DUMMYFUNCTION("GOOGLETRANSLATE(C1083, ""en"", ""pt-br"")"),"Ok, devo dizer as 5 coisas a seguir. Muito barulhento, mas não muito, não no nível em que seu Senhor da Terra descerá e dirá para você manter o barulho baixo. O bloqueio é bom e fácil de limpar. A qualidade de plástico é boa. Útil e fácil também de uso. N"&amp;"ão o faça moer ou misturar por mais de um minuto em um único trecho, o motor começará a fumar., Eu tenho uma pequena cozinha, então isso é perfeito para mim, pois requer muito menos espaço na minha bancada. Usando -o nas últimas 2 semanas e estou feliz co"&amp;"m sua capacidade de moagem, design e desempenho de mistura até agora. Eu prefiro fazer pequenos lotes de especiarias caseiras e cereais de comida para bebês, por isso é uma opção muito boa para mim. É uma boa escolha para pulverizar pequenas quantidades d"&amp;"e especiarias. Ele vem com 2 lâminas- uma para a moagem e a outra para extração. A lâmina de extração é adequada para fazer smoothies., Para começar, o visual é muito elegante e moderno! Eu o uso para smoothies, milkshakes todos os dias ... é muito conven"&amp;"iente para o uso diário, pois é muito rápido, para o uso do tamanho da porção, a limpeza também é muito simples ... o mecanismo de lock é incrível, e a tecnologia de moagem é fascinante, basta corrigir e girar e girar e Começa a moer! .. Só a desvantagem "&amp;"é o ruído que faz durante a moagem inicial, o produto é bastante agradável e muito compacto. Em primeiro lugar, enfrentei o problema ao iniciar o liquidificador do Nutri, pois não começou por si só, preciso segurá -lo com força e começar a correr. Caso co"&amp;"ntrário, o produto é bom no geral., É bom para moer e misturar quantidades pequenas. É fácil de usar. Também é fácil. Eu cozinho meu trabalho de cozinha rapidamente com a ajuda deste produto, pois leva menos tempo para cortar. Eu recomendou que este produ"&amp;"to, o tamanho do produto seja pequeno, mas a qualidade do produto não é boa, usei este produto por 3 meses e os problemas chegaram em breve. Às vezes, o liquidificador não funciona e, o tempo todo, uma graxa negra, como a substância, continua saindo e se "&amp;"mistura com comida., Como ele e recomendo, o jarro pequeno não está funcionando ...")</f>
        <v>Ok, devo dizer as 5 coisas a seguir. Muito barulhento, mas não muito, não no nível em que seu Senhor da Terra descerá e dirá para você manter o barulho baixo. O bloqueio é bom e fácil de limpar. A qualidade de plástico é boa. Útil e fácil também de uso. Não o faça moer ou misturar por mais de um minuto em um único trecho, o motor começará a fumar., Eu tenho uma pequena cozinha, então isso é perfeito para mim, pois requer muito menos espaço na minha bancada. Usando -o nas últimas 2 semanas e estou feliz com sua capacidade de moagem, design e desempenho de mistura até agora. Eu prefiro fazer pequenos lotes de especiarias caseiras e cereais de comida para bebês, por isso é uma opção muito boa para mim. É uma boa escolha para pulverizar pequenas quantidades de especiarias. Ele vem com 2 lâminas- uma para a moagem e a outra para extração. A lâmina de extração é adequada para fazer smoothies., Para começar, o visual é muito elegante e moderno! Eu o uso para smoothies, milkshakes todos os dias ... é muito conveniente para o uso diário, pois é muito rápido, para o uso do tamanho da porção, a limpeza também é muito simples ... o mecanismo de lock é incrível, e a tecnologia de moagem é fascinante, basta corrigir e girar e girar e Começa a moer! .. Só a desvantagem é o ruído que faz durante a moagem inicial, o produto é bastante agradável e muito compacto. Em primeiro lugar, enfrentei o problema ao iniciar o liquidificador do Nutri, pois não começou por si só, preciso segurá -lo com força e começar a correr. Caso contrário, o produto é bom no geral., É bom para moer e misturar quantidades pequenas. É fácil de usar. Também é fácil. Eu cozinho meu trabalho de cozinha rapidamente com a ajuda deste produto, pois leva menos tempo para cortar. Eu recomendou que este produto, o tamanho do produto seja pequeno, mas a qualidade do produto não é boa, usei este produto por 3 meses e os problemas chegaram em breve. Às vezes, o liquidificador não funciona e, o tempo todo, uma graxa negra, como a substância, continua saindo e se mistura com comida., Como ele e recomendo, o jarro pequeno não está funcionando ...</v>
      </c>
    </row>
    <row r="1084">
      <c r="A1084" s="9" t="s">
        <v>4332</v>
      </c>
      <c r="B1084" s="29" t="str">
        <f>VLOOKUP(dados!A1084, reviews!A:G, 5, FALSE)</f>
        <v>A travel companion,Small and thin wire,Good product product thanks usha.,Nice,Good,Good buy,Ok product.,VfM</v>
      </c>
      <c r="C1084" s="29" t="str">
        <f>VLOOKUP(dados!A1084, reviews!A:G, 6, FALSE)</f>
        <v>Bought for as my travel tool to easy ironing,https://m.media-amazon.com/images/W/WEBP_402378-T2/images/I/618k+pbSNxL._SY88.jpg,Good product with good quality.,Nice,Good,Light weight,Good according to price ok. 1200,VfM</v>
      </c>
      <c r="D1084" s="29" t="str">
        <f>IFERROR(__xludf.DUMMYFUNCTION("GOOGLETRANSLATE(B1084, ""en"", ""pt-br"")"),"Um companheiro de viagem, pequeno e fino fio, bom produto, obrigado usha., Legal, boa, boa compra, produto OK., VFM")</f>
        <v>Um companheiro de viagem, pequeno e fino fio, bom produto, obrigado usha., Legal, boa, boa compra, produto OK., VFM</v>
      </c>
      <c r="E1084" s="29" t="str">
        <f>IFERROR(__xludf.DUMMYFUNCTION("GOOGLETRANSLATE(C1084, ""en"", ""pt-br"")"),"Comprado para a minha ferramenta de viagem para passar a roupa fácil, https: //m.media-amazon.com/images/w/webp_402378-t2/images/i/618k+pbsnxl._sy88.jpg, produto com boa qualidade., Nice , Bom, leve, bom, de acordo com o preço OK. 1200, VFM")</f>
        <v>Comprado para a minha ferramenta de viagem para passar a roupa fácil, https: //m.media-amazon.com/images/w/webp_402378-t2/images/i/618k+pbsnxl._sy88.jpg, produto com boa qualidade., Nice , Bom, leve, bom, de acordo com o preço OK. 1200, VFM</v>
      </c>
    </row>
    <row r="1085">
      <c r="A1085" s="9" t="s">
        <v>4336</v>
      </c>
      <c r="B1085" s="29" t="str">
        <f>VLOOKUP(dados!A1085, reviews!A:G, 5, FALSE)</f>
        <v>good,Nice product,Worth for money,Good product,Very good,Does what is needed to do,Good product,Nice kettle in 699 rs</v>
      </c>
      <c r="C1085" s="29" t="str">
        <f>VLOOKUP(dados!A1085, reviews!A:G, 6, FALSE)</f>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it’s worthy,Button got defected after a year so we changed it otherwise its good only</v>
      </c>
      <c r="D1085" s="29" t="str">
        <f>IFERROR(__xludf.DUMMYFUNCTION("GOOGLETRANSLATE(B1085, ""en"", ""pt-br"")"),"Bom, bom produto, valor por dinheiro, bom produto, muito bom, faz o que é necessário para fazer, bom produto, boa chaleira em 699 Rs")</f>
        <v>Bom, bom produto, valor por dinheiro, bom produto, muito bom, faz o que é necessário para fazer, bom produto, boa chaleira em 699 Rs</v>
      </c>
      <c r="E1085" s="29" t="str">
        <f>IFERROR(__xludf.DUMMYFUNCTION("GOOGLETRANSLATE(C1085, ""en"", ""pt-br"")"),"Comprei este item cerca de um ano atrás. Ainda trabalhando sem nenhum problema. O único problema é com o cordão .Wire. O comprimento do cordão é muito pequeno. Então, temos que usar uma caixa de extensão., bom produto, tudo bem ... mas tem algum cheiro me"&amp;"tálico mesmo depois de usar por 2 semanas ... o comprimento do cordão é o mesmo que muitas marcas, muito útil com este produto pela manhã ., Vale em dinheiro, o cordão é super curto e precisa ser mantido a uma certa altura do Power Point, a chaleira aquec"&amp;"e a água muito rapidamente, muito útil para nossas necessidades, valor ao dinheiro é digno, o botão foi deserto após um ano Nós mudamos de outra forma é bom apenas")</f>
        <v>Comprei este item cerca de um ano atrás. Ainda trabalhando sem nenhum problema. O único problema é com o cordão .Wire. O comprimento do cordão é muito pequeno. Então, temos que usar uma caixa de extensão., bom produto, tudo bem ... mas tem algum cheiro metálico mesmo depois de usar por 2 semanas ... o comprimento do cordão é o mesmo que muitas marcas, muito útil com este produto pela manhã ., Vale em dinheiro, o cordão é super curto e precisa ser mantido a uma certa altura do Power Point, a chaleira aquece a água muito rapidamente, muito útil para nossas necessidades, valor ao dinheiro é digno, o botão foi deserto após um ano Nós mudamos de outra forma é bom apenas</v>
      </c>
    </row>
    <row r="1086">
      <c r="A1086" s="9" t="s">
        <v>4340</v>
      </c>
      <c r="B1086" s="29" t="str">
        <f>VLOOKUP(dados!A1086, reviews!A:G, 5, FALSE)</f>
        <v>Product is good but the installation provider team is pathetic,Mediocre performance with pathetic installation experience,Satisfaction,No invoice inside the cartoon for warranty claim,Ok,Happy  😊 😃,Good product,Good ... But some problems in installing</v>
      </c>
      <c r="C1086" s="29" t="str">
        <f>VLOOKUP(dados!A1086, reviews!A:G, 6, FALSE)</f>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v>
      </c>
      <c r="D1086" s="29" t="str">
        <f>IFERROR(__xludf.DUMMYFUNCTION("GOOGLETRANSLATE(B1086, ""en"", ""pt-br"")"),"O produto é bom, mas a equipe do provedor de instalação é patética, desempenho medíocre, com experiência patética de instalação, satisfação, sem fatura dentro do desenho animado para reivindicação de garantia, OK, feliz 😊 😃, bom produto, bom ... mas alg"&amp;"uns problemas na instalação")</f>
        <v>O produto é bom, mas a equipe do provedor de instalação é patética, desempenho medíocre, com experiência patética de instalação, satisfação, sem fatura dentro do desenho animado para reivindicação de garantia, OK, feliz 😊 😃, bom produto, bom ... mas alguns problemas na instalação</v>
      </c>
      <c r="E1086" s="29" t="str">
        <f>IFERROR(__xludf.DUMMYFUNCTION("GOOGLETRANSLATE(C1086, ""en"", ""pt-br"")"),"A entrega da Amazon foi rápida e pontual (recebida no dia seguinte, pedindo nem 24 horas, 5 estrelas para a Amazon e a entrega), a embalagem do produto foi muito boa. O produto dos caras é bom, mas você precisa encontrar suas próprias maneiras de instinar"&amp;". Para a instalação, tivemos que ligar para o serviço ao cliente de Crompton, onde eles registraram a solicitação e eles fornecem o número da equipe de instalação de terceiros para a área específica em que temos que pedir a instalação, eles pegaram a cham"&amp;"ada registrando a solicitação de instalação e Atualizou -nos que eles nos ligarão de volta em 5 minutos para confirmar o tempo de instalação, mas não houve chamada de volta por dois dias e, quando ligamos de volta muitas vezes, eles nem se incomodam em at"&amp;"ender a chamada, mas eles estavam desconectando prontamente a chamada. A empresa precisa verificar a credibilidade do provedor de serviços e tomar as medidas apropriadas, caso contrário, a popularidade da marca irá para um sorteio. A Hope Company toma as "&amp;"medidas apropriadas., Serviço de instalação patética da Crompton. Teve que ligar para eles várias vezes antes de atribuir um mecânico. O mecânico que veio tinha 0 conhecimento sobre a instalação ou a máquina. Preocupado com o que eles forneceriam em caso "&amp;"de quebra ou mau funcionamento da máquina. Sugeriria que os usuários pensem nos contras antes da compra. O produto é média nada muito excepcional para escrever. Será que você é bom o suficiente, não é excelente., É bom usar, mas o que eu observei é que es"&amp;"tá aquece a água a 80 ℃ apenas ~ não ~ mais do que não é tão quente para misturar, mas é bom se o calor e pronto para tomar banho. .. Leva cerca de 12 minutos para aquecer o bom banho no inverno, a fatura deveria ter sido dada dentro do desenho animado pa"&amp;"ra o problema no futuro, se houver, com o gêiseador., Leva mais tempo para obter água quente, bom desempenho, bom produto, Aquecimento rápido que foi bom ...")</f>
        <v>A entrega da Amazon foi rápida e pontual (recebida no dia seguinte, pedindo nem 24 horas, 5 estrelas para a Amazon e a entrega), a embalagem do produto foi muito boa. O produto dos caras é bom, mas você precisa encontrar suas próprias maneiras de instinar. Para a instalação, tivemos que ligar para o serviço ao cliente de Crompton, onde eles registraram a solicitação e eles fornecem o número da equipe de instalação de terceiros para a área específica em que temos que pedir a instalação, eles pegaram a chamada registrando a solicitação de instalação e Atualizou -nos que eles nos ligarão de volta em 5 minutos para confirmar o tempo de instalação, mas não houve chamada de volta por dois dias e, quando ligamos de volta muitas vezes, eles nem se incomodam em atender a chamada, mas eles estavam desconectando prontamente a chamada. A empresa precisa verificar a credibilidade do provedor de serviços e tomar as medidas apropriadas, caso contrário, a popularidade da marca irá para um sorteio. A Hope Company toma as medidas apropriadas., Serviço de instalação patética da Crompton. Teve que ligar para eles várias vezes antes de atribuir um mecânico. O mecânico que veio tinha 0 conhecimento sobre a instalação ou a máquina. Preocupado com o que eles forneceriam em caso de quebra ou mau funcionamento da máquina. Sugeriria que os usuários pensem nos contras antes da compra. O produto é média nada muito excepcional para escrever. Será que você é bom o suficiente, não é excelente., É bom usar, mas o que eu observei é que está aquece a água a 80 ℃ apenas ~ não ~ mais do que não é tão quente para misturar, mas é bom se o calor e pronto para tomar banho. .. Leva cerca de 12 minutos para aquecer o bom banho no inverno, a fatura deveria ter sido dada dentro do desenho animado para o problema no futuro, se houver, com o gêiseador., Leva mais tempo para obter água quente, bom desempenho, bom produto, Aquecimento rápido que foi bom ...</v>
      </c>
    </row>
    <row r="1087">
      <c r="A1087" s="9" t="s">
        <v>4344</v>
      </c>
      <c r="B1087" s="29" t="str">
        <f>VLOOKUP(dados!A1087, reviews!A:G, 5, FALSE)</f>
        <v>Good product,I haven't received my warranty bill inside,Whisking attachment not received,Awesome,Great Product! Go for it!!!,Nice,Good product .,Must have for every kitchen</v>
      </c>
      <c r="C1087" s="29" t="str">
        <f>VLOOKUP(dados!A1087, reviews!A:G, 6, FALSE)</f>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v>
      </c>
      <c r="D1087" s="29" t="str">
        <f>IFERROR(__xludf.DUMMYFUNCTION("GOOGLETRANSLATE(B1087, ""en"", ""pt-br"")"),"Bom produto, não recebi minha fatura de garantia dentro, um anexo não recebido, incrível, ótimo produto! Vá em frente !!!, bom, bom produto., Deve ter para cada cozinha")</f>
        <v>Bom produto, não recebi minha fatura de garantia dentro, um anexo não recebido, incrível, ótimo produto! Vá em frente !!!, bom, bom produto., Deve ter para cada cozinha</v>
      </c>
      <c r="E1087" s="29" t="str">
        <f>IFERROR(__xludf.DUMMYFUNCTION("GOOGLETRANSLATE(C1087, ""en"", ""pt-br"")"),"Recentemente, recuperei o produto e usei apenas uma vez, portanto, a revisão é a base que. Possui uma plataforma emborrachada para que não se mova muito quando em movimento. Trabalho como esperado, isso é mais conveniente em comparação com o helicóptero d"&amp;"e mão que quebra facilmente. O Borosil Chopper também tem garantia de 2 anos, então isso é uma atualização mais. Deará mais, à medida que eu o uso mais, o cartão de fatura de garantia não está disponível dentro do pacote, não conseguiu a lâmina de mexer. "&amp;"A Amazon tem apenas a opção de retornar o produto. O produto é bom, portanto, eu só quero que a lâmina de mexer enviada para mim., Finalmente, encontrei a caixa certa entre as parcelas da Amazon Multple que recebi e meu vizinho entregou a mim e está funci"&amp;"onando perfeitamente com helicóptero elétrico borosil que deve ter., Eu estava procurando um melhor helicóptero durável. O Borosil faz os melhores produtos. Estou usando outros eletrônicos de borosil por anos e eles são ótimos. Esse cobre corta os vegetai"&amp;"s em 5 segundos e o resultado é simplesmente incrível. Vá em frente sem pensar., Gostei deste produto. CHOPS até gengibre em segundos. Fiz meu cozimento mais fácil. Os vegetais são picados em tamanhos pequenos e podem ser adicionados a Chila ou Paratha ou"&amp;" mesmo da farinha dosa para dieta saudável para crianças. Se você planeja comprar um, vá em frente. Para uma grande família para uso diário, cozinhar não é necessário muito esforço, mas os tempos de preparação o fazem. Apreciando uma vida fácil de cozinha"&amp;" com esta maravilhosa cozinha utilitária obrigatória. Muito impressionado.")</f>
        <v>Recentemente, recuperei o produto e usei apenas uma vez, portanto, a revisão é a base que. Possui uma plataforma emborrachada para que não se mova muito quando em movimento. Trabalho como esperado, isso é mais conveniente em comparação com o helicóptero de mão que quebra facilmente. O Borosil Chopper também tem garantia de 2 anos, então isso é uma atualização mais. Deará mais, à medida que eu o uso mais, o cartão de fatura de garantia não está disponível dentro do pacote, não conseguiu a lâmina de mexer. A Amazon tem apenas a opção de retornar o produto. O produto é bom, portanto, eu só quero que a lâmina de mexer enviada para mim., Finalmente, encontrei a caixa certa entre as parcelas da Amazon Multple que recebi e meu vizinho entregou a mim e está funcionando perfeitamente com helicóptero elétrico borosil que deve ter., Eu estava procurando um melhor helicóptero durável. O Borosil faz os melhores produtos. Estou usando outros eletrônicos de borosil por anos e eles são ótimos. Esse cobre corta os vegetais em 5 segundos e o resultado é simplesmente incrível. Vá em frente sem pensar., Gostei deste produto. CHOPS até gengibre em segundos. Fiz meu cozimento mais fácil. Os vegetais são picados em tamanhos pequenos e podem ser adicionados a Chila ou Paratha ou mesmo da farinha dosa para dieta saudável para crianças. Se você planeja comprar um, vá em frente. Para uma grande família para uso diário, cozinhar não é necessário muito esforço, mas os tempos de preparação o fazem. Apreciando uma vida fácil de cozinha com esta maravilhosa cozinha utilitária obrigatória. Muito impressionado.</v>
      </c>
    </row>
    <row r="1088">
      <c r="A1088" s="9" t="s">
        <v>4350</v>
      </c>
      <c r="B1088" s="29" t="str">
        <f>VLOOKUP(dados!A1088, reviews!A:G, 5, FALSE)</f>
        <v>Easy to operate and rich look,Good,Very good product,Kent electric kettle,Nice,Electric Wire is too short..It should be expanded...,Better products,Worth it</v>
      </c>
      <c r="C1088" s="29" t="str">
        <f>VLOOKUP(dados!A1088, reviews!A:G, 6, FALSE)</f>
        <v>Product is good but now price is increased  I was brought it for 1099 and now it's price is 1199 with in 15 days,Good,Must buy,Nice looking or good control heart,Night,Electric Wire is too short..It should be expanded for easy of use.....,Good performance,Nice product</v>
      </c>
      <c r="D1088" s="29" t="str">
        <f>IFERROR(__xludf.DUMMYFUNCTION("GOOGLETRANSLATE(B1088, ""en"", ""pt-br"")"),"Fácil de operar e rico aparência, bom, muito bom produto, chaleira elétrica Kent, fios elétricos bonitos é muito curto ... deve ser expandido ..., melhores produtos, vale a pena")</f>
        <v>Fácil de operar e rico aparência, bom, muito bom produto, chaleira elétrica Kent, fios elétricos bonitos é muito curto ... deve ser expandido ..., melhores produtos, vale a pena</v>
      </c>
      <c r="E1088" s="29" t="str">
        <f>IFERROR(__xludf.DUMMYFUNCTION("GOOGLETRANSLATE(C1088, ""en"", ""pt-br"")"),"O produto é bom, mas agora o preço é aumentado, fui trazido para 1099 e agora o preço é 1199, com 15 dias, bom, deve comprar, bonito ou bom de controle, o fio da noite, é muito curto ... deve ser expandido Para fácil de usar ....., bom desempenho, bom pro"&amp;"duto")</f>
        <v>O produto é bom, mas agora o preço é aumentado, fui trazido para 1099 e agora o preço é 1199, com 15 dias, bom, deve comprar, bonito ou bom de controle, o fio da noite, é muito curto ... deve ser expandido Para fácil de usar ....., bom desempenho, bom produto</v>
      </c>
    </row>
    <row r="1089">
      <c r="A1089" s="9" t="s">
        <v>4354</v>
      </c>
      <c r="B1089" s="29" t="str">
        <f>VLOOKUP(dados!A1089, reviews!A:G, 5, FALSE)</f>
        <v>So far it is good. Purchased only in October 2022.,Good,Best product in best price range.,Average price good 👍,Good looking,Create too much noise, overall good product,Good,Bahut badhiya hai</v>
      </c>
      <c r="C1089" s="29" t="str">
        <f>VLOOKUP(dados!A1089, reviews!A:G, 6, FALSE)</f>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 is not good and other jar 🏺 very good design average product good 👍,Good products,Create too much noise, overall good product,Mixer se tak tak hilane pe aawaj aata hai,Daal ko pisne ke liye Kiya</v>
      </c>
      <c r="D1089" s="29" t="str">
        <f>IFERROR(__xludf.DUMMYFUNCTION("GOOGLETRANSLATE(B1089, ""en"", ""pt-br"")"),"Até agora é bom. Comprado apenas em outubro de 2022., bom, melhor produto na melhor faixa de preço., Preço médio bom 👍, bonito, crie muito ruído, bom produto geral, bom, Bahut badhiya hai")</f>
        <v>Até agora é bom. Comprado apenas em outubro de 2022., bom, melhor produto na melhor faixa de preço., Preço médio bom 👍, bonito, crie muito ruído, bom produto geral, bom, Bahut badhiya hai</v>
      </c>
      <c r="E1089" s="29" t="str">
        <f>IFERROR(__xludf.DUMMYFUNCTION("GOOGLETRANSLATE(C1089, ""en"", ""pt-br"")"),"Comprou alguns meses atrás. Até agora é bom. Quando minha filha comprou um ano atrás, recentemente havia um problema motor que foi substituído na garantia., O produto é de boa qualidade. Vale a pena comprar, bem, é fácil de usar e menos barulhento. Ele ve"&amp;"m com 750W de motor. Por isso, fornece mais energia e trituração em menos tempo., Apenas o jarro de espremedor 🏺 não é bom e outro jar 🏺 muito bom projeto de projeto médio bom 👍, bons produtos, criar muito ruído, bom produto geral, misturador se tak hi"&amp;"lane pe aawaj Aata Hai, Daal Ko Pisne Ke Liye Kiya")</f>
        <v>Comprou alguns meses atrás. Até agora é bom. Quando minha filha comprou um ano atrás, recentemente havia um problema motor que foi substituído na garantia., O produto é de boa qualidade. Vale a pena comprar, bem, é fácil de usar e menos barulhento. Ele vem com 750W de motor. Por isso, fornece mais energia e trituração em menos tempo., Apenas o jarro de espremedor 🏺 não é bom e outro jar 🏺 muito bom projeto de projeto médio bom 👍, bons produtos, criar muito ruído, bom produto geral, misturador se tak hilane pe aawaj Aata Hai, Daal Ko Pisne Ke Liye Kiya</v>
      </c>
    </row>
    <row r="1090">
      <c r="A1090" s="9" t="s">
        <v>4358</v>
      </c>
      <c r="B1090" s="29" t="str">
        <f>VLOOKUP(dados!A1090, reviews!A:G, 5, FALSE)</f>
        <v>Perfect egg boiler,Good to use,Worth the price,U buying this items,Price is affordable.,Great product and working fine,Very nice product..only wire is small in size otherwise its good,easy to use but very very short wire</v>
      </c>
      <c r="C1090" s="29" t="str">
        <f>VLOOKUP(dados!A1090, reviews!A:G, 6, FALSE)</f>
        <v>It is very easy to use and egg get boiled within 15min. It is portable and easy to carry and cook 7eggs in one time. even design and Quality of the product is nice. amazing product in less money. Thanks Amazon 😊,Good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v>
      </c>
      <c r="D1090" s="29" t="str">
        <f>IFERROR(__xludf.DUMMYFUNCTION("GOOGLETRANSLATE(B1090, ""en"", ""pt-br"")"),"Caldeira de ovo perfeita, bom de usar, vale o preço, você compra esses itens, o preço é acessível., Ótimo produto e funcionando bem, muito bom produto ... apenas o fio é pequeno em tamanho, caso contrário, é bom, fácil de usar, mas muito curto arame")</f>
        <v>Caldeira de ovo perfeita, bom de usar, vale o preço, você compra esses itens, o preço é acessível., Ótimo produto e funcionando bem, muito bom produto ... apenas o fio é pequeno em tamanho, caso contrário, é bom, fácil de usar, mas muito curto arame</v>
      </c>
      <c r="E1090" s="29" t="str">
        <f>IFERROR(__xludf.DUMMYFUNCTION("GOOGLETRANSLATE(C1090, ""en"", ""pt-br"")"),"É muito fácil de usar e o ovo é fervido em 15 minutos. É portátil e fácil de transportar e cozinhar 7EGGs de uma vez. Até o design e a qualidade do produto são bons. Produto incrível em menos dinheiro. Obrigado Amazon 😊, bom de usar. Ovo fervido corretam"&amp;"ente. A única coisa que o produto colorido errado é entregue, mas tudo bem. Vou gerenciar., Produto incrível com instalações automáticas. Fácil de usar e eficiente em termos de tempo. Deve tentar, bom produto, apenas melhorar a qualidade e o trabalho é mu"&amp;"ito bom., Funciona muito bem, já faz um mês usando esta caldeira e funciona bem até a data. Coisas a anotar: 1) Quando você ferve, mantendo todos os 7 ovos de cada vez, há chances de uma pequena quebra de 1 ou 2 ovos que no meu caso, mas funcionam bem se "&amp;"você tentar com 6 ou 5 ou menos não. 2) O fio é curto, então você precisará ter um ponto de plugue mais próximo da base ou usar um banquinho. 3) Os ovos cozidos são leves mais macios (claras) do que os ovos habituais que são fervidos no fogão, mas você se"&amp;" acaricia. 4) pode ser usado apenas para ferver ovos e fritadegar diretamente não está funcionando. 5) O copo de medição é fornecido e pode ser usado para medir a água para ebulição macia, média ou dura de ovos, https: //m.media-amazon.com/images/w/webp_4"&amp;"02378-t2/images/i/71-atgwx3dl ._Sy88.jpg, é muito conveniente ferver os ovos. Bom para uso diário. O único problema é que o fio é muito curto, apenas 1 pés, torna um pouco complicado de usar, pois você precisa colocar algo abaixo para que o plugue possa a"&amp;"tingir o soquete, pelo menos eles deveriam ter fornecido 1mtr com fio de comprimento. Possui aberturas de ar na parte inferior, você precisa lavá -lo cuidadosamente.")</f>
        <v>É muito fácil de usar e o ovo é fervido em 15 minutos. É portátil e fácil de transportar e cozinhar 7EGGs de uma vez. Até o design e a qualidade do produto são bons. Produto incrível em menos dinheiro. Obrigado Amazon 😊, bom de usar. Ovo fervido corretamente. A única coisa que o produto colorido errado é entregue, mas tudo bem. Vou gerenciar., Produto incrível com instalações automáticas. Fácil de usar e eficiente em termos de tempo. Deve tentar, bom produto, apenas melhorar a qualidade e o trabalho é muito bom., Funciona muito bem, já faz um mês usando esta caldeira e funciona bem até a data. Coisas a anotar: 1) Quando você ferve, mantendo todos os 7 ovos de cada vez, há chances de uma pequena quebra de 1 ou 2 ovos que no meu caso, mas funcionam bem se você tentar com 6 ou 5 ou menos não. 2) O fio é curto, então você precisará ter um ponto de plugue mais próximo da base ou usar um banquinho. 3) Os ovos cozidos são leves mais macios (claras) do que os ovos habituais que são fervidos no fogão, mas você se acaricia. 4) pode ser usado apenas para ferver ovos e fritadegar diretamente não está funcionando. 5) O copo de medição é fornecido e pode ser usado para medir a água para ebulição macia, média ou dura de ovos, https: //m.media-amazon.com/images/w/webp_402378-t2/images/i/71-atgwx3dl ._Sy88.jpg, é muito conveniente ferver os ovos. Bom para uso diário. O único problema é que o fio é muito curto, apenas 1 pés, torna um pouco complicado de usar, pois você precisa colocar algo abaixo para que o plugue possa atingir o soquete, pelo menos eles deveriam ter fornecido 1mtr com fio de comprimento. Possui aberturas de ar na parte inferior, você precisa lavá -lo cuidadosamente.</v>
      </c>
    </row>
    <row r="1091">
      <c r="A1091" s="9" t="s">
        <v>4362</v>
      </c>
      <c r="B1091" s="29" t="str">
        <f>VLOOKUP(dados!A1091, reviews!A:G, 5, FALSE)</f>
        <v>It's good 👍,Good...,Good Product,Satisfied,Good for small room,Unsure,Not bad,Don't bye it....</v>
      </c>
      <c r="C1091" s="29" t="str">
        <f>VLOOKUP(dados!A1091, reviews!A:G, 6, FALSE)</f>
        <v>It's working,Good,Good Product 👍,Nice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v>
      </c>
      <c r="D1091" s="29" t="str">
        <f>IFERROR(__xludf.DUMMYFUNCTION("GOOGLETRANSLATE(B1091, ""en"", ""pt-br"")"),"É bom 👍, bom ..., bom produto, satisfeito, bom para uma sala pequena, insegura, não é ruim, não tchau ....")</f>
        <v>É bom 👍, bom ..., bom produto, satisfeito, bom para uma sala pequena, insegura, não é ruim, não tchau ....</v>
      </c>
      <c r="E1091" s="29" t="str">
        <f>IFERROR(__xludf.DUMMYFUNCTION("GOOGLETRANSLATE(C1091, ""en"", ""pt-br"")"),"Está funcionando, bom, bom produto 👍, bom produto, não posso usar por longas horas. Bom para quartos pequenos e pode ser usado por um período mínimo de tempo., Não tenho certeza se eu posso usar durante a noite., Nice Bad Alta Preço, por favor, não tchau"&amp;", eu pedi esse aquecedor da sala do Basics da Amazon, funcionando bem para dois Meses e de repente param de trabalhar quando eu quiser reivindicar minha garantia de 1 ano, o serviço do cartão do cliente é realmente é péssimo, quando liguei para o atendime"&amp;"nto ao cliente, primeiro é dito que ""você precisa se registrar com Warnty First"", depois registro meu Warntion e é necessário 3 dias para se registrar e depois me candidato à minha garantia, eles me disseram para enviar um e -mail no e -mail da marca Am"&amp;"azon, e agora esse desastre começou, eles me disseram por e -mail, leva 7 dias para processar minha garantia e até a data de 24 dias a partir da minha queixa Registre -se, e eu não recebo minha garantia até a data, então, por favor, não tchau .......")</f>
        <v>Está funcionando, bom, bom produto 👍, bom produto, não posso usar por longas horas. Bom para quartos pequenos e pode ser usado por um período mínimo de tempo., Não tenho certeza se eu posso usar durante a noite., Nice Bad Alta Preço, por favor, não tchau, eu pedi esse aquecedor da sala do Basics da Amazon, funcionando bem para dois Meses e de repente param de trabalhar quando eu quiser reivindicar minha garantia de 1 ano, o serviço do cartão do cliente é realmente é péssimo, quando liguei para o atendimento ao cliente, primeiro é dito que "você precisa se registrar com Warnty First", depois registro meu Warntion e é necessário 3 dias para se registrar e depois me candidato à minha garantia, eles me disseram para enviar um e -mail no e -mail da marca Amazon, e agora esse desastre começou, eles me disseram por e -mail, leva 7 dias para processar minha garantia e até a data de 24 dias a partir da minha queixa Registre -se, e eu não recebo minha garantia até a data, então, por favor, não tchau .......</v>
      </c>
    </row>
    <row r="1092">
      <c r="A1092" s="9" t="s">
        <v>4366</v>
      </c>
      <c r="B1092" s="29" t="str">
        <f>VLOOKUP(dados!A1092, reviews!A:G, 5, FALSE)</f>
        <v>Nice,Good Quality,Good product,Product is good but some issues with it,Good,Good product.,Good and easy to use,Good one</v>
      </c>
      <c r="C1092" s="29" t="str">
        <f>VLOOKUP(dados!A1092, reviews!A:G, 6, FALSE)</f>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v>
      </c>
      <c r="D1092" s="29" t="str">
        <f>IFERROR(__xludf.DUMMYFUNCTION("GOOGLETRANSLATE(B1092, ""en"", ""pt-br"")"),"Boa, boa qualidade, bom produto, produto é bom, mas alguns problemas com ele, bom, bom produto., Bom e fácil de usar, bom")</f>
        <v>Boa, boa qualidade, bom produto, produto é bom, mas alguns problemas com ele, bom, bom produto., Bom e fácil de usar, bom</v>
      </c>
      <c r="E1092" s="29" t="str">
        <f>IFERROR(__xludf.DUMMYFUNCTION("GOOGLETRANSLATE(C1092, ""en"", ""pt-br"")"),"Produto agradável, pequeno e útil!, Https: //m.media-amazon.com/images/i/71bw5+wcbhl._sy88.jpg.Receu o produto com manchas de pressão nele, caso contrário, o produto é ótimo. Escala de pesar decente , um pouco do lado menor, mas portátil., https: //m.medi"&amp;"a-amazon.com/images/i/71i6rwu9s4l._sy88.jpg,i recebeu o produto hoje e é muito leve e fácil de usar., tudo Como a precisão leve e fácil de usar, é bom, mas eu o devolvo no próprio segundo dia por causa de seu tamanho, você não pode entender por que é tão "&amp;"pequeno do que o mostrado na web.")</f>
        <v>Produto agradável, pequeno e útil!, Https: //m.media-amazon.com/images/i/71bw5+wcbhl._sy88.jpg.Receu o produto com manchas de pressão nele, caso contrário, o produto é ótimo. Escala de pesar decente , um pouco do lado menor, mas portátil., https: //m.media-amazon.com/images/i/71i6rwu9s4l._sy88.jpg,i recebeu o produto hoje e é muito leve e fácil de usar., tudo Como a precisão leve e fácil de usar, é bom, mas eu o devolvo no próprio segundo dia por causa de seu tamanho, você não pode entender por que é tão pequeno do que o mostrado na web.</v>
      </c>
    </row>
    <row r="1093">
      <c r="A1093" s="9" t="s">
        <v>4372</v>
      </c>
      <c r="B1093" s="29" t="str">
        <f>VLOOKUP(dados!A1093, reviews!A:G, 5, FALSE)</f>
        <v>very good geyser and value for money,Only geyser comes with the box,Good may be very good,Good product,Accessories missing,Value for the money product,Excellent product,Worth For money</v>
      </c>
      <c r="C1093" s="29" t="str">
        <f>VLOOKUP(dados!A1093, reviews!A:G, 6, FALSE)</f>
        <v>very good looking product and value for money, only the water flow is very slow,You have to pay for installation,pipes n any additional taps which is required 😩,Quick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v>
      </c>
      <c r="D1093" s="29" t="str">
        <f>IFERROR(__xludf.DUMMYFUNCTION("GOOGLETRANSLATE(B1093, ""en"", ""pt-br"")"),"Muito bom gêisero e valor pelo dinheiro, apenas o geyser vem com a caixa, bom pode ser muito bom, bom produto, acessórios ausentes, valor para o produto em dinheiro, excelente produto, valor para dinheiro")</f>
        <v>Muito bom gêisero e valor pelo dinheiro, apenas o geyser vem com a caixa, bom pode ser muito bom, bom produto, acessórios ausentes, valor para o produto em dinheiro, excelente produto, valor para dinheiro</v>
      </c>
      <c r="E1093" s="29" t="str">
        <f>IFERROR(__xludf.DUMMYFUNCTION("GOOGLETRANSLATE(C1093, ""en"", ""pt-br"")"),"Produto e valor muito bonito, apenas o fluxo de água é muito lento, você precisa pagar pela instalação, tubos n quaisquer torneiras adicionais necessárias 😩, água quente rápida recebida, corte automático, mas aumento da conta de eletricidade, bom produto"&amp;" de um bom produto a partir de Bajaj. Mas a carga de instalação é alta. Rs 350 para carga de instalação do Bajaj, 230 para conexão de tubos e 120 para parafusos pendurados na parede. Total de 700rs., A embalagem contém unidade principal com 3 pinos de pin"&amp;"os. Geralmente, toda a empresa de eletrodomésticos oferece instalação gratuita, pois a primeira intração seria sempre gratuita. Eu sugiro que você adicione o custo de instalação no produto e também dê o preço do pacote com tubos quentes e frios para que a"&amp;" técnica de instalação não se divertir., Melhor gêiser com o melhor preço da melhor empresa Bajaj. Foi entregue em 3 dias. Muito bom 10 ltr. Modelo de armazenamento GEYSER em 5000/- que não inclui instalação e tubos. Para isso de 500 a 600 Rs, deve ser pa"&amp;"go no momento da instalação. A instalação será feita mediante solicitação por meio da linha de apoio Bajaj. No geral, produto muito bom de Bajaj e a melhor qualidade entregues pela Amazon e seu revendedor., Vale a pena por dinheiro")</f>
        <v>Produto e valor muito bonito, apenas o fluxo de água é muito lento, você precisa pagar pela instalação, tubos n quaisquer torneiras adicionais necessárias 😩, água quente rápida recebida, corte automático, mas aumento da conta de eletricidade, bom produto de um bom produto a partir de Bajaj. Mas a carga de instalação é alta. Rs 350 para carga de instalação do Bajaj, 230 para conexão de tubos e 120 para parafusos pendurados na parede. Total de 700rs., A embalagem contém unidade principal com 3 pinos de pinos. Geralmente, toda a empresa de eletrodomésticos oferece instalação gratuita, pois a primeira intração seria sempre gratuita. Eu sugiro que você adicione o custo de instalação no produto e também dê o preço do pacote com tubos quentes e frios para que a técnica de instalação não se divertir., Melhor gêiser com o melhor preço da melhor empresa Bajaj. Foi entregue em 3 dias. Muito bom 10 ltr. Modelo de armazenamento GEYSER em 5000/- que não inclui instalação e tubos. Para isso de 500 a 600 Rs, deve ser pago no momento da instalação. A instalação será feita mediante solicitação por meio da linha de apoio Bajaj. No geral, produto muito bom de Bajaj e a melhor qualidade entregues pela Amazon e seu revendedor., Vale a pena por dinheiro</v>
      </c>
    </row>
    <row r="1094">
      <c r="A1094" s="9" t="s">
        <v>4376</v>
      </c>
      <c r="B1094" s="29" t="str">
        <f>VLOOKUP(dados!A1094, reviews!A:G, 5, FALSE)</f>
        <v>Heavy duty mixer grinder, delivers what it promises,Works fast,It's not working good I had bought in 2020 and the motor is making,Good machine but cap locks can be much better,Good 👍,Great Mixer Grinder but not good for juices,Powerfull mixer grinder,Powerful but Pricey</v>
      </c>
      <c r="C1094" s="29" t="str">
        <f>VLOOKUP(dados!A1094, reviews!A:G, 6, FALSE)</f>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machine.Do’s &amp; Don’tI feel if we follow certain guidelines we can best out of the product1. Do not overload2. Do not use for more than a minute without giving a little rest.3. When turning the speed knobs – don’t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 use cold water to grind – that way the jar will never heat up.6. DO NOT grind hot ingredients. Many people have complained about the rubber gaskets melting –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don’t use a spoon to avoid scratches to the jar. You can use your hand and a brush ( used for this purpose only).11. This is an expensive piece of equipment – In my house only I &amp; my husband use it. We do not allow  children or household help/cooks to use it. This way the machine will not be misused.12. If you mixer does not work  – please check the overload protector button on the underside of the machine. Remove some of the ingredients and try again.13. Take care while handling jar lids and lid tops –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 but this is not a big deal –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v>
      </c>
      <c r="D1094" s="29" t="str">
        <f>IFERROR(__xludf.DUMMYFUNCTION("GOOGLETRANSLATE(B1094, ""en"", ""pt-br"")"),"Mistor de misturador de serviço pesado, entrega o que promete, funciona rápido, não está funcionando bem que eu havia comprado em 2020 e o motor está fazendo, boa máquina, mas bloqueios de tampa podem ser muito melhores, bons 👍, ótimo misturador, mas não"&amp;" bom para sucos, Moedor de misturador poderoso, poderoso, mas caro")</f>
        <v>Mistor de misturador de serviço pesado, entrega o que promete, funciona rápido, não está funcionando bem que eu havia comprado em 2020 e o motor está fazendo, boa máquina, mas bloqueios de tampa podem ser muito melhores, bons 👍, ótimo misturador, mas não bom para sucos, Moedor de misturador poderoso, poderoso, mas caro</v>
      </c>
      <c r="E1094" s="29" t="str">
        <f>IFERROR(__xludf.DUMMYFUNCTION("GOOGLETRANSLATE(C1094, ""en"", ""pt-br"")"),"Bosch Truemixx Pro Mixer Grinder 1000 Watt-MGM8842min, BlackReview: Normalmente não escrevo críticas, mas senti que tinha que escrever este, porque quando eu estava pesquisando qual misturador comprar, encontrei críticas muito ruins que não fazem justiça "&amp;"ao produtos. Fui com a confiança no nome da marca Bosch e estou extremamente satisfeito com o produto. Eu o uso diariamente, às vezes várias vezes em um dia no mês passado durante o período de bloqueio. Espero que isso ajude outras pessoas. O motor de 100"&amp;"0 watts é extremamente poderoso. Eu o usei para moer ingredientes secos e úmidos como masala, mix de idli/dosa, pasta chana dal, pasta de sementes de papoula, chutney de coco, arroz seco e urad dal em pó, gengibre Pasta de alho, gelo, etc. Eu me misturo e"&amp;" faço shakes de leite, latino etc. e o encontrei muito rápido e conveniente.2. O trabalho é rápido dentro de alguns segundos/minutos, dependendo da quantidade e do tipo de ingredientes com os quais você está trabalhando. O corpo é bonito, resistente, bem "&amp;"equilibrado e fácil de limpar. Os pés a vácuo são bastante seguros e oferecem uma verdadeira experiência sem mãos. O protetor de sobrecarga para maior segurança ajuda se você sobrecarregar o misturador por engano. Os frascos também são fáceis de usar e mu"&amp;"ito bem construídos e Blades1. Os frascos são metal com lâminas de aço inoxidável removível. A lâmina do jarro de chutney é fixa.3. Uma lâmina extra é fornecida para afetar a pedra de pedra. É fornecido um trocador de lâmina de espátula cum. As tampas da "&amp;"jarra são feitas de plástico transparente. Cada tampa possui uma pequena tampa superior que pode ser removida para adicionar líquidos/materiais durante a moagem/mistura.7. Cada tampa tem juntas de borracha. Isso oferece uma experiência completamente à pro"&amp;"va de vazamentos durante a moagem/mistura. Essas juntas são muito fáceis de remover e anexar. Todos os frascos têm 4 fechos de fibra para fechar os jarros. No frasco do liquidificador, foi fornecido um acessório de espremedor - essa é a única coisa que eu"&amp;" não usei, portanto, não posso revisar o desempenho desse anexo.10. O liquidificador pode ser usado sem a peneira espremedor e funciona bem. No liquidificador molhado, um quebra-fluxo é fornecido, é alto, mas é de se esperar em uma poderosa máquina de 100"&amp;"0 watts. Não sobrecarregar2. Não use por mais de um minuto sem dar um pouco de descanso. Ao girar os botões de velocidade - não gire de uma vez de 0 para o máximo. Você verá que funciona melhor se você girar os botões lentamente, ficando a cada velocidade"&amp;" por alguns segundos. Na verdade, para a maioria das coisas, velocidade baixa a média é suficiente. A máquina é realmente poderosa. Ao moer grande quantidade de ingredientes, a jarra pode aquecer (não a máquina), então deixe um pouco de descanso no meio.5"&amp;". Para a moagem úmida - use água fria para moer - dessa maneira o frasco nunca aquecerá. Não moa ingredientes quentes. Muitas pessoas se queixaram das juntas de borracha derretendo - isso só pode ter acontecido se a comida quente estiver sendo misturada o"&amp;"u moída. Traga comida para a temperatura ambiente e depois moer. Lave a jarra, a junta, os frascos imediatamente usando uma esponja e detergente líquido para que o brilho da jarra permaneça intacto.8. Sempre remova e lave a junta para evitar condições não"&amp;" higiênicas, pois os alimentos podem ficar sob as juntas. No liquidificador molhado, remova o disjuntor, deslizando -o e lave -o separadamente, pois as partículas de alimentos podem ficar presas atrás dele.10. Para remover partículas finas quando a moagem"&amp;" a seco não use uma colher para evitar arranhões na jarra. Você pode usar sua mão e um pincel (usado apenas para esse fim) .11. Este é um equipamento caro - apenas em minha casa eu e meu marido o uso. Não permitimos que crianças ou ajuda/cozinheiros domés"&amp;"ticos o usem. Dessa forma, a máquina não será mal utilizada. Se você o mixer não funcionar - verifique o botão Protetor de sobrecarga na parte inferior da máquina. Remova alguns dos ingredientes e tente novamente. Tome cuidado ao manusear tampas de jarra "&amp;"e tampas - embora elas pareçam muito bem feitas, não posso dizer se elas quebrarem quando descartadas.Pros1. A máquina é muito poderosa e oferece o que promete2. É fácil de usar e oferece uma experiência verdadeiramente sem mãos 3. Fácil de limpar4. Moa e"&amp;" combina tudo5. Tampas à prova de vazamentos. Leva muito pouco tempo para moer7. O motor não esquenta facilmente 8. O protetor de sobrecarga funciona perfeitamente. GARANTIA E MANUAL - O manual deve ser baixado do pagamento do Amazon Websitethe Amazon é a"&amp;" garantia. Não há cartão de garantia separado fornecido. Eu tive que ligar para a Amazon para entender a situação em relação ao cartão de garantia. Entrega - O mixer griger veio em uma caixa, mas não havia preenchimento especial de isopor. Isso foi um gra"&amp;"nde menos para mim. Alguns fechos de tampa extras devem ser fornecidos - um dos meus fechos de tampa estava solto, está funcionando bem no momento, mas como uma empresa de backup deve fornecer isso.4. Como os frascos são bem grandes, para uma quantidade m"&amp;"enor de produtos, é um pouco difícil. Eu gostaria que o menor frasco de chutney fosse utilizável para a moagem seca e úmida, em vez de apenas molhada.5. Os frascos têm cabeças de parafusos no lado interno - mas isso não é grande coisa - e pode ser limpo c"&amp;"om bastante facilidade., Revise depois de usar por alguns meses: o recurso de bloqueio é realmente bom para o uso gratuito das mãos. Moa muito rápido. Digamos que a meia xícara de Urud Dal pode ser moída para colar em menos de 4 minutos. Juicer é bom, a e"&amp;"xtração é boa para as frutas suculentas. Bom design e ocupa menos espaço na cozinha. Mas, de qualquer forma, não é tão alto como mencionado em algumas críticas que eu li antes da minha compra. Os frascos de aço são aquecidos rapidamente. Por isso, eu cost"&amp;"umava refrigerar o arroz encharcado ou dals para equilibrar o calor. Apenas preciso ter cuidado ao limpar, pois há algumas bordas afiadas que podem doer um pouco. (Jarra de moagem úmida) Dicas- Limpe os frascos imediatamente após o uso para fazer o Limpez"&amp;"a fácil com esponja. Para que os frascos não se perderem, eu comprei este misturador Bosch em 2020 e o motor não está funcionando, tenho que comprar outro misturador qual é a utilidade de colocar uma quantidade tão grande nele. Funcionou apenas por 2 anos"&amp;". Foi apenas para fins domésticos que comprei. Muito decepcionado com uma marca. Mesmo com o seu mecânico que ele disse que o motor está queimado por dentro., Fiel em seu nome, o moedor de misturador Bosch é uma ótima máquina para ter em sua cozinha. No e"&amp;"ntanto, os bloqueios do limite deram e a limpeza é um desafio., NA, este é um produto muito bom em geral. O dosa/Idli e outros batedores são excelentes. O motor é poderoso e pode lidar com quaisquer necessidades de mistura e moagem. A única coisa insatisf"&amp;"atória sobre isso é o espremedor. Funciona bem com frutas levemente aquosas, como frutas cítricas, laranjas, melancia, etc. Mas no momento em que chega a frutas e vegetais com menor teor de água, o espremedor falha na extração de qualquer coisa. O espreme"&amp;"dor é basicamente outro frasco do liquidificador com um acessório de malha para peneirar a polpa. Não há opção de poder empurrar as frutas mais perto da lâmina do liquidificador, o que dificulta a esmagá -las. Tudo em todo um excelente produto, desde que "&amp;"você siga os sucos cítricos., Eu era um cliente feliz de Sujata para o Nos últimos 10 anos, e Bosch foi um bom design de opção, o Motor Poadyl, no valor do preço que comprei (5500 em oferta), ele possui um motor poderoso, tritura muito rápido. Tamanho com"&amp;"pacto. Clipe de trava da tampa muito útil. Preço alto. A função espremedor não é muito útil.")</f>
        <v>Bosch Truemixx Pro Mixer Grinder 1000 Watt-MGM8842min, BlackReview: Normalmente não escrevo críticas, mas senti que tinha que escrever este, porque quando eu estava pesquisando qual misturador comprar, encontrei críticas muito ruins que não fazem justiça ao produtos. Fui com a confiança no nome da marca Bosch e estou extremamente satisfeito com o produto. Eu o uso diariamente, às vezes várias vezes em um dia no mês passado durante o período de bloqueio. Espero que isso ajude outras pessoas. O motor de 1000 watts é extremamente poderoso. Eu o usei para moer ingredientes secos e úmidos como masala, mix de idli/dosa, pasta chana dal, pasta de sementes de papoula, chutney de coco, arroz seco e urad dal em pó, gengibre Pasta de alho, gelo, etc. Eu me misturo e faço shakes de leite, latino etc. e o encontrei muito rápido e conveniente.2. O trabalho é rápido dentro de alguns segundos/minutos, dependendo da quantidade e do tipo de ingredientes com os quais você está trabalhando. O corpo é bonito, resistente, bem equilibrado e fácil de limpar. Os pés a vácuo são bastante seguros e oferecem uma verdadeira experiência sem mãos. O protetor de sobrecarga para maior segurança ajuda se você sobrecarregar o misturador por engano. Os frascos também são fáceis de usar e muito bem construídos e Blades1. Os frascos são metal com lâminas de aço inoxidável removível. A lâmina do jarro de chutney é fixa.3. Uma lâmina extra é fornecida para afetar a pedra de pedra. É fornecido um trocador de lâmina de espátula cum. As tampas da jarra são feitas de plástico transparente. Cada tampa possui uma pequena tampa superior que pode ser removida para adicionar líquidos/materiais durante a moagem/mistura.7. Cada tampa tem juntas de borracha. Isso oferece uma experiência completamente à prova de vazamentos durante a moagem/mistura. Essas juntas são muito fáceis de remover e anexar. Todos os frascos têm 4 fechos de fibra para fechar os jarros. No frasco do liquidificador, foi fornecido um acessório de espremedor - essa é a única coisa que eu não usei, portanto, não posso revisar o desempenho desse anexo.10. O liquidificador pode ser usado sem a peneira espremedor e funciona bem. No liquidificador molhado, um quebra-fluxo é fornecido, é alto, mas é de se esperar em uma poderosa máquina de 1000 watts. Não sobrecarregar2. Não use por mais de um minuto sem dar um pouco de descanso. Ao girar os botões de velocidade - não gire de uma vez de 0 para o máximo. Você verá que funciona melhor se você girar os botões lentamente, ficando a cada velocidade por alguns segundos. Na verdade, para a maioria das coisas, velocidade baixa a média é suficiente. A máquina é realmente poderosa. Ao moer grande quantidade de ingredientes, a jarra pode aquecer (não a máquina), então deixe um pouco de descanso no meio.5. Para a moagem úmida - use água fria para moer - dessa maneira o frasco nunca aquecerá. Não moa ingredientes quentes. Muitas pessoas se queixaram das juntas de borracha derretendo - isso só pode ter acontecido se a comida quente estiver sendo misturada ou moída. Traga comida para a temperatura ambiente e depois moer. Lave a jarra, a junta, os frascos imediatamente usando uma esponja e detergente líquido para que o brilho da jarra permaneça intacto.8. Sempre remova e lave a junta para evitar condições não higiênicas, pois os alimentos podem ficar sob as juntas. No liquidificador molhado, remova o disjuntor, deslizando -o e lave -o separadamente, pois as partículas de alimentos podem ficar presas atrás dele.10. Para remover partículas finas quando a moagem a seco não use uma colher para evitar arranhões na jarra. Você pode usar sua mão e um pincel (usado apenas para esse fim) .11. Este é um equipamento caro - apenas em minha casa eu e meu marido o uso. Não permitimos que crianças ou ajuda/cozinheiros domésticos o usem. Dessa forma, a máquina não será mal utilizada. Se você o mixer não funcionar - verifique o botão Protetor de sobrecarga na parte inferior da máquina. Remova alguns dos ingredientes e tente novamente. Tome cuidado ao manusear tampas de jarra e tampas - embora elas pareçam muito bem feitas, não posso dizer se elas quebrarem quando descartadas.Pros1. A máquina é muito poderosa e oferece o que promete2. É fácil de usar e oferece uma experiência verdadeiramente sem mãos 3. Fácil de limpar4. Moa e combina tudo5. Tampas à prova de vazamentos. Leva muito pouco tempo para moer7. O motor não esquenta facilmente 8. O protetor de sobrecarga funciona perfeitamente. GARANTIA E MANUAL - O manual deve ser baixado do pagamento do Amazon Websitethe Amazon é a garantia. Não há cartão de garantia separado fornecido. Eu tive que ligar para a Amazon para entender a situação em relação ao cartão de garantia. Entrega - O mixer griger veio em uma caixa, mas não havia preenchimento especial de isopor. Isso foi um grande menos para mim. Alguns fechos de tampa extras devem ser fornecidos - um dos meus fechos de tampa estava solto, está funcionando bem no momento, mas como uma empresa de backup deve fornecer isso.4. Como os frascos são bem grandes, para uma quantidade menor de produtos, é um pouco difícil. Eu gostaria que o menor frasco de chutney fosse utilizável para a moagem seca e úmida, em vez de apenas molhada.5. Os frascos têm cabeças de parafusos no lado interno - mas isso não é grande coisa - e pode ser limpo com bastante facilidade., Revise depois de usar por alguns meses: o recurso de bloqueio é realmente bom para o uso gratuito das mãos. Moa muito rápido. Digamos que a meia xícara de Urud Dal pode ser moída para colar em menos de 4 minutos. Juicer é bom, a extração é boa para as frutas suculentas. Bom design e ocupa menos espaço na cozinha. Mas, de qualquer forma, não é tão alto como mencionado em algumas críticas que eu li antes da minha compra. Os frascos de aço são aquecidos rapidamente. Por isso, eu costumava refrigerar o arroz encharcado ou dals para equilibrar o calor. Apenas preciso ter cuidado ao limpar, pois há algumas bordas afiadas que podem doer um pouco. (Jarra de moagem úmida) Dicas- Limpe os frascos imediatamente após o uso para fazer o Limpeza fácil com esponja. Para que os frascos não se perderem, eu comprei este misturador Bosch em 2020 e o motor não está funcionando, tenho que comprar outro misturador qual é a utilidade de colocar uma quantidade tão grande nele. Funcionou apenas por 2 anos. Foi apenas para fins domésticos que comprei. Muito decepcionado com uma marca. Mesmo com o seu mecânico que ele disse que o motor está queimado por dentro., Fiel em seu nome, o moedor de misturador Bosch é uma ótima máquina para ter em sua cozinha. No entanto, os bloqueios do limite deram e a limpeza é um desafio., NA, este é um produto muito bom em geral. O dosa/Idli e outros batedores são excelentes. O motor é poderoso e pode lidar com quaisquer necessidades de mistura e moagem. A única coisa insatisfatória sobre isso é o espremedor. Funciona bem com frutas levemente aquosas, como frutas cítricas, laranjas, melancia, etc. Mas no momento em que chega a frutas e vegetais com menor teor de água, o espremedor falha na extração de qualquer coisa. O espremedor é basicamente outro frasco do liquidificador com um acessório de malha para peneirar a polpa. Não há opção de poder empurrar as frutas mais perto da lâmina do liquidificador, o que dificulta a esmagá -las. Tudo em todo um excelente produto, desde que você siga os sucos cítricos., Eu era um cliente feliz de Sujata para o Nos últimos 10 anos, e Bosch foi um bom design de opção, o Motor Poadyl, no valor do preço que comprei (5500 em oferta), ele possui um motor poderoso, tritura muito rápido. Tamanho compacto. Clipe de trava da tampa muito útil. Preço alto. A função espremedor não é muito útil.</v>
      </c>
    </row>
    <row r="1095">
      <c r="A1095" s="9" t="s">
        <v>4380</v>
      </c>
      <c r="B1095" s="29" t="str">
        <f>VLOOKUP(dados!A1095, reviews!A:G, 5, FALSE)</f>
        <v>Helthgenie product - Just received, as of now looks good.,Product seems good. The batteries packed separately inside leaked.,Wonderful, but ...,Good but it's plastic,Good for now.,Awesome product,Value for money,ONE IN A MILLION</v>
      </c>
      <c r="C1095" s="29" t="str">
        <f>VLOOKUP(dados!A1095, reviews!A:G, 6, FALSE)</f>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v>
      </c>
      <c r="D1095" s="29" t="str">
        <f>IFERROR(__xludf.DUMMYFUNCTION("GOOGLETRANSLATE(B1095, ""en"", ""pt-br"")"),"Helthgenie Product - Acabei de receber, a partir de agora parece bom., O produto parece bom. As baterias embaladas separadamente vazaram., Maravilhoso, mas ..., bom, mas é plástico, bom por enquanto.")</f>
        <v>Helthgenie Product - Acabei de receber, a partir de agora parece bom., O produto parece bom. As baterias embaladas separadamente vazaram., Maravilhoso, mas ..., bom, mas é plástico, bom por enquanto.</v>
      </c>
      <c r="E1095" s="29" t="str">
        <f>IFERROR(__xludf.DUMMYFUNCTION("GOOGLETRANSLATE(C1095, ""en"", ""pt-br"")"),"Acabei de receber, a partir de agora parece bom nessa faixa de preço. Usará por alguns meses e atualizará a revisão. As baterias vazaram dentro da embalagem. Tive que colocar novos, escala maravilhosa, significa ótima aparência, boa precisão, muito leve e"&amp;" magro e fácil de armazenar e muito fácil de limpar. verdadeira promessa. Somente a placa superior é obviamente um pouco de metal, mas o corpo também é obviamente plástico. Nem se importaria com esse pouco desvio entre promessa e realidade, todos sabemos "&amp;"como as mensagens de marketing devem ser lidas, mas a placa superior de aço inoxidável durável se desfez de se separar de A parte plástica restante da máquina após nem 4 meses de uso. Parece que estava simplesmente colado de alguma forma no topo (com 4 ti"&amp;"ras de cola), e a cola não funciona mais devido a qualquer motivo (não a removeu, simplesmente desmoronou durante o armazenamento vertical, apenas depois de apenas 4 meses de uso ). A ponderação ainda funciona quando pressiono a placa de metal corretament"&amp;"e de volta na parte superior, mas assim que eu a guardo, a placa se separa novamente da outra parte. Montar essa coisa repetidamente para cada uso é uma dor i.t.a. E não o que eu esperava. É por isso que finalmente dou uma chance a outra marca, depois de "&amp;"concluir minha resenha. Desta vez, não é mais durável que a construção de aço inoxidável desejasse ... Deixe -me tentar uma construção diferente, que é até algumas centenas de dólares mais baratos do que isso aqui (ambos os preços 60% reduzidos hoje). Se "&amp;"mantém 5 meses sem quebrar, é um bom negócio em comparação com este, não é?, Plástico, o produto que recebi é bom. Apenas comecei a usá -lo. Atualizarei no futuro sobre seus prós e contras., Fácil de usar, bom produto, é encaminhado a mim pelo meu amigo q"&amp;"ue o usa por meses e ele tem certeza sobre a precisão disso e depois ele se referenciou a mim muito valor para o dinheiro")</f>
        <v>Acabei de receber, a partir de agora parece bom nessa faixa de preço. Usará por alguns meses e atualizará a revisão. As baterias vazaram dentro da embalagem. Tive que colocar novos, escala maravilhosa, significa ótima aparência, boa precisão, muito leve e magro e fácil de armazenar e muito fácil de limpar. verdadeira promessa. Somente a placa superior é obviamente um pouco de metal, mas o corpo também é obviamente plástico. Nem se importaria com esse pouco desvio entre promessa e realidade, todos sabemos como as mensagens de marketing devem ser lidas, mas a placa superior de aço inoxidável durável se desfez de se separar de A parte plástica restante da máquina após nem 4 meses de uso. Parece que estava simplesmente colado de alguma forma no topo (com 4 tiras de cola), e a cola não funciona mais devido a qualquer motivo (não a removeu, simplesmente desmoronou durante o armazenamento vertical, apenas depois de apenas 4 meses de uso ). A ponderação ainda funciona quando pressiono a placa de metal corretamente de volta na parte superior, mas assim que eu a guardo, a placa se separa novamente da outra parte. Montar essa coisa repetidamente para cada uso é uma dor i.t.a. E não o que eu esperava. É por isso que finalmente dou uma chance a outra marca, depois de concluir minha resenha. Desta vez, não é mais durável que a construção de aço inoxidável desejasse ... Deixe -me tentar uma construção diferente, que é até algumas centenas de dólares mais baratos do que isso aqui (ambos os preços 60% reduzidos hoje). Se mantém 5 meses sem quebrar, é um bom negócio em comparação com este, não é?, Plástico, o produto que recebi é bom. Apenas comecei a usá -lo. Atualizarei no futuro sobre seus prós e contras., Fácil de usar, bom produto, é encaminhado a mim pelo meu amigo que o usa por meses e ele tem certeza sobre a precisão disso e depois ele se referenciou a mim muito valor para o dinheiro</v>
      </c>
    </row>
    <row r="1096">
      <c r="A1096" s="9" t="s">
        <v>4384</v>
      </c>
      <c r="B1096" s="29" t="str">
        <f>VLOOKUP(dados!A1096, reviews!A:G, 5, FALSE)</f>
        <v>Very nice,Works as it should,Not the best but value for money,Value for money,Useful product,Good Kitchen Product,Good,Good</v>
      </c>
      <c r="C1096" s="29" t="str">
        <f>VLOOKUP(dados!A1096, reviews!A:G, 6, FALSE)</f>
        <v>Product is good and color full, completely lived it, go for it, very useful for everyone,No engineering. I wish they had come in good colours too.,These are working fine for light polythene bags but not suitable for the heavy grade plastic bags. It gets the job done. The plastic’s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v>
      </c>
      <c r="D1096" s="29" t="str">
        <f>IFERROR(__xludf.DUMMYFUNCTION("GOOGLETRANSLATE(B1096, ""en"", ""pt-br"")"),"Muito bom, funciona como deveria, não o melhor, mas uma relação custo")</f>
        <v>Muito bom, funciona como deveria, não o melhor, mas uma relação custo</v>
      </c>
      <c r="E1096" s="29" t="str">
        <f>IFERROR(__xludf.DUMMYFUNCTION("GOOGLETRANSLATE(C1096, ""en"", ""pt-br"")"),"O produto é bom e cor de cor, viveu completamente, vá em frente, muito útil para todos, sem engenharia. Eu gostaria que eles tenham vindo em boas cores também., Estão funcionando bem para sacos de polietileno leves, mas não são adequados para os sacos de "&amp;"plástico de grau pesado. Isso finaliza o trabalho. O plástico mostra deformação na parte da dobradiça. Tão preocupado com a vida deste produto., Recomitada por dinheiro e qualidade também é boa, muito útil, a qualidade do produto diz a durabilidade, não é"&amp;" muito bonita, mas os clipes fazem bem seu trabalho. Mais fácil e muito econômico do que comprar caixas .... bom produto A deve comprar da Amazon ...., bom produto, produto é geral")</f>
        <v>O produto é bom e cor de cor, viveu completamente, vá em frente, muito útil para todos, sem engenharia. Eu gostaria que eles tenham vindo em boas cores também., Estão funcionando bem para sacos de polietileno leves, mas não são adequados para os sacos de plástico de grau pesado. Isso finaliza o trabalho. O plástico mostra deformação na parte da dobradiça. Tão preocupado com a vida deste produto., Recomitada por dinheiro e qualidade também é boa, muito útil, a qualidade do produto diz a durabilidade, não é muito bonita, mas os clipes fazem bem seu trabalho. Mais fácil e muito econômico do que comprar caixas .... bom produto A deve comprar da Amazon ...., bom produto, produto é geral</v>
      </c>
    </row>
    <row r="1097">
      <c r="A1097" s="9" t="s">
        <v>4390</v>
      </c>
      <c r="B1097" s="29" t="str">
        <f>VLOOKUP(dados!A1097, reviews!A:G, 5, FALSE)</f>
        <v>Comparisingly slim fan but speed and air delivery is good 👍,This is quality product at given price and reliable.,My favourite fan,Correction needed to the product description,Good product,Nice👍👏😊,It is too good in this range,Have clicking sound under slow speed and installation nut &amp; bolts are not in appropriate size</v>
      </c>
      <c r="C1097" s="29" t="str">
        <f>VLOOKUP(dados!A1097, reviews!A:G, 6, FALSE)</f>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nice👍👏👏,Value for money,Installation parts are not adequate and make clicking sound in low speed (anything below full speed. If we live with that then everything is ok</v>
      </c>
      <c r="D1097" s="29" t="str">
        <f>IFERROR(__xludf.DUMMYFUNCTION("GOOGLETRANSLATE(B1097, ""en"", ""pt-br"")"),"Comparando o ventilador esbelto, mas a velocidade e a entrega de ar são bons 👍, este é um produto de qualidade a um preço e confiável. Têm som de cliques sob velocidade lenta e porca de instalação e parafusos não estão em tamanho apropriado")</f>
        <v>Comparando o ventilador esbelto, mas a velocidade e a entrega de ar são bons 👍, este é um produto de qualidade a um preço e confiável. Têm som de cliques sob velocidade lenta e porca de instalação e parafusos não estão em tamanho apropriado</v>
      </c>
      <c r="E1097" s="29" t="str">
        <f>IFERROR(__xludf.DUMMYFUNCTION("GOOGLETRANSLATE(C1097, ""en"", ""pt-br"")"),"Pode ser construído um pouco pesado em design para obter melhor aparência e entrega de ar. No geral, satisfeitos com o preço de cerca de 1400/-., Este produto é excelente com o preço e o desempenho é legal., A qualidade incrível da qualidade dos fãs é uma"&amp;" boa velocidade incrível, diz a descrição do produto 400rpm, mas é um fã de 380rpm, um pouco de som. No entanto, um bom produto em geral., Muito agradável👍👏👏, valor ao dinheiro, as peças de instalação não são adequadas e fazem com que o clique em baixa"&amp;" velocidade (qualquer coisa abaixo da velocidade máxima. Se vivermos com isso, tudo está ok")</f>
        <v>Pode ser construído um pouco pesado em design para obter melhor aparência e entrega de ar. No geral, satisfeitos com o preço de cerca de 1400/-., Este produto é excelente com o preço e o desempenho é legal., A qualidade incrível da qualidade dos fãs é uma boa velocidade incrível, diz a descrição do produto 400rpm, mas é um fã de 380rpm, um pouco de som. No entanto, um bom produto em geral., Muito agradável👍👏👏, valor ao dinheiro, as peças de instalação não são adequadas e fazem com que o clique em baixa velocidade (qualquer coisa abaixo da velocidade máxima. Se vivermos com isso, tudo está ok</v>
      </c>
    </row>
    <row r="1098">
      <c r="A1098" s="9" t="s">
        <v>4397</v>
      </c>
      <c r="B1098" s="29" t="str">
        <f>VLOOKUP(dados!A1098, reviews!A:G, 5, FALSE)</f>
        <v>Overall good purchase,Good,Good Purchase,Ok hi upar ka dhakkan bahut acchi quality ka nahi hi,Nice,A must have product for your home...gud capacity nice look,Decent buy,Good product</v>
      </c>
      <c r="C1098" s="29" t="str">
        <f>VLOOKUP(dados!A1098, reviews!A:G, 6, FALSE)</f>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v>
      </c>
      <c r="D1098" s="29" t="str">
        <f>IFERROR(__xludf.DUMMYFUNCTION("GOOGLETRANSLATE(B1098, ""en"", ""pt-br"")"),"No geral, boa compra, boa, boa compra, ok oi upar ka dhakkan bahut acchi qualidade ka nahi oi, bom, um produto deve ter um produto para sua casa ... capacidade de gud bela aparência, compra decente, bom produto")</f>
        <v>No geral, boa compra, boa, boa compra, ok oi upar ka dhakkan bahut acchi qualidade ka nahi oi, bom, um produto deve ter um produto para sua casa ... capacidade de gud bela aparência, compra decente, bom produto</v>
      </c>
      <c r="E1098" s="29" t="str">
        <f>IFERROR(__xludf.DUMMYFUNCTION("GOOGLETRANSLATE(C1098, ""en"", ""pt-br"")"),"Boa compra geral, mas cheira se você usar até a primeira semana. Portanto, mantenha -o ao sol posteriormente, use -o, caso contrário, você pode cheirar o mesmo, bom, bom para manter a roupa e os brinquedos. Pode ser melhor se estiver disponível maior. Não"&amp;" é nada mal para investir seu dinheiro neste produto., Accha Hi, muito bom produto, https: //m.media-amazon.com/images/w/webp_402378-t2/images/i/71xqrahr5wl._sy88.jpg, O tecido é resistente e resolve o objetivo de uma bolsa de lavanderia. Bom cor., Vale o"&amp;" dinheiro ... muito bom produto e muito resistente!")</f>
        <v>Boa compra geral, mas cheira se você usar até a primeira semana. Portanto, mantenha -o ao sol posteriormente, use -o, caso contrário, você pode cheirar o mesmo, bom, bom para manter a roupa e os brinquedos. Pode ser melhor se estiver disponível maior. Não é nada mal para investir seu dinheiro neste produto., Accha Hi, muito bom produto, https: //m.media-amazon.com/images/w/webp_402378-t2/images/i/71xqrahr5wl._sy88.jpg, O tecido é resistente e resolve o objetivo de uma bolsa de lavanderia. Bom cor., Vale o dinheiro ... muito bom produto e muito resistente!</v>
      </c>
    </row>
    <row r="1099">
      <c r="A1099" s="9" t="s">
        <v>4401</v>
      </c>
      <c r="B1099" s="29" t="str">
        <f>VLOOKUP(dados!A1099, reviews!A:G, 5, FALSE)</f>
        <v>Useful on winter / cold deasons,Socket required,nice,GOOD QUALITY,Handy,Handy and easy  to use,Liked it,Good</v>
      </c>
      <c r="C1099" s="29" t="str">
        <f>VLOOKUP(dados!A1099, reviews!A:G, 6, FALSE)</f>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v>
      </c>
      <c r="D1099" s="29" t="str">
        <f>IFERROR(__xludf.DUMMYFUNCTION("GOOGLETRANSLATE(B1099, ""en"", ""pt-br"")"),"Útil em deasons de inverno / frio, tomada necessária, boa, boa qualidade, prática, prática e fácil de usar, gostei, bom")</f>
        <v>Útil em deasons de inverno / frio, tomada necessária, boa, boa qualidade, prática, prática e fácil de usar, gostei, bom</v>
      </c>
      <c r="E1099" s="29" t="str">
        <f>IFERROR(__xludf.DUMMYFUNCTION("GOOGLETRANSLATE(C1099, ""en"", ""pt-br"")"),"REVISÃO DE ESCRITÓRIO Depois de usar mais de mês. O produto realmente ajuda durante a temporada de inverno / quando você se sente frio. Ajuste para temperatura de calor com base em watts de energia disponível. Há um regulador disponível para ajustar a vel"&amp;"ocidade do ventilador, mas não funcionará por design. Funciona como a função On / Off, apenas testou o aquecedor que está funcionando bem, mas é necessário um soquete de 15 amp. Além disso, você pode usar o Ti na cama com facilidade., É leve e trabalha co"&amp;"m eficiência, vale cada centavo. Estou amando isso. Espero que sua longevidade seja boa., Bom")</f>
        <v>REVISÃO DE ESCRITÓRIO Depois de usar mais de mês. O produto realmente ajuda durante a temporada de inverno / quando você se sente frio. Ajuste para temperatura de calor com base em watts de energia disponível. Há um regulador disponível para ajustar a velocidade do ventilador, mas não funcionará por design. Funciona como a função On / Off, apenas testou o aquecedor que está funcionando bem, mas é necessário um soquete de 15 amp. Além disso, você pode usar o Ti na cama com facilidade., É leve e trabalha com eficiência, vale cada centavo. Estou amando isso. Espero que sua longevidade seja boa., Bom</v>
      </c>
    </row>
    <row r="1100">
      <c r="A1100" s="9" t="s">
        <v>4405</v>
      </c>
      <c r="B1100" s="29" t="str">
        <f>VLOOKUP(dados!A1100, reviews!A:G, 5, FALSE)</f>
        <v>Decent product,Handy and easy to use,Good product,Dustbag,Review,Good product with budget price,Nice and compact product for office use.,Very good product</v>
      </c>
      <c r="C1100" s="29" t="str">
        <f>VLOOKUP(dados!A1100, reviews!A:G, 6, FALSE)</f>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v>
      </c>
      <c r="D1100" s="29" t="str">
        <f>IFERROR(__xludf.DUMMYFUNCTION("GOOGLETRANSLATE(B1100, ""en"", ""pt-br"")"),"Produto decente, prático e fácil de usar, bom produto, pó de pó, revisão, bom produto com preço de orçamento, bom e compacto produto para uso do escritório., Produto muito bom")</f>
        <v>Produto decente, prático e fácil de usar, bom produto, pó de pó, revisão, bom produto com preço de orçamento, bom e compacto produto para uso do escritório., Produto muito bom</v>
      </c>
      <c r="E1100" s="29" t="str">
        <f>IFERROR(__xludf.DUMMYFUNCTION("GOOGLETRANSLATE(C1100, ""en"", ""pt-br"")"),"Não é um procuto muito bom se você estiver procurando por uso regular. Funciona bem para mim limpar meu tapete uma vez por semana. Sua potência de sucção não é tão forte e também o fio de cabo é pequeno. O REST é um bom produto pela primeira vez em uma se"&amp;"mana. Estou feliz com o produto e sua qualidade. A equipe é muito solidária ao dar a demonstração do produto, especialmente agradeço a Sra. Priya pela demonstração maravilhosa., O produto tem um bom poder de sucção e tem um funcionamento fácil. A demonstr"&amp;"ação com Priya de Eureka Forbes acabou sendo ótima. Ela explicou muito bem as funções. Feliz com a compra !!, onde posso comprar pó de pó para eureka Forbes Rapid Clean 1150 Watts Pofresista de pó de sucção?, Bom, muito eficaz para limpar o sofá, o colchã"&amp;"o e as cortinas de janelas., A potência de limpeza é a melhor, a qualidade de construção também é excelente, mas gera mais ruído ao operar., Produto muito bom e boa demonstração fornecida pela Priya. Vale a pena.")</f>
        <v>Não é um procuto muito bom se você estiver procurando por uso regular. Funciona bem para mim limpar meu tapete uma vez por semana. Sua potência de sucção não é tão forte e também o fio de cabo é pequeno. O REST é um bom produto pela primeira vez em uma semana. Estou feliz com o produto e sua qualidade. A equipe é muito solidária ao dar a demonstração do produto, especialmente agradeço a Sra. Priya pela demonstração maravilhosa., O produto tem um bom poder de sucção e tem um funcionamento fácil. A demonstração com Priya de Eureka Forbes acabou sendo ótima. Ela explicou muito bem as funções. Feliz com a compra !!, onde posso comprar pó de pó para eureka Forbes Rapid Clean 1150 Watts Pofresista de pó de sucção?, Bom, muito eficaz para limpar o sofá, o colchão e as cortinas de janelas., A potência de limpeza é a melhor, a qualidade de construção também é excelente, mas gera mais ruído ao operar., Produto muito bom e boa demonstração fornecida pela Priya. Vale a pena.</v>
      </c>
    </row>
    <row r="1101">
      <c r="A1101" s="9" t="s">
        <v>4410</v>
      </c>
      <c r="B1101" s="29" t="str">
        <f>VLOOKUP(dados!A1101, reviews!A:G, 5, FALSE)</f>
        <v>Nice product,Need to improve length of cord,Water hot only few minutes.,Good product,Problem with the kettle.,Very good product 👍,Good performance,Good product</v>
      </c>
      <c r="C1101" s="29" t="str">
        <f>VLOOKUP(dados!A1101, reviews!A:G, 6, FALSE)</f>
        <v>Cord length is very short. Can plug near to switch only. Easy to clean. Overall nice product.,Cord length,Best price an other brand. Thanks amazone,Easy to clean. Cord length is sufficient. Steel body looks a bit fragile. Overall good product, go for it.👍,This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👍,More moicy while heating,Good size and easy to clean</v>
      </c>
      <c r="D1101" s="29" t="str">
        <f>IFERROR(__xludf.DUMMYFUNCTION("GOOGLETRANSLATE(B1101, ""en"", ""pt-br"")"),"Bom produto, precisa melhorar o comprimento do cordão, água quente apenas alguns minutos., Bom produto, problema com a chaleira., Muito bom produto 👍, bom desempenho, bom produto")</f>
        <v>Bom produto, precisa melhorar o comprimento do cordão, água quente apenas alguns minutos., Bom produto, problema com a chaleira., Muito bom produto 👍, bom desempenho, bom produto</v>
      </c>
      <c r="E1101" s="29" t="str">
        <f>IFERROR(__xludf.DUMMYFUNCTION("GOOGLETRANSLATE(C1101, ""en"", ""pt-br"")"),"O comprimento do cordão é muito curto. Pode conectar -se apenas ao interruptor. Fácil de limpar. Produto agradável geral., Comprimento do cordão, melhor preço uma outra marca. Obrigado Amalone, fácil de limpar. O comprimento do cordão é suficiente. O corp"&amp;"o de aço parece um pouco frágil. No geral, bom produto, vá em frente. 👍, esta chaleira está escalando muito. Partículas brancas flutuam na água após ferver. É apenas uma semana. Então, por que está escalando tanto. Estamos usando boa água, não água de po"&amp;"ço. Qual é o remédio? Você estará substituindo a chaleira me dando uma nova melhor? Por favor, informe o TK o mais rápido possível. Obrigado., Produto muito bom 👍, mais Moicy durante o aquecimento, bom tamanho e fácil de limpar")</f>
        <v>O comprimento do cordão é muito curto. Pode conectar -se apenas ao interruptor. Fácil de limpar. Produto agradável geral., Comprimento do cordão, melhor preço uma outra marca. Obrigado Amalone, fácil de limpar. O comprimento do cordão é suficiente. O corpo de aço parece um pouco frágil. No geral, bom produto, vá em frente. 👍, esta chaleira está escalando muito. Partículas brancas flutuam na água após ferver. É apenas uma semana. Então, por que está escalando tanto. Estamos usando boa água, não água de poço. Qual é o remédio? Você estará substituindo a chaleira me dando uma nova melhor? Por favor, informe o TK o mais rápido possível. Obrigado., Produto muito bom 👍, mais Moicy durante o aquecimento, bom tamanho e fácil de limpar</v>
      </c>
    </row>
    <row r="1102">
      <c r="A1102" s="9" t="s">
        <v>4414</v>
      </c>
      <c r="B1102" s="29" t="str">
        <f>VLOOKUP(dados!A1102, reviews!A:G, 5, FALSE)</f>
        <v>Good product,One month is gone,How to buy lights extra ??????????,Best product,Waste product I received a broken product,Built quality not good,Don't buy. Maharaja is a cheater company,Does the job, but have one concern!!!,Value for money.</v>
      </c>
      <c r="C1102" s="29" t="str">
        <f>VLOOKUP(dados!A1102, reviews!A:G, 6, FALSE)</f>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v>
      </c>
      <c r="D1102" s="29" t="str">
        <f>IFERROR(__xludf.DUMMYFUNCTION("GOOGLETRANSLATE(B1102, ""en"", ""pt-br"")"),"Bom produto, um mês se foi, como comprar luzes extras ??????????, melhor produto, resíduos de resíduos que recebi um produto quebrado, qualidade construída não boa, não compre. Maharaja é uma empresa de trapaceiros, faz o trabalho, mas tem uma preocupação"&amp;" !!!, valor ao dinheiro.")</f>
        <v>Bom produto, um mês se foi, como comprar luzes extras ??????????, melhor produto, resíduos de resíduos que recebi um produto quebrado, qualidade construída não boa, não compre. Maharaja é uma empresa de trapaceiros, faz o trabalho, mas tem uma preocupação !!!, valor ao dinheiro.</v>
      </c>
      <c r="E1102" s="29" t="str">
        <f>IFERROR(__xludf.DUMMYFUNCTION("GOOGLETRANSLATE(C1102, ""en"", ""pt-br"")"),", A entrega da Amazon é super, sou usada um mês, duas luzes se foram, o produto é bom e fácil de usar. Em apenas um problema, os tubos são muito brilhantes e o suporte é de baixa qualidade, a caixa está sendo exibida a 400W, 800W, 1200W, mas São todas as "&amp;"etapas mostrando apenas 400W, como é o produto Belive. Compre qualquer produto Whiteline Maharaja. Eu tenho tchau este aquecedor de quarto em janeiro de 2022. E em dezembro de 2022, uma haste parou. Eu tenho queixa ao atendimento ao cliente Maharaja, eles"&amp;" se recusaram a trocar a haste livre de custo. Eles estão dizendo que Rod não está sob garantia. Somente a caixa está sob garantia. Maharaja é uma empresa de trapaceiros., A preocupação primeiro, a base do aquecedor é feita de base plástica e plástica, pr"&amp;"ecisa ser parafusada com o corpo do aquecedor metálico com 2 parafusos. Como o corpo do aquecedor é metálico, alto e tem peso, a conexão com a base plástica não parece robusta/durável o suficiente, quando treme quando tocada. resistente à medida que se in"&amp;"clina para trás na superfície plana. Caso contrário, este é um bom produto para uma sala de 15x15 pés a 1200W.")</f>
        <v>, A entrega da Amazon é super, sou usada um mês, duas luzes se foram, o produto é bom e fácil de usar. Em apenas um problema, os tubos são muito brilhantes e o suporte é de baixa qualidade, a caixa está sendo exibida a 400W, 800W, 1200W, mas São todas as etapas mostrando apenas 400W, como é o produto Belive. Compre qualquer produto Whiteline Maharaja. Eu tenho tchau este aquecedor de quarto em janeiro de 2022. E em dezembro de 2022, uma haste parou. Eu tenho queixa ao atendimento ao cliente Maharaja, eles se recusaram a trocar a haste livre de custo. Eles estão dizendo que Rod não está sob garantia. Somente a caixa está sob garantia. Maharaja é uma empresa de trapaceiros., A preocupação primeiro, a base do aquecedor é feita de base plástica e plástica, precisa ser parafusada com o corpo do aquecedor metálico com 2 parafusos. Como o corpo do aquecedor é metálico, alto e tem peso, a conexão com a base plástica não parece robusta/durável o suficiente, quando treme quando tocada. resistente à medida que se inclina para trás na superfície plana. Caso contrário, este é um bom produto para uma sala de 15x15 pés a 1200W.</v>
      </c>
    </row>
    <row r="1103">
      <c r="A1103" s="9" t="s">
        <v>4418</v>
      </c>
      <c r="B1103" s="29" t="str">
        <f>VLOOKUP(dados!A1103, reviews!A:G, 5, FALSE)</f>
        <v>Best geyser hai saste dam mein Mera experience iske sath achcha Raha,Nice product,Good product,Working as expected,Good Product,Very Quick and Good customer service,Good product,Does the work</v>
      </c>
      <c r="C1103" s="29" t="str">
        <f>VLOOKUP(dados!A1103, reviews!A:G, 6, FALSE)</f>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v>
      </c>
      <c r="D1103" s="29" t="str">
        <f>IFERROR(__xludf.DUMMYFUNCTION("GOOGLETRANSLATE(B1103, ""en"", ""pt-br"")"),"Melhor GEYser Hai Saste Dam Mein Mera Experiência Iske Sath Achcha Raha, Produto Nice, Bom Produto, Trabalhando como esperado, bom produto, Atendimento muito rápido e bom, bom produto, faz o trabalho")</f>
        <v>Melhor GEYser Hai Saste Dam Mein Mera Experiência Iske Sath Achcha Raha, Produto Nice, Bom Produto, Trabalhando como esperado, bom produto, Atendimento muito rápido e bom, bom produto, faz o trabalho</v>
      </c>
      <c r="E1103" s="29" t="str">
        <f>IFERROR(__xludf.DUMMYFUNCTION("GOOGLETRANSLATE(C1103, ""en"", ""pt-br"")"),"Iska Tapman Vagaira Sab Achcha Hai Instale Karne Mein Lagbhag 5 Minut Bus Lagta Hai Aur Aapka Geyser pronta, sim, bom produto, o produto é bom, eu o instalei e está funcionando como esperado. Bom produto., Bom produto e fácil de instalar a Amazona de agra"&amp;"decimento, eu pedi este aparelho. Primeiro de tudo o que temos para comprar tubos e acessórios desse valor Rs 1000 BCs que não foi incluído nele e depois instalamos Isso e não estava funcionando, mas felizmente depois que eu levantei a reclamação dela ao "&amp;"Centro de Serviços de Crompton, a resolução foi rápida que um técnico veio e resolveu o problema dentro de uma hora em que ele foi muito educado e bom com seu trabalho, Sr. Tanvir Raza para o produto rápido da servidão está funcionando perfeitamente agora"&amp;" ..., fácil instalação e fácil, vá em frente ..!")</f>
        <v>Iska Tapman Vagaira Sab Achcha Hai Instale Karne Mein Lagbhag 5 Minut Bus Lagta Hai Aur Aapka Geyser pronta, sim, bom produto, o produto é bom, eu o instalei e está funcionando como esperado. Bom produto., Bom produto e fácil de instalar a Amazona de agradecimento, eu pedi este aparelho. Primeiro de tudo o que temos para comprar tubos e acessórios desse valor Rs 1000 BCs que não foi incluído nele e depois instalamos Isso e não estava funcionando, mas felizmente depois que eu levantei a reclamação dela ao Centro de Serviços de Crompton, a resolução foi rápida que um técnico veio e resolveu o problema dentro de uma hora em que ele foi muito educado e bom com seu trabalho, Sr. Tanvir Raza para o produto rápido da servidão está funcionando perfeitamente agora ..., fácil instalação e fácil, vá em frente ..!</v>
      </c>
    </row>
    <row r="1104">
      <c r="A1104" s="9" t="s">
        <v>4422</v>
      </c>
      <c r="B1104" s="29" t="str">
        <f>VLOOKUP(dados!A1104, reviews!A:G, 5, FALSE)</f>
        <v>Good  product,Ok. To. Use and good for this offered price 485rs,All over Quolity is Good.,Nice job,Nice,Its good but iron is not otuo disconnect.,Good product,Why package is very poor</v>
      </c>
      <c r="C1104" s="29" t="str">
        <f>VLOOKUP(dados!A1104, reviews!A:G, 6, FALSE)</f>
        <v>Nice product,Good,All Over Quolity is Good very usful.,Product is good working completely safe to use it, but the size is small,Nice product,Its look very good quick heating but it is not outo disconecting pouwer.,Good,Excellent very fast heating and build quality is good</v>
      </c>
      <c r="D1104" s="29" t="str">
        <f>IFERROR(__xludf.DUMMYFUNCTION("GOOGLETRANSLATE(B1104, ""en"", ""pt-br"")"),"Bom produto, ok. Para. Uso e bom para este preço oferecido 485rs, em toda a quolidade é bom., Bom trabalho, bom, é bom, mas o ferro não é o OTUO desconectando., Bom produto, por que o pacote é muito ruim")</f>
        <v>Bom produto, ok. Para. Uso e bom para este preço oferecido 485rs, em toda a quolidade é bom., Bom trabalho, bom, é bom, mas o ferro não é o OTUO desconectando., Bom produto, por que o pacote é muito ruim</v>
      </c>
      <c r="E1104" s="29" t="str">
        <f>IFERROR(__xludf.DUMMYFUNCTION("GOOGLETRANSLATE(C1104, ""en"", ""pt-br"")"),"Produto agradável, bom, em toda a quolidade é bom muito usful., O produto é bom funcionando completamente seguro para usá -lo, mas o tamanho é pequeno, bom produto, sua aparência muito boa aquecimento rápido, mas não é um pouwer desconectado. Excelente aq"&amp;"uecimento muito rápido e qualidade de construção é boa")</f>
        <v>Produto agradável, bom, em toda a quolidade é bom muito usful., O produto é bom funcionando completamente seguro para usá -lo, mas o tamanho é pequeno, bom produto, sua aparência muito boa aquecimento rápido, mas não é um pouwer desconectado. Excelente aquecimento muito rápido e qualidade de construção é boa</v>
      </c>
    </row>
    <row r="1105">
      <c r="A1105" s="9" t="s">
        <v>4426</v>
      </c>
      <c r="B1105" s="29" t="str">
        <f>VLOOKUP(dados!A1105, reviews!A:G, 5, FALSE)</f>
        <v>Highly time consumption.....,Slowly,It's good.,The cord length is ok, but the jack point is different,Useful product,Good Product,Good,good</v>
      </c>
      <c r="C1105" s="29" t="str">
        <f>VLOOKUP(dados!A1105, reviews!A:G, 6, FALSE)</f>
        <v>इस Road Heater से एक बाल्टी पानी गर्म करने में कम से कम 20 मिनट लगते हैं जिसमे काफी बिजली कंज्यूम होती है.  इसका दाम भी ज्यादा है, इसका दाम ₹ 500/- तक होना चाहिए.It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v>
      </c>
      <c r="D1105" s="29" t="str">
        <f>IFERROR(__xludf.DUMMYFUNCTION("GOOGLETRANSLATE(B1105, ""en"", ""pt-br"")"),"Altamente consumo de tempo ....., lentamente, é bom., O comprimento do cordão é bom, mas o ponto Jack é diferente, produto útil, bom produto, bom, bom, bom")</f>
        <v>Altamente consumo de tempo ....., lentamente, é bom., O comprimento do cordão é bom, mas o ponto Jack é diferente, produto útil, bom produto, bom, bom, bom</v>
      </c>
      <c r="E1105" s="29" t="str">
        <f>IFERROR(__xludf.DUMMYFUNCTION("GOOGLETRANSLATE(C1105, ""en"", ""pt-br"")"),"इस Aquecedor da estrada से एक बाल्टी पानी गर्म करने में कम से कम 20 मिनट लगते हैं जिसमे काफी बिजली कंज्यूम होती है. इसका दाम भी ज्यादा है, इसका दाम ₹ 500/- तक होना च hora. , Produto muito bom, é um produto muito bom a esse preço e estou muito impressionad"&amp;"o com ele fácil de usar e qualquer pessoa pode usá -lo facilmente para que você possa comprá -lo, bom produto, bom")</f>
        <v>इस Aquecedor da estrada से एक बाल्टी पानी गर्म करने में कम से कम 20 मिनट लगते हैं जिसमे काफी बिजली कंज्यूम होती है. इसका दाम भी ज्यादा है, इसका दाम ₹ 500/- तक होना च hora. , Produto muito bom, é um produto muito bom a esse preço e estou muito impressionado com ele fácil de usar e qualquer pessoa pode usá -lo facilmente para que você possa comprá -lo, bom produto, bom</v>
      </c>
    </row>
    <row r="1106">
      <c r="A1106" s="9" t="s">
        <v>4430</v>
      </c>
      <c r="B1106" s="29" t="str">
        <f>VLOOKUP(dados!A1106, reviews!A:G, 5, FALSE)</f>
        <v>good machine in budget,Very good product...,Over all experience is good with this product,Very good machine insuch a price range,Overall,Good product.easy to use,Good product compared to the price range..and performance is satifactory,Useful product with good build quality</v>
      </c>
      <c r="C1106" s="29" t="str">
        <f>VLOOKUP(dados!A1106, reviews!A:G, 6, FALSE)</f>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v>
      </c>
      <c r="D1106" s="29" t="str">
        <f>IFERROR(__xludf.DUMMYFUNCTION("GOOGLETRANSLATE(B1106, ""en"", ""pt-br"")"),"Boa máquina em orçamento, produto muito bom ..., em toda a experiência, é bom com este produto, muito bom, uma faixa de preço, em geral, bom produto. Produto Satifactory e útil com boa qualidade de construção")</f>
        <v>Boa máquina em orçamento, produto muito bom ..., em toda a experiência, é bom com este produto, muito bom, uma faixa de preço, em geral, bom produto. Produto Satifactory e útil com boa qualidade de construção</v>
      </c>
      <c r="E1106" s="29" t="str">
        <f>IFERROR(__xludf.DUMMYFUNCTION("GOOGLETRANSLATE(C1106, ""en"", ""pt-br"")"),"Prós: 1. Tamanho pequeno da máquina. Boa máquina em preço baixo. A pressão da água é boa. A pressão da água pode ser definida em diferentes modos. O tubo de entrada vem com. O comprimento do tubo de saída é suficiente. O comprimento do fio elétrico é sufi"&amp;"ciente. A pistola de pulverização é muito fácil de usar. O filtro de água também vem com tubo de entrada. A embalagem da máquina vem muito bem em uma caixa dupla.Cons: 1. O som da máquina é alto. O tamanho da garrafa de shampoo é pequeno. O comprimento do"&amp;" tubo de entrada é curto. O gatilho da pistola de pulverização de água deve ser pressionado continuamente durante o uso. Teria sido bom se houvesse um dispositivo que pudesse conter o gatilho. A qualidade do conector para o tubo de entrada fornecida com a"&amp;" máquina não é muito boa. Informações no manual não são suficientes., Gostei da energia que gera. Isso é comum ... além do aquecimento. Gostei de tudo o que saiu deste produto ..., deve recomendar para a sua casa para lavar o carro do seu carro, é baixa e"&amp;"m comparação com outras instalações eases da ANS, uma máquina muito boa e funcionando super fino Embora o dispensador de shampoo tenha sido quebrado na caixa, é fácil montar, usar e um bom produto nessa faixa de preço., Médio de nível de ruído, fácil de m"&amp;"ontar e usar., muito útil. O desempenho também é bom, sobre todo o desempenho do produto está ok")</f>
        <v>Prós: 1. Tamanho pequeno da máquina. Boa máquina em preço baixo. A pressão da água é boa. A pressão da água pode ser definida em diferentes modos. O tubo de entrada vem com. O comprimento do tubo de saída é suficiente. O comprimento do fio elétrico é suficiente. A pistola de pulverização é muito fácil de usar. O filtro de água também vem com tubo de entrada. A embalagem da máquina vem muito bem em uma caixa dupla.Cons: 1. O som da máquina é alto. O tamanho da garrafa de shampoo é pequeno. O comprimento do tubo de entrada é curto. O gatilho da pistola de pulverização de água deve ser pressionado continuamente durante o uso. Teria sido bom se houvesse um dispositivo que pudesse conter o gatilho. A qualidade do conector para o tubo de entrada fornecida com a máquina não é muito boa. Informações no manual não são suficientes., Gostei da energia que gera. Isso é comum ... além do aquecimento. Gostei de tudo o que saiu deste produto ..., deve recomendar para a sua casa para lavar o carro do seu carro, é baixa em comparação com outras instalações eases da ANS, uma máquina muito boa e funcionando super fino Embora o dispensador de shampoo tenha sido quebrado na caixa, é fácil montar, usar e um bom produto nessa faixa de preço., Médio de nível de ruído, fácil de montar e usar., muito útil. O desempenho também é bom, sobre todo o desempenho do produto está ok</v>
      </c>
    </row>
    <row r="1107">
      <c r="A1107" s="9" t="s">
        <v>4436</v>
      </c>
      <c r="B1107" s="29" t="str">
        <f>VLOOKUP(dados!A1107, reviews!A:G, 5, FALSE)</f>
        <v>Overall good product,Value for money 👍,Brand,Heater,Good product for home room heater,It's not repairable at all.,Electricity Current Passing Through its Entire Body,one rod is not working  solution i have</v>
      </c>
      <c r="C1107" s="29" t="str">
        <f>VLOOKUP(dados!A1107, reviews!A:G, 6, FALSE)</f>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v>
      </c>
      <c r="D1107" s="29" t="str">
        <f>IFERROR(__xludf.DUMMYFUNCTION("GOOGLETRANSLATE(B1107, ""en"", ""pt-br"")"),"Bom produto geral, valor para dinheiro 👍, marca, aquecedor, bom produto para aquecedor da sala de casa, não é reparável.")</f>
        <v>Bom produto geral, valor para dinheiro 👍, marca, aquecedor, bom produto para aquecedor da sala de casa, não é reparável.</v>
      </c>
      <c r="E1107" s="29" t="str">
        <f>IFERROR(__xludf.DUMMYFUNCTION("GOOGLETRANSLATE(C1107, ""en"", ""pt-br"")"),"O produto é muito bom. Mas possui um plugue de soquete maior que não está facilmente disponível em todos os cantos. Não é muito sufocante., Https: //m.media-amazon.com/images/w/webp_402378-t2/images/i/81hkpzp6oul.sy88 .jpg, você pode optar por isso, no en"&amp;"tanto, você deve saber que ele consome muita eletricidade, você pode comprá -lo de você morar em Punjab, pois até 300 unidades são gratuitas. Ajuda a manter o local realmente quente e muito bom produto no inverno para crianças e muito mais, todos os dispo"&amp;"sitivos ecétricos são propensos a danos e falhas, mas deve ser possível ser reparado. Infelizmente, este produto não tem essa opção e minha compra teve um desperdício completo., Primeiras coisas não são um aquecedor não ruim e fornece bastante calor. No e"&amp;"ntanto, a unidade que recebi teve uma questão importante, ou melhor, fatal. A corrente passava por todo o corpo, seja a grelha frontal ou a área perto da alça nas costas. Você não pode segurá -lo sem receber um choque elétrico quando está funcionando. Se "&amp;"você precisar girar o botão ou simplesmente movê -lo de uma posição para outra, precisará desconectá -lo da fonte de energia primeiro. Caso contrário, pode ser fatal. Se você usá -lo durante a noite, precisará mantê -lo fora do seu alcance, caso contrário"&amp;", se acordar à noite para beber água ou qualquer outra coisa, poderá tocá -lo e morrer acidentalmente. Casas com crianças precisam ser mais protetores. Agora não tenho certeza se essa falha está apenas na minha unidade ou um problema geral com esse tipo d"&amp;"e aquecedor. Solicitei uma substituição, vamos ver como funciona a unidade de substituição. Vou atualizar a revisão de acordo., No meu aquecedor, uma haste não está funcionando, então eu chamo o número de atendimento ao cliente do Bajaj que é dado no panf"&amp;"leto, então uma pessoa veio de Bajaj e meu problema resolvido")</f>
        <v>O produto é muito bom. Mas possui um plugue de soquete maior que não está facilmente disponível em todos os cantos. Não é muito sufocante., Https: //m.media-amazon.com/images/w/webp_402378-t2/images/i/81hkpzp6oul.sy88 .jpg, você pode optar por isso, no entanto, você deve saber que ele consome muita eletricidade, você pode comprá -lo de você morar em Punjab, pois até 300 unidades são gratuitas. Ajuda a manter o local realmente quente e muito bom produto no inverno para crianças e muito mais, todos os dispositivos ecétricos são propensos a danos e falhas, mas deve ser possível ser reparado. Infelizmente, este produto não tem essa opção e minha compra teve um desperdício completo., Primeiras coisas não são um aquecedor não ruim e fornece bastante calor. No entanto, a unidade que recebi teve uma questão importante, ou melhor, fatal. A corrente passava por todo o corpo, seja a grelha frontal ou a área perto da alça nas costas. Você não pode segurá -lo sem receber um choque elétrico quando está funcionando. Se você precisar girar o botão ou simplesmente movê -lo de uma posição para outra, precisará desconectá -lo da fonte de energia primeiro. Caso contrário, pode ser fatal. Se você usá -lo durante a noite, precisará mantê -lo fora do seu alcance, caso contrário, se acordar à noite para beber água ou qualquer outra coisa, poderá tocá -lo e morrer acidentalmente. Casas com crianças precisam ser mais protetores. Agora não tenho certeza se essa falha está apenas na minha unidade ou um problema geral com esse tipo de aquecedor. Solicitei uma substituição, vamos ver como funciona a unidade de substituição. Vou atualizar a revisão de acordo., No meu aquecedor, uma haste não está funcionando, então eu chamo o número de atendimento ao cliente do Bajaj que é dado no panfleto, então uma pessoa veio de Bajaj e meu problema resolvido</v>
      </c>
    </row>
    <row r="1108">
      <c r="A1108" s="9" t="s">
        <v>4442</v>
      </c>
      <c r="B1108" s="29" t="str">
        <f>VLOOKUP(dados!A1108, reviews!A:G, 5, FALSE)</f>
        <v>Nice product but little bit costly,Is good,Value for money,Ok,Good product,Nice product,we can use it for every work like chatni, shake, blending, etc so you must try it.,Using it since 2019</v>
      </c>
      <c r="C1108" s="29" t="str">
        <f>VLOOKUP(dados!A1108, reviews!A:G, 6, FALSE)</f>
        <v>Speed is gud nd easy to handle,Very useful,Quality is okay for this price.,Ok,Good product,Nice product,Is is easy to use and we can use it for everything.It is orerall great 👍,I bought it in 2019, using it everyday. I haven't faced any problem or a simple glitch all these years. If it is still in market, i would highly recommend.</v>
      </c>
      <c r="D1108" s="29" t="str">
        <f>IFERROR(__xludf.DUMMYFUNCTION("GOOGLETRANSLATE(B1108, ""en"", ""pt-br"")"),"Bom produto, mas um pouco caro, é bom, valor para dinheiro, ok, bom produto, bom produto, podemos usá -lo para todos os trabalhos como chatni, shake, mistura etc. para que você deve experimentá -lo., Usando -o desde 2019")</f>
        <v>Bom produto, mas um pouco caro, é bom, valor para dinheiro, ok, bom produto, bom produto, podemos usá -lo para todos os trabalhos como chatni, shake, mistura etc. para que você deve experimentá -lo., Usando -o desde 2019</v>
      </c>
      <c r="E1108" s="29" t="str">
        <f>IFERROR(__xludf.DUMMYFUNCTION("GOOGLETRANSLATE(C1108, ""en"", ""pt-br"")"),"A velocidade é gud e fácil de manusear, muito útil, a qualidade é boa para esse preço., OK, bom produto, bom produto, é fácil de usar e podemos usá -lo para tudo. 2019, usando -o todos os dias. Não enfrentei nenhum problema ou uma falha simples todos esse"&amp;"s anos. Se ainda estiver no mercado, eu recomendo.")</f>
        <v>A velocidade é gud e fácil de manusear, muito útil, a qualidade é boa para esse preço., OK, bom produto, bom produto, é fácil de usar e podemos usá -lo para tudo. 2019, usando -o todos os dias. Não enfrentei nenhum problema ou uma falha simples todos esses anos. Se ainda estiver no mercado, eu recomendo.</v>
      </c>
    </row>
    <row r="1109">
      <c r="A1109" s="9" t="s">
        <v>4446</v>
      </c>
      <c r="B1109" s="29" t="str">
        <f>VLOOKUP(dados!A1109, reviews!A:G, 5, FALSE)</f>
        <v>Good product,Worth of cast and useful of batchelors,This product quality is very good,i like this product,Value for Money,Verry use ful,Good product and easy to use,Looks nice,Excellent product</v>
      </c>
      <c r="C1109" s="29" t="str">
        <f>VLOOKUP(dados!A1109, reviews!A:G, 6, FALSE)</f>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v>
      </c>
      <c r="D1109" s="29" t="str">
        <f>IFERROR(__xludf.DUMMYFUNCTION("GOOGLETRANSLATE(B1109, ""en"", ""pt-br"")"),"Bom produto, no valor de elenco e útil dos Batchelors, a qualidade dessa qualidade é muito boa, eu gosto deste produto, valor para dinheiro, uso verry ful, bom produto e fácil de usar, parece bom, excelente produto")</f>
        <v>Bom produto, no valor de elenco e útil dos Batchelors, a qualidade dessa qualidade é muito boa, eu gosto deste produto, valor para dinheiro, uso verry ful, bom produto e fácil de usar, parece bom, excelente produto</v>
      </c>
      <c r="E1109" s="29" t="str">
        <f>IFERROR(__xludf.DUMMYFUNCTION("GOOGLETRANSLATE(C1109, ""en"", ""pt-br"")"),"https://m.media-amazon.com/images/i/41fwgwacahl._sy88.jpg,it não ocupou mais espaço fácil de manter em nenhum lugar, mas o comprimento do fio me sinto mal, bcz, é muito curto. Eu gosto de muitos Coisas deste produto, como qualidade, cor, fácil de usar e a"&amp;" coisa mais importante está no meu orçamento, valor ao dinheiro que qualquer um pode comprar e satisfazer o produto, produto muito útil, agradece a Amazon, bom produto fácil de usar, moldar e produtos parece bom . Bem, estou usando o seu caçador de ovos. "&amp;"Depois de usá -lo extensivamente por muitos dias, gostaria de dizer que é um dispositivo perfeito para ferver ovos. A esse custo, eu nunca esperava esse tipo de excelente qualidade do produto. Estou realmente satisfeito com este produto e estou ansioso pa"&amp;"ra comprar outro para meu irmão. Sugiro que todos façam isso sem dúvida.")</f>
        <v>https://m.media-amazon.com/images/i/41fwgwacahl._sy88.jpg,it não ocupou mais espaço fácil de manter em nenhum lugar, mas o comprimento do fio me sinto mal, bcz, é muito curto. Eu gosto de muitos Coisas deste produto, como qualidade, cor, fácil de usar e a coisa mais importante está no meu orçamento, valor ao dinheiro que qualquer um pode comprar e satisfazer o produto, produto muito útil, agradece a Amazon, bom produto fácil de usar, moldar e produtos parece bom . Bem, estou usando o seu caçador de ovos. Depois de usá -lo extensivamente por muitos dias, gostaria de dizer que é um dispositivo perfeito para ferver ovos. A esse custo, eu nunca esperava esse tipo de excelente qualidade do produto. Estou realmente satisfeito com este produto e estou ansioso para comprar outro para meu irmão. Sugiro que todos façam isso sem dúvida.</v>
      </c>
    </row>
    <row r="1110">
      <c r="A1110" s="9" t="s">
        <v>4450</v>
      </c>
      <c r="B1110" s="29" t="str">
        <f>VLOOKUP(dados!A1110, reviews!A:G, 5, FALSE)</f>
        <v>Very light weight. Almost accurate measurements.,Easy to use and on point!,Highly recommend product..just need some minor advanced feature in measuring liquid,Received in a decent condition,Good machine with precision,Great product,Excellent scale,Good Product</v>
      </c>
      <c r="C1110" s="29" t="str">
        <f>VLOOKUP(dados!A1110, reviews!A:G, 6, FALSE)</f>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It’s also light weight and quite easy to handle. But it’s a little bit overpriced,Very compact and easy to use scale. It even has multiple units and backlight.,Using it in day to day kitchen for recipes.I like it very much.,Liked the Product</v>
      </c>
      <c r="D1110" s="29" t="str">
        <f>IFERROR(__xludf.DUMMYFUNCTION("GOOGLETRANSLATE(B1110, ""en"", ""pt-br"")"),"Muito leve peso. Medições quase precisas., Fácil de usar e no ponto!, Recomendo o produto.")</f>
        <v>Muito leve peso. Medições quase precisas., Fácil de usar e no ponto!, Recomendo o produto.</v>
      </c>
      <c r="E1110" s="29" t="str">
        <f>IFERROR(__xludf.DUMMYFUNCTION("GOOGLETRANSLATE(C1110, ""en"", ""pt-br"")"),"Tem uma opção de garantia estendida por 6 meses. Relacionado à embalagem, estou um pouco decepcionado porque não consegui criar seu produto novo ou usado. Acabei de me certificar de que não há arranhões no produto. No entanto, ele não veio na Amazon Box.,"&amp;" O produto é usado para usar e muito leve. A tigela é um complemento e a escala também pode ser usada sem ela., Produto incrível ... boa precisão ... fácil de transportar em todos os lugares ... apenas preciso de algumas melhorias na pesagem do líquido em"&amp;" ml, porque apenas o ML da água é igual Para a GM, mas o restante do líquido tem sua própria densidade, mas essa máquina ainda mostra o mesmo ML para GM., Touch funciona bem., A máquina faz um bom trabalho com boa precisão. Também é leve e muito fácil de "&amp;"manusear. Mas é um pouco caro, muito compacto e fácil de usar. Ele ainda tem várias unidades e luz de fundo., Usando -a no dia a dia de cozinha para receitas. Eu gosto muito., Gostei do produto")</f>
        <v>Tem uma opção de garantia estendida por 6 meses. Relacionado à embalagem, estou um pouco decepcionado porque não consegui criar seu produto novo ou usado. Acabei de me certificar de que não há arranhões no produto. No entanto, ele não veio na Amazon Box., O produto é usado para usar e muito leve. A tigela é um complemento e a escala também pode ser usada sem ela., Produto incrível ... boa precisão ... fácil de transportar em todos os lugares ... apenas preciso de algumas melhorias na pesagem do líquido em ml, porque apenas o ML da água é igual Para a GM, mas o restante do líquido tem sua própria densidade, mas essa máquina ainda mostra o mesmo ML para GM., Touch funciona bem., A máquina faz um bom trabalho com boa precisão. Também é leve e muito fácil de manusear. Mas é um pouco caro, muito compacto e fácil de usar. Ele ainda tem várias unidades e luz de fundo., Usando -a no dia a dia de cozinha para receitas. Eu gosto muito., Gostei do produto</v>
      </c>
    </row>
    <row r="1111">
      <c r="A1111" s="9" t="s">
        <v>4454</v>
      </c>
      <c r="B1111" s="29" t="str">
        <f>VLOOKUP(dados!A1111, reviews!A:G, 5, FALSE)</f>
        <v>Healthy alternative to traditional deep frying,A new useful equipment for kitchen,Nice product. A must have for healthier cooking,Best in class Air fryer from Philips,Very nice product for Oil free cooking,Very useful product,Less Oil  food to eat,Quick snack machine</v>
      </c>
      <c r="C1111" s="29" t="str">
        <f>VLOOKUP(dados!A1111, reviews!A:G, 6, FALSE)</f>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v>
      </c>
      <c r="D1111" s="29" t="str">
        <f>IFERROR(__xludf.DUMMYFUNCTION("GOOGLETRANSLATE(B1111, ""en"", ""pt-br"")"),"Alternativa saudável à fritura profunda tradicional, um novo equipamento útil para cozinha, produto agradável. Um deve ter para cozinhar mais saudável, melhor fritadeira de aula da Philips, produto muito bom para cozinhar sem óleo, produto muito útil, men"&amp;"os alimentos a óleo para comer, máquina de lanche rápida")</f>
        <v>Alternativa saudável à fritura profunda tradicional, um novo equipamento útil para cozinha, produto agradável. Um deve ter para cozinhar mais saudável, melhor fritadeira de aula da Philips, produto muito bom para cozinhar sem óleo, produto muito útil, menos alimentos a óleo para comer, máquina de lanche rápida</v>
      </c>
      <c r="E1111" s="29" t="str">
        <f>IFERROR(__xludf.DUMMYFUNCTION("GOOGLETRANSLATE(C1111, ""en"", ""pt-br"")"),"Um pouco de tempo consumido em comparação com a fritura tradicional de petróleo. Frite carnes e legumes sem óleo. Até prepare fryums sem óleo., Bom produto. A qualidade da Philips sempre foi excelente. Sim, para a família indiana, alguns P&amp;D são necessári"&amp;"os para receitas adequadas. Mas os resultados são incríveis. Quase zero óleo e quase o mesmo sabor. Uma opção bastante saudável para todas as pessoas preocupadas com a saúde, pode assar alguns pratos com menos óleo. Alguns pratos de frita de frango podem "&amp;"ser cozidos nisso. É ótimo para o francês Frys., Mais um bom produto da Philips, a melhor qualidade nessa faixa de preço e a capacidade, cozinhei batatas fritas, escovei um pouco de óleo sobre eles e o resultado foi incrível. Produto muito bom para as pes"&amp;"soas de meia idade permanecerem saudáveis ​​e aproveitar tudo na comida. Tenho 40 anos. Espero cozinhar mais boa comida e postar mais vídeos. Vá em frente., Bom produto! Fácil de usar e também se mantém saudável., Fácil de usar, limpar e operar, bom para "&amp;"usar lanches fáceis e saudáveis ​​em 20 min")</f>
        <v>Um pouco de tempo consumido em comparação com a fritura tradicional de petróleo. Frite carnes e legumes sem óleo. Até prepare fryums sem óleo., Bom produto. A qualidade da Philips sempre foi excelente. Sim, para a família indiana, alguns P&amp;D são necessários para receitas adequadas. Mas os resultados são incríveis. Quase zero óleo e quase o mesmo sabor. Uma opção bastante saudável para todas as pessoas preocupadas com a saúde, pode assar alguns pratos com menos óleo. Alguns pratos de frita de frango podem ser cozidos nisso. É ótimo para o francês Frys., Mais um bom produto da Philips, a melhor qualidade nessa faixa de preço e a capacidade, cozinhei batatas fritas, escovei um pouco de óleo sobre eles e o resultado foi incrível. Produto muito bom para as pessoas de meia idade permanecerem saudáveis ​​e aproveitar tudo na comida. Tenho 40 anos. Espero cozinhar mais boa comida e postar mais vídeos. Vá em frente., Bom produto! Fácil de usar e também se mantém saudável., Fácil de usar, limpar e operar, bom para usar lanches fáceis e saudáveis ​​em 20 min</v>
      </c>
    </row>
    <row r="1112">
      <c r="A1112" s="9" t="s">
        <v>4458</v>
      </c>
      <c r="B1112" s="29" t="str">
        <f>VLOOKUP(dados!A1112, reviews!A:G, 5, FALSE)</f>
        <v>Good at this budget,Good product,Cord length,Cord length is too short,Product is good,Power cable is too short !!!,Value for money 💰,Short wire</v>
      </c>
      <c r="C1112" s="29" t="str">
        <f>VLOOKUP(dados!A1112, reviews!A:G, 6, FALSE)</f>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v>
      </c>
      <c r="D1112" s="29" t="str">
        <f>IFERROR(__xludf.DUMMYFUNCTION("GOOGLETRANSLATE(B1112, ""en"", ""pt-br"")"),"Bom nesse orçamento, bom produto, comprimento do cordão, comprimento do cordão é muito curto, o produto é bom, o cabo de alimentação é muito curto !!!, valor para dinheiro 💰, fio curto")</f>
        <v>Bom nesse orçamento, bom produto, comprimento do cordão, comprimento do cordão é muito curto, o produto é bom, o cabo de alimentação é muito curto !!!, valor para dinheiro 💰, fio curto</v>
      </c>
      <c r="E1112" s="29" t="str">
        <f>IFERROR(__xludf.DUMMYFUNCTION("GOOGLETRANSLATE(C1112, ""en"", ""pt-br"")"),"https://m.media-amazon.com/images/w/webp_402378-t2/images/i/61eim64sn-l._sy88.jpg.https://m.media-amazon.com/images/webp_402378-- T2/imagens/i/611owr2z7kl._sy88.jpg, comprimento do cordão muito pequeno adicionar cordão mais longo, o produto é um bom contr"&amp;"ole de temperaturas também é bom eu usei por volta de 1 mês, você pode ir em frente, mas lembre -se de que o comprimento do cabo é curto ,, produto é bom, mas o cabo de alimentação tem menos de 30 cm de comprimento. Então, difícil de usá -lo. ,, chá/café")</f>
        <v>https://m.media-amazon.com/images/w/webp_402378-t2/images/i/61eim64sn-l._sy88.jpg.https://m.media-amazon.com/images/webp_402378-- T2/imagens/i/611owr2z7kl._sy88.jpg, comprimento do cordão muito pequeno adicionar cordão mais longo, o produto é um bom controle de temperaturas também é bom eu usei por volta de 1 mês, você pode ir em frente, mas lembre -se de que o comprimento do cabo é curto ,, produto é bom, mas o cabo de alimentação tem menos de 30 cm de comprimento. Então, difícil de usá -lo. ,, chá/café</v>
      </c>
    </row>
    <row r="1113">
      <c r="A1113" s="9" t="s">
        <v>4462</v>
      </c>
      <c r="B1113" s="29" t="str">
        <f>VLOOKUP(dados!A1113, reviews!A:G, 5, FALSE)</f>
        <v>Good toaster,Seamless. Undoubtedly the best,Good product,Everything,Nice and okayish to use at home.,Value for money,Good pop-up toaster. Bun warmer feature is a nice addition,Wonderful product.</v>
      </c>
      <c r="C1113" s="29" t="str">
        <f>VLOOKUP(dados!A1113, reviews!A:G, 6, FALSE)</f>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v>
      </c>
      <c r="D1113" s="29" t="str">
        <f>IFERROR(__xludf.DUMMYFUNCTION("GOOGLETRANSLATE(B1113, ""en"", ""pt-br"")"),"Boa torradeira, perfeita. Sem dúvida, o melhor, bom produto, tudo, bom e bem para usar em casa., Valor por dinheiro, boa torradeira pop-up. O recurso que quente é uma boa adição, um produto maravilhoso.")</f>
        <v>Boa torradeira, perfeita. Sem dúvida, o melhor, bom produto, tudo, bom e bem para usar em casa., Valor por dinheiro, boa torradeira pop-up. O recurso que quente é uma boa adição, um produto maravilhoso.</v>
      </c>
      <c r="E1113" s="29" t="str">
        <f>IFERROR(__xludf.DUMMYFUNCTION("GOOGLETRANSLATE(C1113, ""en"", ""pt-br"")"),"Trabalha como dito. Browns pão uniformemente. Pop -up funciona bem. O cordão é muito curto. Tenho que manter a torradeira em uma embarcação invertida para chegar ao ponto de plug, comprei isso depois de devolver o Bajaj QTR-3 imediatamente após o desbaste"&amp;" devido a problemas de qualidade de construção. Não me arrepende da minha decisão de devolver o desi para esta beleza internacional. Qualidade e aparência são apenas excelentes. Uma melhoria pode ser a inclusão de um indicador de LED. Por caminho, ele tem"&amp;" dois botões- um para torradas e outro para churrasqueira. No geral, é o BANG para Buck, recomendaria, tudo, às vezes os gestos de pão brincaram bem em calor mais alto, às vezes queima. Mas a torradeira parece boa e fácil de usar., Bom produto, bom produt"&amp;"o. O recurso de aquecimento do pão parece útil. Controle de temperatura funciona bem, produto maravilhoso 👍")</f>
        <v>Trabalha como dito. Browns pão uniformemente. Pop -up funciona bem. O cordão é muito curto. Tenho que manter a torradeira em uma embarcação invertida para chegar ao ponto de plug, comprei isso depois de devolver o Bajaj QTR-3 imediatamente após o desbaste devido a problemas de qualidade de construção. Não me arrepende da minha decisão de devolver o desi para esta beleza internacional. Qualidade e aparência são apenas excelentes. Uma melhoria pode ser a inclusão de um indicador de LED. Por caminho, ele tem dois botões- um para torradas e outro para churrasqueira. No geral, é o BANG para Buck, recomendaria, tudo, às vezes os gestos de pão brincaram bem em calor mais alto, às vezes queima. Mas a torradeira parece boa e fácil de usar., Bom produto, bom produto. O recurso de aquecimento do pão parece útil. Controle de temperatura funciona bem, produto maravilhoso 👍</v>
      </c>
    </row>
    <row r="1114">
      <c r="A1114" s="9" t="s">
        <v>4468</v>
      </c>
      <c r="B1114" s="29" t="str">
        <f>VLOOKUP(dados!A1114, reviews!A:G, 5, FALSE)</f>
        <v>Good product,Very nice products good quality 👌👌,use carefully,No fear of over loading,very nice,Safety switch not working witch required change,Not stainless Steel make reflector !,Bullshit product</v>
      </c>
      <c r="C1114" s="29" t="str">
        <f>VLOOKUP(dados!A1114, reviews!A:G, 6, FALSE)</f>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v>
      </c>
      <c r="D1114" s="29" t="str">
        <f>IFERROR(__xludf.DUMMYFUNCTION("GOOGLETRANSLATE(B1114, ""en"", ""pt-br"")"),"Bom produto, produtos muito agradáveis ​​de boa qualidade 👌👌, use com cuidado, sem medo de carregar demais, muito bom, interruptor de segurança que não funciona")</f>
        <v>Bom produto, produtos muito agradáveis ​​de boa qualidade 👌👌, use com cuidado, sem medo de carregar demais, muito bom, interruptor de segurança que não funciona</v>
      </c>
      <c r="E1114" s="29" t="str">
        <f>IFERROR(__xludf.DUMMYFUNCTION("GOOGLETRANSLATE(C1114, ""en"", ""pt-br"")"),"Desde que comecei a usar, acho um bom produto., De boa qualidade, aquecedor muito útil, portátil e seguro. Cada haste consome apenas 400 watts de energia; portanto, você pode correr o risco de mantê -la com uma haste por horas juntamente com o risco de aq"&amp;"uecimento excessivo de cabo, quebra de MCB ou incêndio. Ele pode ser conectado a um soquete doméstico comum de cinco amperes sem fonte de alimentação de 15 amperes., Muito agradável, como, o refletor não é a maquiagem de aço inoxidável e, portanto, a desc"&amp;"rição na web não corresponde. No entanto, não devolvi o item, pois é um desperdício de tempo. Nunca comprei este produto para uso, depois de uma semana seu quadro de plástico se derrete e fazer um cheiro desmoronado que sou mecânico. Engg e Crompton foram"&amp;" Alreay fez um grande nome em motores, bombas")</f>
        <v>Desde que comecei a usar, acho um bom produto., De boa qualidade, aquecedor muito útil, portátil e seguro. Cada haste consome apenas 400 watts de energia; portanto, você pode correr o risco de mantê -la com uma haste por horas juntamente com o risco de aquecimento excessivo de cabo, quebra de MCB ou incêndio. Ele pode ser conectado a um soquete doméstico comum de cinco amperes sem fonte de alimentação de 15 amperes., Muito agradável, como, o refletor não é a maquiagem de aço inoxidável e, portanto, a descrição na web não corresponde. No entanto, não devolvi o item, pois é um desperdício de tempo. Nunca comprei este produto para uso, depois de uma semana seu quadro de plástico se derrete e fazer um cheiro desmoronado que sou mecânico. Engg e Crompton foram Alreay fez um grande nome em motores, bombas</v>
      </c>
    </row>
    <row r="1115">
      <c r="A1115" s="9" t="s">
        <v>4472</v>
      </c>
      <c r="B1115" s="29" t="str">
        <f>VLOOKUP(dados!A1115, reviews!A:G, 5, FALSE)</f>
        <v>Should you buy this?, read to find out ....,Good one,Good,Best product,Stopped working in just 18days and worst after sale service,Perfect,Price seems to be high,Solid one .better and best one.</v>
      </c>
      <c r="C1115" s="29" t="str">
        <f>VLOOKUP(dados!A1115, reviews!A:G, 6, FALSE)</f>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 Twin Blade fan♦ Thermostat built-in (Like AC, will turn on/off as per temp changes)♦ 1000W/2000W operation (2000W means faster heating)♦ Fan only mode for normal table fan type! (Can't adjust speed/ ON-OFF)♦ Power LED when it operates♦ Fan noise is high and a bit annoying if your room is very calm♦ 15A Power plug and 1m cord length♦ Retracting stand to elevate height about 2 inches♦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 Power on, select 1000w/2000w (The switch is not easy to operate)♠ Set to thermostat switch to MAX (Anti-clockwise)♠ Let the heater run till you feel comfortable (Warm inside)♠ Reduce the thermostat slowly till the point where the unit turns off♠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🤩,The cord is very short and required 16 amp plug point. It eats up available oxygen in closed room,Using since one year , found fit for house use.</v>
      </c>
      <c r="D1115" s="29" t="str">
        <f>IFERROR(__xludf.DUMMYFUNCTION("GOOGLETRANSLATE(B1115, ""en"", ""pt-br"")"),"Você deve comprar isso?, Leia para descobrir ...., bom, bom, melhor produto, parou de trabalhar em apenas 18 dias e o pior serviço pós -venda, perfeito, o preço parece ser alto, sólido.")</f>
        <v>Você deve comprar isso?, Leia para descobrir ...., bom, bom, melhor produto, parou de trabalhar em apenas 18 dias e o pior serviço pós -venda, perfeito, o preço parece ser alto, sólido.</v>
      </c>
      <c r="E1115" s="29" t="str">
        <f>IFERROR(__xludf.DUMMYFUNCTION("GOOGLETRANSLATE(C1115, ""en"", ""pt-br"")"),"Vendedor: Cloudtail Índia Private LimitedPrice: 2200/- (O preço pode cair tão baixo quanto 1700/-) entrega: um dia, prime, bangalorepackage: caixa de caixa grande com pacote de ar, sem damager-ComMoned: simplornable: Yes Sobol, que você precisa ? ~~~~~~~~"&amp;"~~~~~~~~~~~~~~~~~~~~~~~ Antes da minha resenha, eu informarei qual você deve comprar. Um aquecedor de óleo é melhor que você pode comprar, mas vale a pena gastar em lugares onde o tempo ficará mais frio por mais de 3 meses e bem abaixo de 10 graus. Para u"&amp;"sos normais de inverno, recomendo comprar aquecedores do tipo convecção com ventilador e termostato. Evite os baseados em condução (eles podem consumir menos energia, baratos, mas são muito lentos, além de queimaduras de oxigênio). Observe também, o que v"&amp;"ocê comprar, certifique -se de ter uma configuração de termostato! Revisão do produto: ~~~~~~~~~~~~~ Este produto da Usha é um aquecedor de sala do tipo convecção, e eu listei os recursos e informações abaixo . ♦ Ventilador de lâmina dupla ♦ Termostato em"&amp;"butido (como o AC, ligará/desligará conforme as alterações temporárias) ♦ Operação de 1000W/2000W (2000W significa aquecimento mais rápido) ♦ Modo somente ventilador para o tipo de ventilador de tabela normal! (Não é possível ajustar a velocidade/ ON-OFF)"&amp;" ♦ LED de energia quando opera ♦ O ruído do ventilador é alto e um pouco irritante se o seu quarto estiver muito calmo ♦ 15A plugue de energia e comprimento de 1M de cabo ♦ RETRACTING STAND para elevar a altura cerca de 2 polegadas ♦ Garantia de 1 ano par"&amp;"a o produto O aquecedor da sala usa um ventilador poderoso para espalhar o calor. Sem opção de balanço, muito direcional. Você deve posicioná -lo correta e com segurança. É bom ter a opção de termostato, e sugiro que os compradores comprem com termostato,"&amp;" pois isso ajudará a reduzir suas contas EB, além de dar um clima confortável dentro. O termostato não é muito preciso, como nos ar condicionados, mas funciona. O manual do usuário fornece informações claras sobre usá -lo. (Anti-Clockwise) ♠ Deixe o aquec"&amp;"edor correr até que você se sinta confortável (quente por dentro) ♠ Reduza o termostato lentamente até o ponto em que a unidade desligar ♠ Deixe esse cenário não perturbado e deixe o aquecedor até a manhã Configuraram erroneamente-o erroneamente, desligar"&amp;" e ativar. Mais uma vez, siga a mesma etapa acima. Usei isso para o meu quarto de dormir, com cerca de 12x12. Em Bangalore, é de 20 a 21 graus à noite e pode cair em mais algumas semanas, e levou cerca de 20 a 30 minutos para trazê-lo de 26 a 27 graus com"&amp;" 1000W em sala quase fechada. Observe que, se o seu local tiver uma temperatura ambiente (não fora da temperatura) bem abaixo e não exposta à luz solar, levará muito tempo para atingir a temperatura confortável. Nesses casos, usam apenas 2000 W configuraç"&amp;"ão. Não queima oxigênio, mas reduz a umidade relativa que pode causar secura, portanto, manter um balde ou uma bandeja de água melhor ajudará. Mas você deve manter sua janela ligeiramente aberta, nunca usá -la em uma sala fechada.5a ou 15a? ~~~~~~~~ Eu ve"&amp;"jo isso como um problema principal, como em muitas de nossas casas, temos apenas 15a para lavar a lavagem máquinas e soquete CA que não são facilmente acessíveis. Esta unidade só pode ser conectada ao soquete 15A. O motivo é que, quando você opera uma uni"&amp;"dade de 230V com soquete 5A, você pode desenhar apenas no máximo 1150 watts (230V x 5a) desse soquete. No entanto, como esta unidade também opera em 2000W, requer 15A, pois isso só poderia fornecer até ~ 3000W (230V x 15a) como ACS, etc. No entanto, você "&amp;"pode usar com segurança esta unidade de um soquete 5A normal somente se estiver Usando a 1000W sempre. Basta comprar um soquete de 5A a 15A e usar isso. Não se preocupe, funcionará muito bem, mas nunca use 2000W (se você casa tem MCB Tripper, então é muit"&amp;"o seguro) .TIPS: ~~~~ &gt;&gt; Sempre mantenha algum espaço dos 4 lados da unidade do aquecedor&gt; &gt; Primeiro tente com a unidade do ventilador por 10 minutos antes de usar o aquecedor (usando após um armazenamento longo) &gt;&gt; Mantenha uma janela ligeiramente abert"&amp;"a para o ar fresco &gt;&gt; O ar pode parecer seco depois de algum tempo, pode causar irritação e secura no nariz. O quarto deve ser ventilado, adicionar a bandeja de água pode higdrawbacks: ~~~~~~~~ 1. Ruído do ventilador, às vezes insuportável em um quarto ca"&amp;"lmo2. Qualidade média de construção e palavras finais: ~~~~~~~~~ Eu recomendo este produto, uma unidade barata e eficaz para salas pequenas e médias e não queima oxigênio, mas produz ar seco que pode ser facilmente superado. Os preços podem cair cerca de "&amp;"1700/- às vezes, por isso, verifique o preço antes de comprar. Obrigado por ler isso, se você tiver alguma dúvida, comente abaixo., No primeiro dia, eu havia enfrentado algum problema menor neste produto, mas dia depois daquele dia até agora, trabalhando "&amp;"sem problemas menores e maiores. Estou feliz neste produto 😃😊., Bom, https: //m.media-amazon.com/images/i/61gxdsye-yl._sy88.jpg,hi,i comprou este aquecedor Usha 812T que foi entregue para mim em 29 de dezembro de 21. Nós o usamos moderadamente por apena"&amp;"s 3-4 horas no dia. Está funcionando bem por 18 dias. No entanto, no 19º dia, isto é, na noite de 16Jan22, depois de cerca de meia hora de corrida, ele de repente começou a fazer 'Khad, Khad, Khad ...' Sound e toda a sua bobina eram vermelhos. Como estáva"&amp;"mos acordados, acabei de desligar a energia do interruptor principal. Isso poderia ter resultado em queima ou fogo, se eu tivesse adiado por mais alguns segundos. Quando peguei o aquecedor na mão, parecia que alguma parte foi afrouxada por dentro. Reclama"&amp;"ção com o atendimento ao cliente da USHA, Na Di foi informado de que o técnico visitará dentro de 48 horas. No entanto, ninguém veio em 48 horas. Então liguei para o técnico do número compartilhado para mim por Usha no dia 19. Depois que esse técnico me v"&amp;"isitou. Ao verificar, ele descobriu que dos 2 fãs, um fã se soltou completamente e caiu por dentro, por isso estava fazendo som e as bobinas estavam ficando muito aquecidas. Fiquei relaxado por não ser um grande problema e seria corrigido rapidamente. Mas"&amp;", para minha surpresa, o acoplador de plástico ao qual o ventilador foi parafusado, não consegue segurar o parafuso com força. Houve um problema com o acoplador. Que tipo de qualidade é que, dentro de alguns dias após o parafuso de uso, afrouxará automati"&amp;"camente e o acoplador não pode mais segurá -lo? Adicionando à minha surpresa, o técnico não estava tendo o novo acoplador para substituição. Ele disse que verificará amanhã e voltará da parte está disponível. Mas ele não voltou. Quando liguei para o dia s"&amp;"eguinte, ele disse que a parte não está disponível e informou a empresa, mas não posso dizer quando ela estará disponível. Então, liguei para o USHA CLIENTE AARTILE novamente e eles disseram que ""sim, o Techinician relatou que a parte não está disponível"&amp;""" Na Dwe estão encaminhando sua solicitação para a equipe de serviço para organizar a peça o mais rápido possível. Desde então eu tenho chamado de atendimento ao cliente da USHA e tecnologia todos os dias e ambos estão jogando a bola um no outro. O atend"&amp;"imento ao cliente é o pior de dizer toda vez que eles estão encaminhando o Solicitação para o departamento em questão e, assim que a peça estiver disponível, será substituído. Perguntei a eles quantos dias pode levar, pois não posso continuar esperando po"&amp;"r um mês, eles apenas disseram que não podem dizer quando estaria disponível. Como está muito frio hoje em dia, e o aquecedor não está funcionando o que é o Uso da compra deste aquecedor Usha. Se eles o substituirão após um mês, o inverno já teria passado"&amp;". Se eles não tiverem as peças básicas disponíveis no centro de serviço, qual é a utilidade do técnico de envio de mãos vazias? De agora em dia para atender meu aquecedor o mais rápido possível. Obrigado, vá em frente 🤩, o cordão é muito curto e exigiu u"&amp;"m ponto de plugue de 16 A. Ele consome o oxigênio disponível na sala fechada, usando desde um ano, achada adequada para uso em casa.")</f>
        <v>Vendedor: Cloudtail Índia Private LimitedPrice: 2200/- (O preço pode cair tão baixo quanto 1700/-) entrega: um dia, prime, bangalorepackage: caixa de caixa grande com pacote de ar, sem damager-ComMoned: simplornable: Yes Sobol, que você precisa ? ~~~~~~~~~~~~~~~~~~~~~~~~~~~~~~~ Antes da minha resenha, eu informarei qual você deve comprar. Um aquecedor de óleo é melhor que você pode comprar, mas vale a pena gastar em lugares onde o tempo ficará mais frio por mais de 3 meses e bem abaixo de 10 graus. Para usos normais de inverno, recomendo comprar aquecedores do tipo convecção com ventilador e termostato. Evite os baseados em condução (eles podem consumir menos energia, baratos, mas são muito lentos, além de queimaduras de oxigênio). Observe também, o que você comprar, certifique -se de ter uma configuração de termostato! Revisão do produto: ~~~~~~~~~~~~~ Este produto da Usha é um aquecedor de sala do tipo convecção, e eu listei os recursos e informações abaixo . ♦ Ventilador de lâmina dupla ♦ Termostato embutido (como o AC, ligará/desligará conforme as alterações temporárias) ♦ Operação de 1000W/2000W (2000W significa aquecimento mais rápido) ♦ Modo somente ventilador para o tipo de ventilador de tabela normal! (Não é possível ajustar a velocidade/ ON-OFF) ♦ LED de energia quando opera ♦ O ruído do ventilador é alto e um pouco irritante se o seu quarto estiver muito calmo ♦ 15A plugue de energia e comprimento de 1M de cabo ♦ RETRACTING STAND para elevar a altura cerca de 2 polegadas ♦ Garantia de 1 ano para o produto O aquecedor da sala usa um ventilador poderoso para espalhar o calor. Sem opção de balanço, muito direcional. Você deve posicioná -lo correta e com segurança. É bom ter a opção de termostato, e sugiro que os compradores comprem com termostato, pois isso ajudará a reduzir suas contas EB, além de dar um clima confortável dentro. O termostato não é muito preciso, como nos ar condicionados, mas funciona. O manual do usuário fornece informações claras sobre usá -lo. (Anti-Clockwise) ♠ Deixe o aquecedor correr até que você se sinta confortável (quente por dentro) ♠ Reduza o termostato lentamente até o ponto em que a unidade desligar ♠ Deixe esse cenário não perturbado e deixe o aquecedor até a manhã Configuraram erroneamente-o erroneamente, desligar e ativar. Mais uma vez, siga a mesma etapa acima. Usei isso para o meu quarto de dormir, com cerca de 12x12. Em Bangalore, é de 20 a 21 graus à noite e pode cair em mais algumas semanas, e levou cerca de 20 a 30 minutos para trazê-lo de 26 a 27 graus com 1000W em sala quase fechada. Observe que, se o seu local tiver uma temperatura ambiente (não fora da temperatura) bem abaixo e não exposta à luz solar, levará muito tempo para atingir a temperatura confortável. Nesses casos, usam apenas 2000 W configuração. Não queima oxigênio, mas reduz a umidade relativa que pode causar secura, portanto, manter um balde ou uma bandeja de água melhor ajudará. Mas você deve manter sua janela ligeiramente aberta, nunca usá -la em uma sala fechada.5a ou 15a? ~~~~~~~~ Eu vejo isso como um problema principal, como em muitas de nossas casas, temos apenas 15a para lavar a lavagem máquinas e soquete CA que não são facilmente acessíveis. Esta unidade só pode ser conectada ao soquete 15A. O motivo é que, quando você opera uma unidade de 230V com soquete 5A, você pode desenhar apenas no máximo 1150 watts (230V x 5a) desse soquete. No entanto, como esta unidade também opera em 2000W, requer 15A, pois isso só poderia fornecer até ~ 3000W (230V x 15a) como ACS, etc. No entanto, você pode usar com segurança esta unidade de um soquete 5A normal somente se estiver Usando a 1000W sempre. Basta comprar um soquete de 5A a 15A e usar isso. Não se preocupe, funcionará muito bem, mas nunca use 2000W (se você casa tem MCB Tripper, então é muito seguro) .TIPS: ~~~~ &gt;&gt; Sempre mantenha algum espaço dos 4 lados da unidade do aquecedor&gt; &gt; Primeiro tente com a unidade do ventilador por 10 minutos antes de usar o aquecedor (usando após um armazenamento longo) &gt;&gt; Mantenha uma janela ligeiramente aberta para o ar fresco &gt;&gt; O ar pode parecer seco depois de algum tempo, pode causar irritação e secura no nariz. O quarto deve ser ventilado, adicionar a bandeja de água pode higdrawbacks: ~~~~~~~~ 1. Ruído do ventilador, às vezes insuportável em um quarto calmo2. Qualidade média de construção e palavras finais: ~~~~~~~~~ Eu recomendo este produto, uma unidade barata e eficaz para salas pequenas e médias e não queima oxigênio, mas produz ar seco que pode ser facilmente superado. Os preços podem cair cerca de 1700/- às vezes, por isso, verifique o preço antes de comprar. Obrigado por ler isso, se você tiver alguma dúvida, comente abaixo., No primeiro dia, eu havia enfrentado algum problema menor neste produto, mas dia depois daquele dia até agora, trabalhando sem problemas menores e maiores. Estou feliz neste produto 😃😊., Bom, https: //m.media-amazon.com/images/i/61gxdsye-yl._sy88.jpg,hi,i comprou este aquecedor Usha 812T que foi entregue para mim em 29 de dezembro de 21. Nós o usamos moderadamente por apenas 3-4 horas no dia. Está funcionando bem por 18 dias. No entanto, no 19º dia, isto é, na noite de 16Jan22, depois de cerca de meia hora de corrida, ele de repente começou a fazer 'Khad, Khad, Khad ...' Sound e toda a sua bobina eram vermelhos. Como estávamos acordados, acabei de desligar a energia do interruptor principal. Isso poderia ter resultado em queima ou fogo, se eu tivesse adiado por mais alguns segundos. Quando peguei o aquecedor na mão, parecia que alguma parte foi afrouxada por dentro. Reclamação com o atendimento ao cliente da USHA, Na Di foi informado de que o técnico visitará dentro de 48 horas. No entanto, ninguém veio em 48 horas. Então liguei para o técnico do número compartilhado para mim por Usha no dia 19. Depois que esse técnico me visitou. Ao verificar, ele descobriu que dos 2 fãs, um fã se soltou completamente e caiu por dentro, por isso estava fazendo som e as bobinas estavam ficando muito aquecidas. Fiquei relaxado por não ser um grande problema e seria corrigido rapidamente. Mas, para minha surpresa, o acoplador de plástico ao qual o ventilador foi parafusado, não consegue segurar o parafuso com força. Houve um problema com o acoplador. Que tipo de qualidade é que, dentro de alguns dias após o parafuso de uso, afrouxará automaticamente e o acoplador não pode mais segurá -lo? Adicionando à minha surpresa, o técnico não estava tendo o novo acoplador para substituição. Ele disse que verificará amanhã e voltará da parte está disponível. Mas ele não voltou. Quando liguei para o dia seguinte, ele disse que a parte não está disponível e informou a empresa, mas não posso dizer quando ela estará disponível. Então, liguei para o USHA CLIENTE AARTILE novamente e eles disseram que "sim, o Techinician relatou que a parte não está disponível" Na Dwe estão encaminhando sua solicitação para a equipe de serviço para organizar a peça o mais rápido possível. Desde então eu tenho chamado de atendimento ao cliente da USHA e tecnologia todos os dias e ambos estão jogando a bola um no outro. O atendimento ao cliente é o pior de dizer toda vez que eles estão encaminhando o Solicitação para o departamento em questão e, assim que a peça estiver disponível, será substituído. Perguntei a eles quantos dias pode levar, pois não posso continuar esperando por um mês, eles apenas disseram que não podem dizer quando estaria disponível. Como está muito frio hoje em dia, e o aquecedor não está funcionando o que é o Uso da compra deste aquecedor Usha. Se eles o substituirão após um mês, o inverno já teria passado. Se eles não tiverem as peças básicas disponíveis no centro de serviço, qual é a utilidade do técnico de envio de mãos vazias? De agora em dia para atender meu aquecedor o mais rápido possível. Obrigado, vá em frente 🤩, o cordão é muito curto e exigiu um ponto de plugue de 16 A. Ele consome o oxigênio disponível na sala fechada, usando desde um ano, achada adequada para uso em casa.</v>
      </c>
    </row>
    <row r="1116">
      <c r="A1116" s="9" t="s">
        <v>4478</v>
      </c>
      <c r="B1116" s="29" t="str">
        <f>VLOOKUP(dados!A1116, reviews!A:G, 5, FALSE)</f>
        <v>It is a dependable mixer one can buy without any hesitation,Good kitchen addition,It does not have light indicater,Nil,Noise is too much,Nice deal.,Nice product,😒</v>
      </c>
      <c r="C1116" s="29" t="str">
        <f>VLOOKUP(dados!A1116, reviews!A:G, 6, FALSE)</f>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v>
      </c>
      <c r="D1116" s="29" t="str">
        <f>IFERROR(__xludf.DUMMYFUNCTION("GOOGLETRANSLATE(B1116, ""en"", ""pt-br"")"),"É um misturador confiável que se pode comprar sem qualquer hesitação, boa adição de cozinha, não possui indicador leve, nulo, ruído é demais, bom negócio., Bom produto, 😒")</f>
        <v>É um misturador confiável que se pode comprar sem qualquer hesitação, boa adição de cozinha, não possui indicador leve, nulo, ruído é demais, bom negócio., Bom produto, 😒</v>
      </c>
      <c r="E1116" s="29" t="str">
        <f>IFERROR(__xludf.DUMMYFUNCTION("GOOGLETRANSLATE(C1116, ""en"", ""pt-br"")"),"O misto é muito projetado asteticamente e tem um bom desempenho. Estou muito satisfeito e definitivamente recomendaria esta máquina a todos os compradores em potencial, usabilidade, gostei deste produto, mas uma coisa é que não há leve indicador de eletri"&amp;"cidade liga/desliga, então, é um pouco confuso que o que está ligado ou desligado. , Bom produto ...., o pacote não foi feito com embalagens da Amazon, mas como um pacote do tipo Gunny Bag. Inesperado. Muito mal empacotada aleatória. Algum corpo analisará"&amp;" isso? Lembre -se de que faz uma quantidade bastante perceptível de ruído. E depois de usá -lo por mais de 2 anos. Um dos rotores de utensílios quebrou e começa a fazer mais barulho. Fora isso, uma boa compra. E bom design moderno., Bom, tampa de jarro pe"&amp;"queno muito solto")</f>
        <v>O misto é muito projetado asteticamente e tem um bom desempenho. Estou muito satisfeito e definitivamente recomendaria esta máquina a todos os compradores em potencial, usabilidade, gostei deste produto, mas uma coisa é que não há leve indicador de eletricidade liga/desliga, então, é um pouco confuso que o que está ligado ou desligado. , Bom produto ...., o pacote não foi feito com embalagens da Amazon, mas como um pacote do tipo Gunny Bag. Inesperado. Muito mal empacotada aleatória. Algum corpo analisará isso? Lembre -se de que faz uma quantidade bastante perceptível de ruído. E depois de usá -lo por mais de 2 anos. Um dos rotores de utensílios quebrou e começa a fazer mais barulho. Fora isso, uma boa compra. E bom design moderno., Bom, tampa de jarro pequeno muito solto</v>
      </c>
    </row>
    <row r="1117">
      <c r="A1117" s="9" t="s">
        <v>4482</v>
      </c>
      <c r="B1117" s="29" t="str">
        <f>VLOOKUP(dados!A1117, reviews!A:G, 5, FALSE)</f>
        <v>good product,Nice one,Product is gud but size could be little more,Best Buying,Good product,Material is good,Worth for cost,Sturdiness of Kuber Industries Waterproof Round Non Woven Laundry Bag</v>
      </c>
      <c r="C1117" s="29" t="str">
        <f>VLOOKUP(dados!A1117, reviews!A:G, 6, FALSE)</f>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v>
      </c>
      <c r="D1117" s="29" t="str">
        <f>IFERROR(__xludf.DUMMYFUNCTION("GOOGLETRANSLATE(B1117, ""en"", ""pt-br"")"),"Bom produto, bom, o produto é Gud, mas o tamanho pode ser um pouco mais, melhor compra, bom produto, material é bom, valor para custo, robustez das indústrias de Kuber à prova d'água redonda sem tecido")</f>
        <v>Bom produto, bom, o produto é Gud, mas o tamanho pode ser um pouco mais, melhor compra, bom produto, material é bom, valor para custo, robustez das indústrias de Kuber à prova d'água redonda sem tecido</v>
      </c>
      <c r="E1117" s="29" t="str">
        <f>IFERROR(__xludf.DUMMYFUNCTION("GOOGLETRANSLATE(C1117, ""en"", ""pt-br"")"),"Bom produto, parece decente, tem espaço decente e serve ao propósito geral. O tamanho dos bons produtos pode ser um pouco grande, boa em qualidade., Trata -se de altura da altura do joelho. O anel na parte superior é quebrado dentro do loop. Caso contrári"&amp;"o, é muito bom. Precisa verificar a durabilidade, o material do manuseio é muito bom. A troca não está apertada em alguns lados, será solta em algumas semanas. Se você compra, você precisará mais uma vez fazer uma ritmo, então a durabilidade é mais longa "&amp;".., bom, a bolsa vale o custo, no entanto, a imagem fica um pouco enganosa como não é tão robusta quanto mostrada nas imagens e a capacidade também não é muito. Uma aposta muito útil no caso de estarmos tentando obter algo com preço amigável de bolso.")</f>
        <v>Bom produto, parece decente, tem espaço decente e serve ao propósito geral. O tamanho dos bons produtos pode ser um pouco grande, boa em qualidade., Trata -se de altura da altura do joelho. O anel na parte superior é quebrado dentro do loop. Caso contrário, é muito bom. Precisa verificar a durabilidade, o material do manuseio é muito bom. A troca não está apertada em alguns lados, será solta em algumas semanas. Se você compra, você precisará mais uma vez fazer uma ritmo, então a durabilidade é mais longa .., bom, a bolsa vale o custo, no entanto, a imagem fica um pouco enganosa como não é tão robusta quanto mostrada nas imagens e a capacidade também não é muito. Uma aposta muito útil no caso de estarmos tentando obter algo com preço amigável de bolso.</v>
      </c>
    </row>
    <row r="1118">
      <c r="A1118" s="9" t="s">
        <v>4486</v>
      </c>
      <c r="B1118" s="29" t="str">
        <f>VLOOKUP(dados!A1118, reviews!A:G, 5, FALSE)</f>
        <v>Good one.....i liked it,Very rare noise,Very easy to use,Good Product,Nice product,Good one, but heating problem,Nice product,Nice product</v>
      </c>
      <c r="C1118" s="29" t="str">
        <f>VLOOKUP(dados!A1118, reviews!A:G, 6, FALSE)</f>
        <v>i am a student, I needed it to carry abroad. I didn't found any other portable mixer in lighter weight. It's working good, blades r sharp. Mera kam hogya...i am happy with my purchase.,Noise is not good,The product is very good for daily uses,वारंटी कार्ड क्यों नहीं दिया गया है. वारंटी कार्ड भेजिए,Better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v>
      </c>
      <c r="D1118" s="29" t="str">
        <f>IFERROR(__xludf.DUMMYFUNCTION("GOOGLETRANSLATE(B1118, ""en"", ""pt-br"")"),"Bom ..... eu gostei, ruído muito raro, muito fácil de usar, bom produto, bom produto, bom, mas problema de aquecimento, bom produto, bom produto")</f>
        <v>Bom ..... eu gostei, ruído muito raro, muito fácil de usar, bom produto, bom produto, bom, mas problema de aquecimento, bom produto, bom produto</v>
      </c>
      <c r="E1118" s="29" t="str">
        <f>IFERROR(__xludf.DUMMYFUNCTION("GOOGLETRANSLATE(C1118, ""en"", ""pt-br"")"),"Eu sou um estudante, precisava disso para levar para o exterior. Não encontrei nenhum outro misturador portátil em peso mais leve. Está funcionando bem, lâminas r nítidas. Mera Kam Hogya ... Estou feliz com minha compra., Ruído não é bom, o produto é muit"&amp;"o bom para usos diários, वारंटी कार्ड क्यों नहीं दिया गया है. वारंटी कार्ड भेजिए, melhor produto, bom mix de funcionamento após o uso de 2 meses. Fácil de usar. Mas quando usamos o uso diário e áspero, ocorre o problema de aquecimento. Problema de costura"&amp;" mista de jarra para a roda misturada. Então, ocorre ruído pesado. OUTO BOONE., Estou usando no último mês, seu produto muito bom para uso médio, bom produto, dê uma classificação 10/9")</f>
        <v>Eu sou um estudante, precisava disso para levar para o exterior. Não encontrei nenhum outro misturador portátil em peso mais leve. Está funcionando bem, lâminas r nítidas. Mera Kam Hogya ... Estou feliz com minha compra., Ruído não é bom, o produto é muito bom para usos diários, वारंटी कार्ड क्यों नहीं दिया गया है. वारंटी कार्ड भेजिए, melhor produto, bom mix de funcionamento após o uso de 2 meses. Fácil de usar. Mas quando usamos o uso diário e áspero, ocorre o problema de aquecimento. Problema de costura mista de jarra para a roda misturada. Então, ocorre ruído pesado. OUTO BOONE., Estou usando no último mês, seu produto muito bom para uso médio, bom produto, dê uma classificação 10/9</v>
      </c>
    </row>
    <row r="1119">
      <c r="A1119" s="9" t="s">
        <v>4490</v>
      </c>
      <c r="B1119" s="29" t="str">
        <f>VLOOKUP(dados!A1119, reviews!A:G, 5, FALSE)</f>
        <v>Buy from ikea directly,Good quality,one battery set should be provided with the frother. The battery is not available locally,very bad product dont buy even no return option available,Not IKEA quality,Average quality,Really Good,Not powerful enough</v>
      </c>
      <c r="C1119" s="29" t="str">
        <f>VLOOKUP(dados!A1119, reviews!A:G, 6, FALSE)</f>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v>
      </c>
      <c r="D1119" s="29" t="str">
        <f>IFERROR(__xludf.DUMMYFUNCTION("GOOGLETRANSLATE(B1119, ""en"", ""pt-br"")"),"Compre da IKEA diretamente, de boa qualidade, um conjunto de bateria deve receber o Frother. A bateria não está disponível localmente, produto muito ruim não compra nem opção de retorno disponível, não qualidade da IKEA, qualidade média, muito boa, não po"&amp;"derosa o suficiente")</f>
        <v>Compre da IKEA diretamente, de boa qualidade, um conjunto de bateria deve receber o Frother. A bateria não está disponível localmente, produto muito ruim não compra nem opção de retorno disponível, não qualidade da IKEA, qualidade média, muito boa, não poderosa o suficiente</v>
      </c>
      <c r="E1119" s="29" t="str">
        <f>IFERROR(__xludf.DUMMYFUNCTION("GOOGLETRANSLATE(C1119, ""en"", ""pt-br"")"),"Vendas da IKEA Este produto para 99/- apenas. Não vale mais do que isso. A qualidade não é de primeira qualidade. No começo, pensei que o produto orginal foi substituído pela primeira cópia. Mas depois de fazer algumas pesquisas, foi o produto orginal cus"&amp;"tando 99/- apenas diretamente da IKEA. Vendedor, acho que compra da Ikea e venda aqui. Porque a etiqueta MRP foi removida. Eu tentei muitos fothers, mas este é o melhor até agora desde que finalmente encontrei um onde a haste de aço não cai., Eles deveria"&amp;"m ter dado um conjunto de bateria com o item. Essas baterias não estão facilmente disponíveis e meu Frother está inútil na minha cozinha., Produto ruim quebrado, o produto de repente parou de funcionar completamente hoje após cerca de 4 meses. A velocidad"&amp;"e se deteriorou após um mês de uso. Uso este produto com moderação - cerca de uma vez a cada poucos dias para espalhar três / quatro xícaras de café. Portanto, não há razão para isso funcionar mal. Também não há recurso disponível para mim, qualidade médi"&amp;"a ,, Este produto não é poderoso o suficiente.")</f>
        <v>Vendas da IKEA Este produto para 99/- apenas. Não vale mais do que isso. A qualidade não é de primeira qualidade. No começo, pensei que o produto orginal foi substituído pela primeira cópia. Mas depois de fazer algumas pesquisas, foi o produto orginal custando 99/- apenas diretamente da IKEA. Vendedor, acho que compra da Ikea e venda aqui. Porque a etiqueta MRP foi removida. Eu tentei muitos fothers, mas este é o melhor até agora desde que finalmente encontrei um onde a haste de aço não cai., Eles deveriam ter dado um conjunto de bateria com o item. Essas baterias não estão facilmente disponíveis e meu Frother está inútil na minha cozinha., Produto ruim quebrado, o produto de repente parou de funcionar completamente hoje após cerca de 4 meses. A velocidade se deteriorou após um mês de uso. Uso este produto com moderação - cerca de uma vez a cada poucos dias para espalhar três / quatro xícaras de café. Portanto, não há razão para isso funcionar mal. Também não há recurso disponível para mim, qualidade média ,, Este produto não é poderoso o suficiente.</v>
      </c>
    </row>
    <row r="1120">
      <c r="A1120" s="9" t="s">
        <v>4498</v>
      </c>
      <c r="B1120" s="29" t="str">
        <f>VLOOKUP(dados!A1120, reviews!A:G, 5, FALSE)</f>
        <v>Nice heater,Nice,Plug needs an adaptor,Elements is not of good quality burning smell,It's ok ☺️,Beautiful design light weight effective one,Plug issue,Damaged item received</v>
      </c>
      <c r="C1120" s="29" t="str">
        <f>VLOOKUP(dados!A1120, reviews!A:G, 6, FALSE)</f>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 then it’s broke down,It's to good ☺️,Value for money....,Plug is too large for this type of plug you have should have 16 amp socket board,</v>
      </c>
      <c r="D1120" s="29" t="str">
        <f>IFERROR(__xludf.DUMMYFUNCTION("GOOGLETRANSLATE(B1120, ""en"", ""pt-br"")"),"Aquecedor agradável, bom, plug precisa de um adaptador, elementos não são de bom cheiro de queima de qualidade, está ok ☺️, belo design leve eficaz, problema de plugue, item danificado recebido")</f>
        <v>Aquecedor agradável, bom, plug precisa de um adaptador, elementos não são de bom cheiro de queima de qualidade, está ok ☺️, belo design leve eficaz, problema de plugue, item danificado recebido</v>
      </c>
      <c r="E1120" s="29" t="str">
        <f>IFERROR(__xludf.DUMMYFUNCTION("GOOGLETRANSLATE(C1120, ""en"", ""pt-br"")"),"Valor do dinheiro, nenhum não gosta de valores não -valores por dinheiro, plugue o adaptador AM necessário, o elemento está aquecendo demais, precisa desligar a cada vez. O produto é bonito projetado, mas a qualidade Crompton Greaves foi compreendida: a c"&amp;"aracterística básica de qualquer convector de calor é elemento se estiver recebendo aquecimento 🔝 🔝 Então, está quebrado, é bom ☺️, valor para dinheiro ...., plug também é grande para esse tipo de plugue que você tem deve ter 16 amp socket placar,")</f>
        <v>Valor do dinheiro, nenhum não gosta de valores não -valores por dinheiro, plugue o adaptador AM necessário, o elemento está aquecendo demais, precisa desligar a cada vez. O produto é bonito projetado, mas a qualidade Crompton Greaves foi compreendida: a característica básica de qualquer convector de calor é elemento se estiver recebendo aquecimento 🔝 🔝 Então, está quebrado, é bom ☺️, valor para dinheiro ...., plug também é grande para esse tipo de plugue que você tem deve ter 16 amp socket placar,</v>
      </c>
    </row>
    <row r="1121">
      <c r="A1121" s="9" t="s">
        <v>4502</v>
      </c>
      <c r="B1121" s="29" t="str">
        <f>VLOOKUP(dados!A1121, reviews!A:G, 5, FALSE)</f>
        <v>good,Overall good product but got stop inbetween there is some gap for long term use.,Perfect,Useful,Must buy,Overall nice product,Good product,Amazing product</v>
      </c>
      <c r="C1121" s="29" t="str">
        <f>VLOOKUP(dados!A1121, reviews!A:G, 6, FALSE)</f>
        <v>https://m.media-amazon.com/images/W/WEBP_402378-T1/images/I/711EJ0kjZvL._SY88.jpg,I like this is handy and easy to use.For multiple clothes it's got stop in between.,Was looking for this only. Time saving appliance 👌 Product delivered on time,Easy to use,Very useful for dark clothes,Removes all wollen part , works well,Best and pocket friendly,Helped in removing all the lint from the clothes. Now they look as new as brand new. Just lobe this amazing product. A must buy for your winter clothes</v>
      </c>
      <c r="D1121" s="29" t="str">
        <f>IFERROR(__xludf.DUMMYFUNCTION("GOOGLETRANSLATE(B1121, ""en"", ""pt-br"")"),"Bom, bom produto geral, mas parou entre há alguma lacuna para uso a longo prazo., Perfeito, útil, deve comprar, bom produto geral, bom produto, produto incrível")</f>
        <v>Bom, bom produto geral, mas parou entre há alguma lacuna para uso a longo prazo., Perfeito, útil, deve comprar, bom produto geral, bom produto, produto incrível</v>
      </c>
      <c r="E1121" s="29" t="str">
        <f>IFERROR(__xludf.DUMMYFUNCTION("GOOGLETRANSLATE(C1121, ""en"", ""pt-br"")"),"https://m.media-amazon.com/images/w/webp_402378-t1/images/i/711ej0kjzvl._sy88.jpg,i como se isso é útil e fácil de usar. Para várias roupas, ele parou. Estava procurando apenas isso. Aparelho de economia de tempo 👌 Produto entregue no prazo, fácil de usa"&amp;"r, muito útil para roupas escuras, remove toda a parte wollen, funciona bem, melhor e para o bolso, ajudou a remover todo o fiapo das roupas. Agora eles parecem tão novos quanto novos. Apenas lobe esse produto incrível. Um deve comprar para suas roupas de"&amp;" inverno")</f>
        <v>https://m.media-amazon.com/images/w/webp_402378-t1/images/i/711ej0kjzvl._sy88.jpg,i como se isso é útil e fácil de usar. Para várias roupas, ele parou. Estava procurando apenas isso. Aparelho de economia de tempo 👌 Produto entregue no prazo, fácil de usar, muito útil para roupas escuras, remove toda a parte wollen, funciona bem, melhor e para o bolso, ajudou a remover todo o fiapo das roupas. Agora eles parecem tão novos quanto novos. Apenas lobe esse produto incrível. Um deve comprar para suas roupas de inverno</v>
      </c>
    </row>
    <row r="1122">
      <c r="A1122" s="9" t="s">
        <v>4506</v>
      </c>
      <c r="B1122" s="29" t="str">
        <f>VLOOKUP(dados!A1122, reviews!A:G, 5, FALSE)</f>
        <v>Nice product,Best for hostel guys,Easy to handle,Very nicely,Easy to use ...,Best for bachelor 👌👌👌,Heating is not even and happens only side of the kettle.,There is no flame adjustment</v>
      </c>
      <c r="C1122" s="29" t="str">
        <f>VLOOKUP(dados!A1122, reviews!A:G, 6, FALSE)</f>
        <v>Go for it .... Nice product,I loved the product. It is easy and simple to use . The quality is also fair according to the price …and it best fit for guys who stays in hostel or pg .. they can make maggi 🤤 , boil water🤫 , warm the milk 😆 and it will be ur buddy for serving you hot meals !!Don’t think you can go for it … 👍🏻Enjoy the hottness 🤔,It's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v>
      </c>
      <c r="D1122" s="29" t="str">
        <f>IFERROR(__xludf.DUMMYFUNCTION("GOOGLETRANSLATE(B1122, ""en"", ""pt-br"")"),"Bom produto, melhor para caras de albergue, fácil de manusear, muito bem, fácil de usar ..., melhor para solteiro 👌👌👌, o aquecimento não é e acontece apenas do lado da chaleira., Não há ajuste de chama")</f>
        <v>Bom produto, melhor para caras de albergue, fácil de manusear, muito bem, fácil de usar ..., melhor para solteiro 👌👌👌, o aquecimento não é e acontece apenas do lado da chaleira., Não há ajuste de chama</v>
      </c>
      <c r="E1122" s="29" t="str">
        <f>IFERROR(__xludf.DUMMYFUNCTION("GOOGLETRANSLATE(C1122, ""en"", ""pt-br"")"),"Vá em frente .... bom produto, adorei o produto. É fácil e simples de usar. A qualidade também é justa de acordo com o preço ... e é melhor para os caras que permanecem no albergue ou no PG. Eles podem fazer Maggi 🤤, ferver água🤫, aquecer o leite 😆 e s"&amp;"erá seu amigo por servir as refeições quentes! ! Não pense que você pode seguir em frente… 👍🏻 Joy a questão 🤔, é bom, fácil de lidar, eu uso esse kattle desde um ano ainda está funcionando agora, é muito útil e o controlador de temperatura também é bom"&amp;" ... ,, 1. O aquecimento acontece apenas em um lado do navio. O aquecimento não é distribuído em torno do centro da embarcação. Portanto, as manchas de leite acontece apenas em um lado da embarcação. Consulte a imagem.2. Durante a limpeza, a água pode ent"&amp;"rar no botão de controle de temperatura. Portanto, a lavagem deve ser cuidadosamente feita. Os pontos acima devem ser considerados para um melhor design da chaleira., Não há ajuste de chama")</f>
        <v>Vá em frente .... bom produto, adorei o produto. É fácil e simples de usar. A qualidade também é justa de acordo com o preço ... e é melhor para os caras que permanecem no albergue ou no PG. Eles podem fazer Maggi 🤤, ferver água🤫, aquecer o leite 😆 e será seu amigo por servir as refeições quentes! ! Não pense que você pode seguir em frente… 👍🏻 Joy a questão 🤔, é bom, fácil de lidar, eu uso esse kattle desde um ano ainda está funcionando agora, é muito útil e o controlador de temperatura também é bom ... ,, 1. O aquecimento acontece apenas em um lado do navio. O aquecimento não é distribuído em torno do centro da embarcação. Portanto, as manchas de leite acontece apenas em um lado da embarcação. Consulte a imagem.2. Durante a limpeza, a água pode entrar no botão de controle de temperatura. Portanto, a lavagem deve ser cuidadosamente feita. Os pontos acima devem ser considerados para um melhor design da chaleira., Não há ajuste de chama</v>
      </c>
    </row>
    <row r="1123">
      <c r="A1123" s="9" t="s">
        <v>4510</v>
      </c>
      <c r="B1123" s="29" t="str">
        <f>VLOOKUP(dados!A1123, reviews!A:G, 5, FALSE)</f>
        <v>Amazing results,Bestest product ever</v>
      </c>
      <c r="C1123" s="29" t="str">
        <f>VLOOKUP(dados!A1123, reviews!A:G, 6, FALSE)</f>
        <v>I usually don't write review but this product is amazing everyone should give it a try , u will not disappoint after buying....,No words to say. Amazing👍😍🤩 you can see the picture I hv shared.</v>
      </c>
      <c r="D1123" s="29" t="str">
        <f>IFERROR(__xludf.DUMMYFUNCTION("GOOGLETRANSLATE(B1123, ""en"", ""pt-br"")"),"Resultados surpreendentes, melhor produto de todos os tempos")</f>
        <v>Resultados surpreendentes, melhor produto de todos os tempos</v>
      </c>
      <c r="E1123" s="29" t="str">
        <f>IFERROR(__xludf.DUMMYFUNCTION("GOOGLETRANSLATE(C1123, ""en"", ""pt-br"")"),"Normalmente, não escrevo resenha, mas este produto é incrível que todos devem tentar, você não decepcionará depois de comprar ..., sem palavras para dizer. Incrível👍😍🤩 você pode ver a imagem que eu compartilhei.")</f>
        <v>Normalmente, não escrevo resenha, mas este produto é incrível que todos devem tentar, você não decepcionará depois de comprar ..., sem palavras para dizer. Incrível👍😍🤩 você pode ver a imagem que eu compartilhei.</v>
      </c>
    </row>
    <row r="1124">
      <c r="A1124" s="9" t="s">
        <v>4514</v>
      </c>
      <c r="B1124" s="29" t="str">
        <f>VLOOKUP(dados!A1124, reviews!A:G, 5, FALSE)</f>
        <v>Good one,Nice,Wrong information provided by pigeon,Good product.,Best in class for this price,Best in this budget,Good product,Nice product</v>
      </c>
      <c r="C1124" s="29" t="str">
        <f>VLOOKUP(dados!A1124, reviews!A:G, 6, FALSE)</f>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v>
      </c>
      <c r="D1124" s="29" t="str">
        <f>IFERROR(__xludf.DUMMYFUNCTION("GOOGLETRANSLATE(B1124, ""en"", ""pt-br"")"),"Bom, informações boas e erradas fornecidas por Pigeon, bom produto., Melhor aula para este preço, melhor neste orçamento, bom produto, bom produto")</f>
        <v>Bom, informações boas e erradas fornecidas por Pigeon, bom produto., Melhor aula para este preço, melhor neste orçamento, bom produto, bom produto</v>
      </c>
      <c r="E1124" s="29" t="str">
        <f>IFERROR(__xludf.DUMMYFUNCTION("GOOGLETRANSLATE(C1124, ""en"", ""pt-br"")"),"A principal preocupação é o comprimento do cabo de alimentação. É muito pequeno. O acabamento geral é bom. Funcionalmente está ok. Pão grosso pode ser torrado., Bom, a única razão pela qual eu comprei este produto é que o país de origem é a Índia em compa"&amp;"ração com seus concorrentes. Mas eles mencionaram errado na descrição. Não estou reclamando o produto, mas eles deveriam ter mencionado informações corretas, livros e configurações de Browning são muito bem feitas. A classificação foi dada para esse preço"&amp;". Vale a pena o preço, bom produto fácil n seguro, bom desempenho. Usaram 2 deles. Limpar é difícil.")</f>
        <v>A principal preocupação é o comprimento do cabo de alimentação. É muito pequeno. O acabamento geral é bom. Funcionalmente está ok. Pão grosso pode ser torrado., Bom, a única razão pela qual eu comprei este produto é que o país de origem é a Índia em comparação com seus concorrentes. Mas eles mencionaram errado na descrição. Não estou reclamando o produto, mas eles deveriam ter mencionado informações corretas, livros e configurações de Browning são muito bem feitas. A classificação foi dada para esse preço. Vale a pena o preço, bom produto fácil n seguro, bom desempenho. Usaram 2 deles. Limpar é difícil.</v>
      </c>
    </row>
    <row r="1125">
      <c r="A1125" s="9" t="s">
        <v>4518</v>
      </c>
      <c r="B1125" s="29" t="str">
        <f>VLOOKUP(dados!A1125, reviews!A:G, 5, FALSE)</f>
        <v>Good, but not fast enough,Excellent product,Very slow heating,A silent heater,Easy to operate and the performance is good.,Recived room heater of only 9 fins than 11.,It's nice,Heats the the room very well</v>
      </c>
      <c r="C1125" s="29" t="str">
        <f>VLOOKUP(dados!A1125, reviews!A:G, 6, FALSE)</f>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you’ve turned it on for a while, you can turn the heat settings off and the fan will still blow warm air. Very effective and doesn’t give you headache like the rod heaters do. Has auto cutoff as well.</v>
      </c>
      <c r="D1125" s="29" t="str">
        <f>IFERROR(__xludf.DUMMYFUNCTION("GOOGLETRANSLATE(B1125, ""en"", ""pt-br"")"),"Bom, mas não rápido o suficiente, excelente produto, aquecimento muito lento, um aquecedor silencioso, fácil de operar e o desempenho é bom., Aquecedor da sala recuperada de apenas 9 barbatanas que 11., é bom, aquece a sala muito bem")</f>
        <v>Bom, mas não rápido o suficiente, excelente produto, aquecimento muito lento, um aquecedor silencioso, fácil de operar e o desempenho é bom., Aquecedor da sala recuperada de apenas 9 barbatanas que 11., é bom, aquece a sala muito bem</v>
      </c>
      <c r="E1125" s="29" t="str">
        <f>IFERROR(__xludf.DUMMYFUNCTION("GOOGLETRANSLATE(C1125, ""en"", ""pt-br"")"),"Olá, usei este aquecedor de 13fin em uma sala de 12x 14 pés com teto a 10 pés. Fin, que é muito rápido e supera este Bajaj 13fin., Bajaj nomeia em si uma garantia de excelência. Um produto muito produto. Aquece a casa em pouco tempo. Como um benefício par"&amp;"a idosos como nós, esta é minha revisão após 3 dias de Uso. Em primeiro lugar, sinto que tenho um produto usado, pois a embalagem já estava descompactada dentro da caixa e normalmente com um novo aquecedor de óleo não utilizado, no primeiro uso, você tem "&amp;"um cheiro enquanto o óleo e as barbatanas esquentam pela primeira vez. Isso não fez Acontece para mim. De qualquer forma, eu apenas pensei em ver se tudo está bom e espero que ele tenha um desempenho. O aquecedor tem aquecimento muito lento. Você precisa "&amp;"executá -lo no Termostato Max e com carga total 2500 ou 2900 W e mesmo assim será necessário muito por muito tempo sentir o calor. Consegui tocar as barbatanas por um segundo, mesmo depois de operá -lo por mais de uma hora sem cortar. O corte do termostat"&amp;"o funciona, mas é bem abaixo do máximo e depois não aquece, pois é cortado e ligado. Para esse tipo de aquecedor, a sala deve ter apenas uma entrada e isso não deve continuar se abrindo com frequência. Se você tem portas abrindo de vez em quando, não mant"&amp;"erá o espaço quente. Aquecedor de óleo lá fora a um preço muito bom. Em offline, eu estava recebendo 13 FIN Modelo por 12k a 13k, mas aqui na Amazon eu o recebi em Rs. 9799. Isso é muito silencioso e aquece a sala em 20 a 30 minutos, realmente vale o dinh"&amp;"eiro gasto. Fácil de usar e pode ser movido para outros quartos sem nenhuma dificuldade. O desempenho é bom., O produto é bom, mas o produto desejado não foi entregue, estou feliz com minha decisão de comprar esse aquecedor. O quarto fica quente e confort"&amp;"ável., O radiador funciona muito bem, mesmo no clima frio de Kullu. Possui duas configurações de calor e, quando você o ligar por um tempo, pode desligar as configurações de calor e o ventilador ainda sopra o ar quente. Muito eficaz e não dá dor de cabeça"&amp;" como os aquecedores de haste o fazem. Tem corte automático também.")</f>
        <v>Olá, usei este aquecedor de 13fin em uma sala de 12x 14 pés com teto a 10 pés. Fin, que é muito rápido e supera este Bajaj 13fin., Bajaj nomeia em si uma garantia de excelência. Um produto muito produto. Aquece a casa em pouco tempo. Como um benefício para idosos como nós, esta é minha revisão após 3 dias de Uso. Em primeiro lugar, sinto que tenho um produto usado, pois a embalagem já estava descompactada dentro da caixa e normalmente com um novo aquecedor de óleo não utilizado, no primeiro uso, você tem um cheiro enquanto o óleo e as barbatanas esquentam pela primeira vez. Isso não fez Acontece para mim. De qualquer forma, eu apenas pensei em ver se tudo está bom e espero que ele tenha um desempenho. O aquecedor tem aquecimento muito lento. Você precisa executá -lo no Termostato Max e com carga total 2500 ou 2900 W e mesmo assim será necessário muito por muito tempo sentir o calor. Consegui tocar as barbatanas por um segundo, mesmo depois de operá -lo por mais de uma hora sem cortar. O corte do termostato funciona, mas é bem abaixo do máximo e depois não aquece, pois é cortado e ligado. Para esse tipo de aquecedor, a sala deve ter apenas uma entrada e isso não deve continuar se abrindo com frequência. Se você tem portas abrindo de vez em quando, não manterá o espaço quente. Aquecedor de óleo lá fora a um preço muito bom. Em offline, eu estava recebendo 13 FIN Modelo por 12k a 13k, mas aqui na Amazon eu o recebi em Rs. 9799. Isso é muito silencioso e aquece a sala em 20 a 30 minutos, realmente vale o dinheiro gasto. Fácil de usar e pode ser movido para outros quartos sem nenhuma dificuldade. O desempenho é bom., O produto é bom, mas o produto desejado não foi entregue, estou feliz com minha decisão de comprar esse aquecedor. O quarto fica quente e confortável., O radiador funciona muito bem, mesmo no clima frio de Kullu. Possui duas configurações de calor e, quando você o ligar por um tempo, pode desligar as configurações de calor e o ventilador ainda sopra o ar quente. Muito eficaz e não dá dor de cabeça como os aquecedores de haste o fazem. Tem corte automático também.</v>
      </c>
    </row>
    <row r="1126">
      <c r="A1126" s="9" t="s">
        <v>4522</v>
      </c>
      <c r="B1126" s="29" t="str">
        <f>VLOOKUP(dados!A1126, reviews!A:G, 5, FALSE)</f>
        <v>It's good product for other company.,Value for money!,Not satisfy with the speed,Cleaning is problematic,Ok,Good,Good looking fan but motor fitted with fiber body.. Quality ok.,Good one, with bigger, not sure about dimension wise.</v>
      </c>
      <c r="C1126" s="29" t="str">
        <f>VLOOKUP(dados!A1126, reviews!A:G, 6, FALSE)</f>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v>
      </c>
      <c r="D1126" s="29" t="str">
        <f>IFERROR(__xludf.DUMMYFUNCTION("GOOGLETRANSLATE(B1126, ""en"", ""pt-br"")"),"É um bom produto para outra empresa., Valor para o dinheiro!, Não é satisfatório com a velocidade, a limpeza é problemática, ok, boa, fã de boa aparência, mas o motor equipado com corpo de fibra .. Qualidade ok., Bom, com maior, sem certeza sobre dimensão"&amp;" em termos de dimensão.")</f>
        <v>É um bom produto para outra empresa., Valor para o dinheiro!, Não é satisfatório com a velocidade, a limpeza é problemática, ok, boa, fã de boa aparência, mas o motor equipado com corpo de fibra .. Qualidade ok., Bom, com maior, sem certeza sobre dimensão em termos de dimensão.</v>
      </c>
      <c r="E1126" s="29" t="str">
        <f>IFERROR(__xludf.DUMMYFUNCTION("GOOGLETRANSLATE(C1126, ""en"", ""pt-br"")"),"Eu gosto deste. Valor pelo dinheiro em comparação com outra empresa em geral é um bom produto., Bom produto com relação custo qualquer outro fã de exaustão no mercado. Percebi que o tamanho do fã de exaustão não tem um impacto perceptível no poder de sucç"&amp;"ão do ar. No entanto, suas desvantagens são que, devido ao pequeno espaço entre as lâminas do ventilador, é impossível limpar qualquer acúmulo de poeira/óleo Nas barras internas e paredes do obturador. A única maneira de limpar as áreas acima mencionadas "&amp;"é do lado posterior do exaustor, o que é difícil de alcançar na maioria das situações de habitação., OK, bom, https: //m.media-amazon.com/images/w/webp_402378 -T2/imagens/i/71mjxio1dol._sy88.jpg, qualidade decente e funciona conforme meu requisito, não tã"&amp;"o bom.")</f>
        <v>Eu gosto deste. Valor pelo dinheiro em comparação com outra empresa em geral é um bom produto., Bom produto com relação custo qualquer outro fã de exaustão no mercado. Percebi que o tamanho do fã de exaustão não tem um impacto perceptível no poder de sucção do ar. No entanto, suas desvantagens são que, devido ao pequeno espaço entre as lâminas do ventilador, é impossível limpar qualquer acúmulo de poeira/óleo Nas barras internas e paredes do obturador. A única maneira de limpar as áreas acima mencionadas é do lado posterior do exaustor, o que é difícil de alcançar na maioria das situações de habitação., OK, bom, https: //m.media-amazon.com/images/w/webp_402378 -T2/imagens/i/71mjxio1dol._sy88.jpg, qualidade decente e funciona conforme meu requisito, não tão bom.</v>
      </c>
    </row>
    <row r="1127">
      <c r="A1127" s="9" t="s">
        <v>4528</v>
      </c>
      <c r="B1127" s="29" t="str">
        <f>VLOOKUP(dados!A1127, reviews!A:G, 5, FALSE)</f>
        <v>I received a damaged product,Some defects but working as of now,Using for morenthan 6 months now.,Very good product,Cord length is too small,Easy to use,Noise,of good quality</v>
      </c>
      <c r="C1127" s="29" t="str">
        <f>VLOOKUP(dados!A1127, reviews!A:G, 6, FALSE)</f>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v>
      </c>
      <c r="D1127" s="29" t="str">
        <f>IFERROR(__xludf.DUMMYFUNCTION("GOOGLETRANSLATE(B1127, ""en"", ""pt-br"")"),"Recebi um produto danificado, alguns defeitos, mas trabalhando a partir de agora, usando por Morenthan 6 meses agora., Produto muito bom, o comprimento do cordão é muito pequeno, fácil de usar, ruído, de boa qualidade")</f>
        <v>Recebi um produto danificado, alguns defeitos, mas trabalhando a partir de agora, usando por Morenthan 6 meses agora., Produto muito bom, o comprimento do cordão é muito pequeno, fácil de usar, ruído, de boa qualidade</v>
      </c>
      <c r="E1127" s="29" t="str">
        <f>IFERROR(__xludf.DUMMYFUNCTION("GOOGLETRANSLATE(C1127, ""en"", ""pt-br"")"),"O produto parece realmente bom e elegante, a menos que não tenha sido danificado, a chaleira parece elegante, mas parece haver alguns defeitos de design. A base e a garrafa não parecem se encaixar exatamente para que toda a contração oscilante quando a ág"&amp;"ua começar a ferver. Então, ao derramar, o vapor quente que entra na alça através do orifício do sensor de vapor deixa a alça muito quente. Eu tive que prender a alça para isolar minha mão da alça quente. O interruptor não se encaixa perfeitamente no slot"&amp;" na alça e também notei algumas gotas de água condensando no interior do interruptor no cabo. Eu usei uma chaleira de prestígio mais cedo, que tinha um acabamento muito melhor. Mas tudo isso é feito na China de qualquer maneira. Não tenho nada contra a Ch"&amp;"ina, aqui com a wipro chaleira parece ter havido um lote ruim, o que possivelmente explica por que o preço é menor do que o de outros modelos oferecidos pelo Wipro. Isso é um problema com as compras na Amazon que se é sugado pelo preço comparações e opção"&amp;" mais barata, que são principalmente produtos defeituosos, sem nenhum aviso. Nesse caso, conscientemente fui para essa opção na esperança de que não fosse um defeito sério. Vamos ver se minha esperança está emparelhada., É muito bom e usá-lo por mais de 6"&amp;" meses, bom produto, https: //m.media-amazon.com/images/i/71p0bav1bal._sy88.jpg, para Use, por mais simples como 123, o produto é bom, mas faz muito barulho durante o aquecimento, é um produto OK, mas o preço é um pouco alto, as mesmas coisas que você far"&amp;"á com que você vá em algumas marcas a preços mais baratos, vamos ver quanto tempo ele agora funcionando perfeitamente.")</f>
        <v>O produto parece realmente bom e elegante, a menos que não tenha sido danificado, a chaleira parece elegante, mas parece haver alguns defeitos de design. A base e a garrafa não parecem se encaixar exatamente para que toda a contração oscilante quando a água começar a ferver. Então, ao derramar, o vapor quente que entra na alça através do orifício do sensor de vapor deixa a alça muito quente. Eu tive que prender a alça para isolar minha mão da alça quente. O interruptor não se encaixa perfeitamente no slot na alça e também notei algumas gotas de água condensando no interior do interruptor no cabo. Eu usei uma chaleira de prestígio mais cedo, que tinha um acabamento muito melhor. Mas tudo isso é feito na China de qualquer maneira. Não tenho nada contra a China, aqui com a wipro chaleira parece ter havido um lote ruim, o que possivelmente explica por que o preço é menor do que o de outros modelos oferecidos pelo Wipro. Isso é um problema com as compras na Amazon que se é sugado pelo preço comparações e opção mais barata, que são principalmente produtos defeituosos, sem nenhum aviso. Nesse caso, conscientemente fui para essa opção na esperança de que não fosse um defeito sério. Vamos ver se minha esperança está emparelhada., É muito bom e usá-lo por mais de 6 meses, bom produto, https: //m.media-amazon.com/images/i/71p0bav1bal._sy88.jpg, para Use, por mais simples como 123, o produto é bom, mas faz muito barulho durante o aquecimento, é um produto OK, mas o preço é um pouco alto, as mesmas coisas que você fará com que você vá em algumas marcas a preços mais baratos, vamos ver quanto tempo ele agora funcionando perfeitamente.</v>
      </c>
    </row>
    <row r="1128">
      <c r="A1128" s="9" t="s">
        <v>4532</v>
      </c>
      <c r="B1128" s="29" t="str">
        <f>VLOOKUP(dados!A1128, reviews!A:G, 5, FALSE)</f>
        <v>Coffee Filter,Just go for it!,Happy with the product,If you drink 1 or 2 cups of coffee a day, this's it,Works well! But pricey,Easy to make coffee with and sustainable.,GOOD FILTER,good for a person or two</v>
      </c>
      <c r="C1128" s="29" t="str">
        <f>VLOOKUP(dados!A1128, reviews!A:G, 6, FALSE)</f>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v>
      </c>
      <c r="D1128" s="29" t="str">
        <f>IFERROR(__xludf.DUMMYFUNCTION("GOOGLETRANSLATE(B1128, ""en"", ""pt-br"")"),"Filtro de café, basta ir em frente!, Feliz com o produto, se você beber 1 ou 2 xícaras de café por dia, é isso, funciona bem! Mas caro, fácil de fazer café e sustentável., Bom filtro, bom para uma pessoa ou duas")</f>
        <v>Filtro de café, basta ir em frente!, Feliz com o produto, se você beber 1 ou 2 xícaras de café por dia, é isso, funciona bem! Mas caro, fácil de fazer café e sustentável., Bom filtro, bom para uma pessoa ou duas</v>
      </c>
      <c r="E1128" s="29" t="str">
        <f>IFERROR(__xludf.DUMMYFUNCTION("GOOGLETRANSLATE(C1128, ""en"", ""pt-br"")"),"O filtro de café é do tamanho certo para uma família pequena. Ele tem um bom acabamento e é fácil de lavar e limpar., O tamanho é compacto, bom para fazer um café forte filtrado para 2 pax, o que mais você espera?, Basta optar por isso !!, use -o todos os"&amp;" dias. Sem queixas, fáceis de usar e manter+limpo. O tamanho poderia ter sido maior. No geral, bom para uma pessoa., Você pode obtê -lo por menos preço do que isso em uma loja de varejo! Ou mesmo no Big Bazaar, é compacto, fácil de usar e faz uma ótima xí"&amp;"cara de café., Bom filtro de café, produto simples. Funciona bem. Os orifícios do filtro poderiam ter sido menores- decocção diminui em um minuto e não recebe a força. Provavelmente eu deveria ir a um moedor e pedir a moagem grossa dos grãos de café.")</f>
        <v>O filtro de café é do tamanho certo para uma família pequena. Ele tem um bom acabamento e é fácil de lavar e limpar., O tamanho é compacto, bom para fazer um café forte filtrado para 2 pax, o que mais você espera?, Basta optar por isso !!, use -o todos os dias. Sem queixas, fáceis de usar e manter+limpo. O tamanho poderia ter sido maior. No geral, bom para uma pessoa., Você pode obtê -lo por menos preço do que isso em uma loja de varejo! Ou mesmo no Big Bazaar, é compacto, fácil de usar e faz uma ótima xícara de café., Bom filtro de café, produto simples. Funciona bem. Os orifícios do filtro poderiam ter sido menores- decocção diminui em um minuto e não recebe a força. Provavelmente eu deveria ir a um moedor e pedir a moagem grossa dos grãos de café.</v>
      </c>
    </row>
    <row r="1129">
      <c r="A1129" s="9" t="s">
        <v>4538</v>
      </c>
      <c r="B1129" s="29" t="str">
        <f>VLOOKUP(dados!A1129, reviews!A:G, 5, FALSE)</f>
        <v>It is Okay.,Amazing product and fast shipping,Sturdy,Good, its Useful.,most useful products for every kitchen,value for money,Good Quality Product,Good clips</v>
      </c>
      <c r="C1129" s="29" t="str">
        <f>VLOOKUP(dados!A1129, reviews!A:G, 6, FALSE)</f>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v>
      </c>
      <c r="D1129" s="29" t="str">
        <f>IFERROR(__xludf.DUMMYFUNCTION("GOOGLETRANSLATE(B1129, ""en"", ""pt-br"")"),"Está tudo bem., Produto incrível e envio rápido, resistente, bom, é útil., Produtos mais úteis para cada cozinha, relação custo")</f>
        <v>Está tudo bem., Produto incrível e envio rápido, resistente, bom, é útil., Produtos mais úteis para cada cozinha, relação custo</v>
      </c>
      <c r="E1129" s="29" t="str">
        <f>IFERROR(__xludf.DUMMYFUNCTION("GOOGLETRANSLATE(C1129, ""en"", ""pt-br"")"),"Está tudo bem até agora., Este produto foi incrível e fácil de usar., Usei esse pedido anterior de repetição. Tamanhos diferentes fazem com que ele use para vários itens de despensa., Bom, é útil., Gosto desses produtos por um longo tempo quando nós estav"&amp;"am em Londres. Produtos de boa qualidade., Um salva -vidas quando você fica sem recipientes. Não é muito resistente como o que você obtém no miniso, mas também não é ruim. A qualidade é muito boa a um preço acessível, esses são bons clipes sólidos e resis"&amp;"tentes. Os clipes estão em 2 tamanhos, 1 bastante grandes e podem prender facilmente pacotes grandes, mas o outro é metade do tamanho e um pouco pequeno. Teria sido bom incluir alguns clipes de tamanho médio que acho mais úteis ... nem muito grandes nem p"&amp;"equenos. Mas, no geral, boa qualidade e resistente, daí 4 estrelas.")</f>
        <v>Está tudo bem até agora., Este produto foi incrível e fácil de usar., Usei esse pedido anterior de repetição. Tamanhos diferentes fazem com que ele use para vários itens de despensa., Bom, é útil., Gosto desses produtos por um longo tempo quando nós estavam em Londres. Produtos de boa qualidade., Um salva -vidas quando você fica sem recipientes. Não é muito resistente como o que você obtém no miniso, mas também não é ruim. A qualidade é muito boa a um preço acessível, esses são bons clipes sólidos e resistentes. Os clipes estão em 2 tamanhos, 1 bastante grandes e podem prender facilmente pacotes grandes, mas o outro é metade do tamanho e um pouco pequeno. Teria sido bom incluir alguns clipes de tamanho médio que acho mais úteis ... nem muito grandes nem pequenos. Mas, no geral, boa qualidade e resistente, daí 4 estrelas.</v>
      </c>
    </row>
    <row r="1130">
      <c r="A1130" s="9" t="s">
        <v>4542</v>
      </c>
      <c r="B1130" s="29" t="str">
        <f>VLOOKUP(dados!A1130, reviews!A:G, 5, FALSE)</f>
        <v>Wrong battery,It's working,Good,Ordinary product,Good,Poor packing not expected from a reputed brand like HUL😣😣😣,Water purifier,upset with product not good</v>
      </c>
      <c r="C1130" s="29" t="str">
        <f>VLOOKUP(dados!A1130, reviews!A:G, 6, FALSE)</f>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v>
      </c>
      <c r="D1130" s="29" t="str">
        <f>IFERROR(__xludf.DUMMYFUNCTION("GOOGLETRANSLATE(B1130, ""en"", ""pt-br"")"),"Bateria errada, está funcionando, bom, produto comum, bom e ruim embalagem não esperado de uma marca de renome como Hul😣😣😣, purificador de água, chateado com produto não bom")</f>
        <v>Bateria errada, está funcionando, bom, produto comum, bom e ruim embalagem não esperado de uma marca de renome como Hul😣😣😣, purificador de água, chateado com produto não bom</v>
      </c>
      <c r="E1130" s="29" t="str">
        <f>IFERROR(__xludf.DUMMYFUNCTION("GOOGLETRANSLATE(C1130, ""en"", ""pt-br"")"),"A bateria não estava adequada, desta vez os filtros têm alguma alteração no design e filtram a água mais rapidamente, não entendo por que a Amazon o enviou com o pacote de itens diretos em vez de embalagem, bom, regular e útil produto, a qualidade do prod"&amp;"uto está indo Dia após dia, bom, a embalagem de produtos não é profissional, nem tudo é esperado de uma marca de renome como Hul, Nice, Not Good Product")</f>
        <v>A bateria não estava adequada, desta vez os filtros têm alguma alteração no design e filtram a água mais rapidamente, não entendo por que a Amazon o enviou com o pacote de itens diretos em vez de embalagem, bom, regular e útil produto, a qualidade do produto está indo Dia após dia, bom, a embalagem de produtos não é profissional, nem tudo é esperado de uma marca de renome como Hul, Nice, Not Good Product</v>
      </c>
    </row>
    <row r="1131">
      <c r="A1131" s="9" t="s">
        <v>4549</v>
      </c>
      <c r="B1131" s="29" t="str">
        <f>VLOOKUP(dados!A1131, reviews!A:G, 5, FALSE)</f>
        <v>Good product,Nice product up to the mark,Good one,Excellent,Water purifier,Good,Super,Good it helping us</v>
      </c>
      <c r="C1131" s="29" t="str">
        <f>VLOOKUP(dados!A1131, reviews!A:G, 6, FALSE)</f>
        <v>Nice product, value of money,Nice,I have received the product with broken seal. Otherwise purchase is ok.,100%,Nice,Good,Super super super super,Good</v>
      </c>
      <c r="D1131" s="29" t="str">
        <f>IFERROR(__xludf.DUMMYFUNCTION("GOOGLETRANSLATE(B1131, ""en"", ""pt-br"")"),"Bom produto, bom produto até a marca, bom, excelente, purificador de água, bom, super, bom, ajudando -nos")</f>
        <v>Bom produto, bom produto até a marca, bom, excelente, purificador de água, bom, super, bom, ajudando -nos</v>
      </c>
      <c r="E1131" s="29" t="str">
        <f>IFERROR(__xludf.DUMMYFUNCTION("GOOGLETRANSLATE(C1131, ""en"", ""pt-br"")"),"Bom produto, valor do dinheiro, bom, recebi o produto com selo quebrado. Caso contrário, a compra está ok., 100%, bom, bom, super super super, bom")</f>
        <v>Bom produto, valor do dinheiro, bom, recebi o produto com selo quebrado. Caso contrário, a compra está ok., 100%, bom, bom, super super super, bom</v>
      </c>
    </row>
    <row r="1132">
      <c r="A1132" s="9" t="s">
        <v>4555</v>
      </c>
      <c r="B1132" s="29" t="str">
        <f>VLOOKUP(dados!A1132, reviews!A:G, 5, FALSE)</f>
        <v>Juicer is not effective,Ok good,Products quality very  good,Coupler stopped working within 2 months of buying,It is good,Good to buy,Good,Weight less</v>
      </c>
      <c r="C1132" s="29" t="str">
        <f>VLOOKUP(dados!A1132, reviews!A:G, 6, FALSE)</f>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v>
      </c>
      <c r="D1132" s="29" t="str">
        <f>IFERROR(__xludf.DUMMYFUNCTION("GOOGLETRANSLATE(B1132, ""en"", ""pt-br"")"),"Juicer não é eficaz, ok bom, produtos de produtos muito bons, o acoplador parou de funcionar dentro de 2 meses após a compra, é bom, bom comprar, bom, peso menos")</f>
        <v>Juicer não é eficaz, ok bom, produtos de produtos muito bons, o acoplador parou de funcionar dentro de 2 meses após a compra, é bom, bom comprar, bom, peso menos</v>
      </c>
      <c r="E1132" s="29" t="str">
        <f>IFERROR(__xludf.DUMMYFUNCTION("GOOGLETRANSLATE(C1132, ""en"", ""pt-br"")"),"Juicer não é eficaz, OK BOM, https: //m.media-amazon.com/images/w/webp_402378-t1/images/i/61z62he3yyl._sy88.jpg, não esperava um produto de prestígio para parar de trabalhar em 2 meses de compra. O acoplador não está girando. Tentou redefinir. Ainda não f"&amp;"unciona. Que desperdício de dinheiro dessa marca, bom, boa qualidadeworth para comprá -lo, fácil uso e limpo, mas é muito barulhento não pode usar se você tiver um bebê pequeno que os acordará se eles estão dormindo, o motor soa pesado")</f>
        <v>Juicer não é eficaz, OK BOM, https: //m.media-amazon.com/images/w/webp_402378-t1/images/i/61z62he3yyl._sy88.jpg, não esperava um produto de prestígio para parar de trabalhar em 2 meses de compra. O acoplador não está girando. Tentou redefinir. Ainda não funciona. Que desperdício de dinheiro dessa marca, bom, boa qualidadeworth para comprá -lo, fácil uso e limpo, mas é muito barulhento não pode usar se você tiver um bebê pequeno que os acordará se eles estão dormindo, o motor soa pesado</v>
      </c>
    </row>
    <row r="1133">
      <c r="A1133" s="9" t="s">
        <v>4559</v>
      </c>
      <c r="B1133" s="29" t="str">
        <f>VLOOKUP(dados!A1133, reviews!A:G, 5, FALSE)</f>
        <v>My sister is very happy with the performance of this item . Good buy and good deal,Product is good,Good,Great product,Good product,Good quality product but price is too high,Value for money,Good</v>
      </c>
      <c r="C1133" s="29" t="str">
        <f>VLOOKUP(dados!A1133, reviews!A:G, 6, FALSE)</f>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v>
      </c>
      <c r="D1133" s="29" t="str">
        <f>IFERROR(__xludf.DUMMYFUNCTION("GOOGLETRANSLATE(B1133, ""en"", ""pt-br"")"),"Minha irmã está muito feliz com o desempenho deste item. Boa compra e bom negócio, o produto é bom, bom, ótimo produto, bom produto, produto de boa qualidade, mas o preço é muito alto, valor ao dinheiro, bom")</f>
        <v>Minha irmã está muito feliz com o desempenho deste item. Boa compra e bom negócio, o produto é bom, bom, ótimo produto, bom produto, produto de boa qualidade, mas o preço é muito alto, valor ao dinheiro, bom</v>
      </c>
      <c r="E1133" s="29" t="str">
        <f>IFERROR(__xludf.DUMMYFUNCTION("GOOGLETRANSLATE(C1133, ""en"", ""pt-br"")"),"Boa compra e grande coisa, eu prefiro, eles deveriam ter dado a opção para remover a lâmina. Porque, a limpeza será fácil. Caso contrário, o produto é bom, bom, bom produto, já usou esse produto agradável, bom, já faz dois meses que trouxemos o item e até"&amp;" agora não há problemas encontrados com moagem ou limpeza. O nível de ruído é gerenciável., Bom")</f>
        <v>Boa compra e grande coisa, eu prefiro, eles deveriam ter dado a opção para remover a lâmina. Porque, a limpeza será fácil. Caso contrário, o produto é bom, bom, bom produto, já usou esse produto agradável, bom, já faz dois meses que trouxemos o item e até agora não há problemas encontrados com moagem ou limpeza. O nível de ruído é gerenciável., Bom</v>
      </c>
    </row>
    <row r="1134">
      <c r="A1134" s="9" t="s">
        <v>4563</v>
      </c>
      <c r="B1134" s="29" t="str">
        <f>VLOOKUP(dados!A1134, reviews!A:G, 5, FALSE)</f>
        <v>Highly displayed,Very convenient for egg boiling,Good produvt,Good,Nice 👍👍👍👍👍,Fitting issue,Quality of item,Auto-cut stopped working after 10 days</v>
      </c>
      <c r="C1134" s="29" t="str">
        <f>VLOOKUP(dados!A1134, reviews!A:G, 6, FALSE)</f>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v>
      </c>
      <c r="D1134" s="29" t="str">
        <f>IFERROR(__xludf.DUMMYFUNCTION("GOOGLETRANSLATE(B1134, ""en"", ""pt-br"")"),"Altamente exibido, muito conveniente para ebulição de ovos, bom produto, bom, bom 👍👍👍👍👍, problema de ajuste, qualidade do item, corte automático parou de funcionar após 10 dias")</f>
        <v>Altamente exibido, muito conveniente para ebulição de ovos, bom produto, bom, bom 👍👍👍👍👍, problema de ajuste, qualidade do item, corte automático parou de funcionar após 10 dias</v>
      </c>
      <c r="E1134" s="29" t="str">
        <f>IFERROR(__xludf.DUMMYFUNCTION("GOOGLETRANSLATE(C1134, ""en"", ""pt-br"")"),"Nada mal, não é bom ,, leva 12 minutos para fazer com que ferva todos os ovos. O item é bom. No geral, um produto OK, mas o corte automático parou de funcionar após 7 dias e a luz também não funciona corretamente. Então você tem que ser cauteloso e espera"&amp;"r o tempo.")</f>
        <v>Nada mal, não é bom ,, leva 12 minutos para fazer com que ferva todos os ovos. O item é bom. No geral, um produto OK, mas o corte automático parou de funcionar após 7 dias e a luz também não funciona corretamente. Então você tem que ser cauteloso e esperar o tempo.</v>
      </c>
    </row>
    <row r="1135">
      <c r="A1135" s="9" t="s">
        <v>4567</v>
      </c>
      <c r="B1135" s="29" t="str">
        <f>VLOOKUP(dados!A1135, reviews!A:G, 5, FALSE)</f>
        <v>5 star,LED light is not there.,Nice look,Better,Nice,Worthy product,Nice product,Noice very high improve that first priority</v>
      </c>
      <c r="C1135" s="29" t="str">
        <f>VLOOKUP(dados!A1135, reviews!A:G, 6, FALSE)</f>
        <v>Superb,,Easy to use and low sound hearing good look,Value of the money,Good product,Fine grinding,Nice product,Good</v>
      </c>
      <c r="D1135" s="29" t="str">
        <f>IFERROR(__xludf.DUMMYFUNCTION("GOOGLETRANSLATE(B1135, ""en"", ""pt-br"")"),"5 estrelas, a luz de LED não está lá., Boa aparência, melhor, bom, produto digno, produto agradável, não é muito alto melhorar essa primeira prioridade")</f>
        <v>5 estrelas, a luz de LED não está lá., Boa aparência, melhor, bom, produto digno, produto agradável, não é muito alto melhorar essa primeira prioridade</v>
      </c>
      <c r="E1135" s="29" t="str">
        <f>IFERROR(__xludf.DUMMYFUNCTION("GOOGLETRANSLATE(C1135, ""en"", ""pt-br"")"),"Soberbo ,, Fácil de usar e baixo som, ouvindo boa aparência, valor do dinheiro, bom produto, moagem fina, bom produto, bom")</f>
        <v>Soberbo ,, Fácil de usar e baixo som, ouvindo boa aparência, valor do dinheiro, bom produto, moagem fina, bom produto, bom</v>
      </c>
    </row>
    <row r="1136">
      <c r="A1136" s="9" t="s">
        <v>4571</v>
      </c>
      <c r="B1136" s="29" t="str">
        <f>VLOOKUP(dados!A1136, reviews!A:G, 5, FALSE)</f>
        <v>In one use there is a burning spot in level of cooker.,Great product but having some minor concerns,साथ मे इसके सहायक पॉट्स नही निकले है कृपया भिजबने का कस्ट करे इसके बिना इसका यूज़ नही हो पा रहा है,It is small and atractive,Expensive,Good one,It's no easy to use,Amazing product for baby and adults both</v>
      </c>
      <c r="C1136" s="29" t="str">
        <f>VLOOKUP(dados!A1136, reviews!A:G, 6, FALSE)</f>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great.,उपरोक्त,It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v>
      </c>
      <c r="D1136" s="29" t="str">
        <f>IFERROR(__xludf.DUMMYFUNCTION("GOOGLETRANSLATE(B1136, ""en"", ""pt-br"")"),"Em um uso, há um ponto de queimação em nível de fogão., Ótimo produto, mas com algumas preocupações menores, साथ मे सह सहायक पॉट्स नही निकले है कृपया भिजबने का कस्ट करे इसके बिना इसका यूज़ हो हो पundo हाट कक इसके इसके बिना इसका यूज़ नही हो पा हा हा है है "&amp;"इसके इसके बिना इसका यूज़ नही हो पा हा हा है है इसके इसके बिना इसका यूज़ नही हो पा हा हा है है इसके इसके बिना इसक इसका यूज़ नही हो पा हा हा है है इसके इसके बिनाr इसक इसका यूज़ हो प पा हा हा है है, é pequeno e atrute , Caro, bom, não é fácil de usar produto"&amp;"s incríveis para bebês e adultos ambos")</f>
        <v>Em um uso, há um ponto de queimação em nível de fogão., Ótimo produto, mas com algumas preocupações menores, साथ मे सह सहायक पॉट्स नही निकले है कृपया भिजबने का कस्ट करे इसके बिना इसका यूज़ हो हो पundo हाट कक इसके इसके बिना इसका यूज़ नही हो पा हा हा है है इसके इसके बिना इसका यूज़ नही हो पा हा हा है है इसके इसके बिना इसका यूज़ नही हो पा हा हा है है इसके इसके बिना इसक इसका यूज़ नही हो पा हा हा है है इसके इसके बिनाr इसक इसका यूज़ हो प पा हा हा है है, é pequeno e atrute , Caro, bom, não é fácil de usar produtos incríveis para bebês e adultos ambos</v>
      </c>
      <c r="E1136" s="29" t="str">
        <f>IFERROR(__xludf.DUMMYFUNCTION("GOOGLETRANSLATE(C1136, ""en"", ""pt-br"")"),"É grande para o propósito de viagem Outros sábios é bom, se você viajar de lado com seu bebê, então será a melhor opção para você pegá -lo e usá -lo para água quente e khechadi. Além disso, você pode fazer Itili nisso. Uma pequena preocupação Este produto"&amp;" é sensível à água, significa que, se quiser cozinhar alimentos sem água, ele arrancará automaticamente. Oil.São você não pode fritar nada nele. Somente você pode fazer usando água. Tudo o que pode ser feito usando isso é feito usando -o. Então, mantenha "&amp;"isso em sua mente enquanto compra este item.Apart Form isso tudo funciona muito bem., उपरोक्त, é bom para uma família pequena e fácil de limpar. pelo menos 2 meier cordão para uso imediato e mak eplace para o cordão de movimento 360., o tamanho é muito pe"&amp;"queno ..., acho que é um bom produto, tive que devolvê -lo, porque fora do tamanho, é muito pequeno e duvido que seja útil para Cozinha de arroz, é bom para cozinhar e ferver, não era usar e a qualidade dos moldes etc é muito ruim ... processo complicado "&amp;"de quanta água para preencher instruções claras sobre cozinhar,")</f>
        <v>É grande para o propósito de viagem Outros sábios é bom, se você viajar de lado com seu bebê, então será a melhor opção para você pegá -lo e usá -lo para água quente e khechadi. Além disso, você pode fazer Itili nisso. Uma pequena preocupação Este produto é sensível à água, significa que, se quiser cozinhar alimentos sem água, ele arrancará automaticamente. Oil.São você não pode fritar nada nele. Somente você pode fazer usando água. Tudo o que pode ser feito usando isso é feito usando -o. Então, mantenha isso em sua mente enquanto compra este item.Apart Form isso tudo funciona muito bem., उपरोक्त, é bom para uma família pequena e fácil de limpar. pelo menos 2 meier cordão para uso imediato e mak eplace para o cordão de movimento 360., o tamanho é muito pequeno ..., acho que é um bom produto, tive que devolvê -lo, porque fora do tamanho, é muito pequeno e duvido que seja útil para Cozinha de arroz, é bom para cozinhar e ferver, não era usar e a qualidade dos moldes etc é muito ruim ... processo complicado de quanta água para preencher instruções claras sobre cozinhar,</v>
      </c>
    </row>
    <row r="1137">
      <c r="A1137" s="9" t="s">
        <v>4577</v>
      </c>
      <c r="B1137" s="29" t="str">
        <f>VLOOKUP(dados!A1137, reviews!A:G, 5, FALSE)</f>
        <v>Great for smoothies and shakes,Very good products,Very nice portable and easy to wash blender,Good product,Great build quality,Good,This  item made my day,Good product</v>
      </c>
      <c r="C1137" s="29" t="str">
        <f>VLOOKUP(dados!A1137, reviews!A:G, 6, FALSE)</f>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v>
      </c>
      <c r="D1137" s="29" t="str">
        <f>IFERROR(__xludf.DUMMYFUNCTION("GOOGLETRANSLATE(B1137, ""en"", ""pt-br"")"),"Ótimo para smoothies e shakes, produtos muito bons, muito agradáveis ​​e fáceis de lavar o liquidificador, bom produto, ótima qualidade de construção, bom, este item fez meu dia, bom produto")</f>
        <v>Ótimo para smoothies e shakes, produtos muito bons, muito agradáveis ​​e fáceis de lavar o liquidificador, bom produto, ótima qualidade de construção, bom, este item fez meu dia, bom produto</v>
      </c>
      <c r="E1137" s="29" t="str">
        <f>IFERROR(__xludf.DUMMYFUNCTION("GOOGLETRANSLATE(C1137, ""en"", ""pt-br"")"),"Eu uso isso há cerca de seis meses. É bastante útil e é capaz de fazer bons shakes e smoothies de frutas. Eu adiciono alguns cubos de gelo e ele consegue esmagá -los, mas precisa de mais de um ciclo. A duração da bateria é aceitável, carrego após cada 5-6"&amp;" usar. O motor funciona integral o tempo todo, pensei que seria capaz de saber quando a bateria fica baixa, mas não, simplesmente parará no último segundo sem nenhuma maneira de saber se está ficando baixa. Inicialmente, me perguntei se a porta de carrega"&amp;"mento exposta levaria a quaisquer problemas ou não, mas tomei cuidado com isso e não tive problemas. Acho que é um produto ótimo e útil para uma pessoa. Obtenha um liquidificador não portável, se quiser usá-lo para misturar substâncias duras e secas ou pa"&amp;"ra várias pessoas., Fácil de usar, o melhor liquidificador usado até agora, ótimo produto. Muito compacto e fácil de transportar. Não pode misturar itens difíceis, mas funciona para smoothies de frutas macios ou milk -shakes. Gostamos deste produto, a con"&amp;"strução é sólida. E o motor é poderoso o suficiente para seu propósito. Teria sido perfeito se a porta de carregamento não estivesse exposta., Boa boa pessoa, estou usando este produto desde a 2Weeks.T está bem até agora. Estou usando isso apenas para o m"&amp;"ilk shake com apenas banana.")</f>
        <v>Eu uso isso há cerca de seis meses. É bastante útil e é capaz de fazer bons shakes e smoothies de frutas. Eu adiciono alguns cubos de gelo e ele consegue esmagá -los, mas precisa de mais de um ciclo. A duração da bateria é aceitável, carrego após cada 5-6 usar. O motor funciona integral o tempo todo, pensei que seria capaz de saber quando a bateria fica baixa, mas não, simplesmente parará no último segundo sem nenhuma maneira de saber se está ficando baixa. Inicialmente, me perguntei se a porta de carregamento exposta levaria a quaisquer problemas ou não, mas tomei cuidado com isso e não tive problemas. Acho que é um produto ótimo e útil para uma pessoa. Obtenha um liquidificador não portável, se quiser usá-lo para misturar substâncias duras e secas ou para várias pessoas., Fácil de usar, o melhor liquidificador usado até agora, ótimo produto. Muito compacto e fácil de transportar. Não pode misturar itens difíceis, mas funciona para smoothies de frutas macios ou milk -shakes. Gostamos deste produto, a construção é sólida. E o motor é poderoso o suficiente para seu propósito. Teria sido perfeito se a porta de carregamento não estivesse exposta., Boa boa pessoa, estou usando este produto desde a 2Weeks.T está bem até agora. Estou usando isso apenas para o milk shake com apenas banana.</v>
      </c>
    </row>
    <row r="1138">
      <c r="A1138" s="9" t="s">
        <v>4581</v>
      </c>
      <c r="B1138" s="29" t="str">
        <f>VLOOKUP(dados!A1138, reviews!A:G, 5, FALSE)</f>
        <v>Lightweight Dry Iron,Best Iron on cheap rate,Simple and good,Good Product in this price range. However, I recevied a bit damaged product at the handle.,Good,Amazing product,Hot11,Not happy with performance</v>
      </c>
      <c r="C1138" s="29" t="str">
        <f>VLOOKUP(dados!A1138, reviews!A:G, 6, FALSE)</f>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v>
      </c>
      <c r="D1138" s="29" t="str">
        <f>IFERROR(__xludf.DUMMYFUNCTION("GOOGLETRANSLATE(B1138, ""en"", ""pt-br"")"),"Ferro seco leve, o melhor ferro na taxa barata, um bom produto simples e bom nessa faixa de preço. No entanto, recebi um produto um pouco danificado na alça., Bom e incrível produto, Hot11, não feliz com a performance")</f>
        <v>Ferro seco leve, o melhor ferro na taxa barata, um bom produto simples e bom nessa faixa de preço. No entanto, recebi um produto um pouco danificado na alça., Bom e incrível produto, Hot11, não feliz com a performance</v>
      </c>
      <c r="E1138" s="29" t="str">
        <f>IFERROR(__xludf.DUMMYFUNCTION("GOOGLETRANSLATE(C1138, ""en"", ""pt-br"")"),"Bom produto para passar a seco básica e um deve ter para cada casa. O ccontrol de temperatura não é tão bom e poderia ter sido um botão em vez de um disco circular que todo mundo faz. Inovação? No geral, eu recomendaria o produto THSI, pois ele faz toda a"&amp;" sua passagem seca básica e melhor do que Philips I Bogutht em algum momento que tem uma borda de aço afiada que meio que rasga roupas macias. Eu recomendo Usha., Eu já havia comprado em 2018 que estava funcionando bem nos últimos 4 anos e consegui empreg"&amp;"o em um lugar diferente, pedi novamente, valendo dinheiro., Valorizando por dinheiro, bom produto nessa faixa de preço. No entanto, recebi um produto um pouco danificado na alça. THROUG, eu consertei e usando., Produto muito bom, é um produto incrível nes"&amp;"sa faixa de preço .... a qualidade é boa também parece boa ... fácil de usar e um bom produto em geral ........., Bom, o produto não está aquecendo aa por expectativas e, portanto, não está passando bem")</f>
        <v>Bom produto para passar a seco básica e um deve ter para cada casa. O ccontrol de temperatura não é tão bom e poderia ter sido um botão em vez de um disco circular que todo mundo faz. Inovação? No geral, eu recomendaria o produto THSI, pois ele faz toda a sua passagem seca básica e melhor do que Philips I Bogutht em algum momento que tem uma borda de aço afiada que meio que rasga roupas macias. Eu recomendo Usha., Eu já havia comprado em 2018 que estava funcionando bem nos últimos 4 anos e consegui emprego em um lugar diferente, pedi novamente, valendo dinheiro., Valorizando por dinheiro, bom produto nessa faixa de preço. No entanto, recebi um produto um pouco danificado na alça. THROUG, eu consertei e usando., Produto muito bom, é um produto incrível nessa faixa de preço .... a qualidade é boa também parece boa ... fácil de usar e um bom produto em geral ........., Bom, o produto não está aquecendo aa por expectativas e, portanto, não está passando bem</v>
      </c>
    </row>
    <row r="1139">
      <c r="A1139" s="9" t="s">
        <v>4585</v>
      </c>
      <c r="B1139" s="29" t="str">
        <f>VLOOKUP(dados!A1139, reviews!A:G, 5, FALSE)</f>
        <v>Good product,Working fine,Best hand blender,Good product,Nice product,Good Product,Nice gadget for simple use.,Defected product recieved have put it on replacement</v>
      </c>
      <c r="C1139" s="29" t="str">
        <f>VLOOKUP(dados!A1139, reviews!A:G, 6, FALSE)</f>
        <v>Good product,Everything is okay but it’s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v>
      </c>
      <c r="D1139" s="29" t="str">
        <f>IFERROR(__xludf.DUMMYFUNCTION("GOOGLETRANSLATE(B1139, ""en"", ""pt-br"")"),"Bom produto, funcionando bem, melhor liquidificador de mão, bom produto, bom produto, bom produto, gadget agradável para uso simples., Produto deserto recebido o colocaram na substituição")</f>
        <v>Bom produto, funcionando bem, melhor liquidificador de mão, bom produto, bom produto, bom produto, gadget agradável para uso simples., Produto deserto recebido o colocaram na substituição</v>
      </c>
      <c r="E1139" s="29" t="str">
        <f>IFERROR(__xludf.DUMMYFUNCTION("GOOGLETRANSLATE(C1139, ""en"", ""pt-br"")"),"Bom produto, está tudo bem, mas está aumentando o calor no trabalho., O que observo em alguns dias para usar com este liquidificador de mão Kent, que é um design muito elegante e bem construído com corpo de aço e há alguns problemas com isso. Tornou -se m"&amp;"uito quente em 15 minutos de execução contínua que você não consegue tocar isso e está com o botão de pressão que você precisa para executar o botão. , fácil de limpar, tendo usado isso há 6 meses, de acordo com o padrão e é fácil de limpar. Mas superando"&amp;" que o Headed se usarmos por mais de 5 min. E o tempo de resfriamento é mais., O vendedor deve verificar o item antes do envio, reduzirá o feedback negetivo e também retornará o envio extra de cobrança será reduzida a eles. Nenhuma vai tomar um produto de"&amp;"feituoso.")</f>
        <v>Bom produto, está tudo bem, mas está aumentando o calor no trabalho., O que observo em alguns dias para usar com este liquidificador de mão Kent, que é um design muito elegante e bem construído com corpo de aço e há alguns problemas com isso. Tornou -se muito quente em 15 minutos de execução contínua que você não consegue tocar isso e está com o botão de pressão que você precisa para executar o botão. , fácil de limpar, tendo usado isso há 6 meses, de acordo com o padrão e é fácil de limpar. Mas superando que o Headed se usarmos por mais de 5 min. E o tempo de resfriamento é mais., O vendedor deve verificar o item antes do envio, reduzirá o feedback negetivo e também retornará o envio extra de cobrança será reduzida a eles. Nenhuma vai tomar um produto defeituoso.</v>
      </c>
    </row>
    <row r="1140">
      <c r="A1140" s="9" t="s">
        <v>4589</v>
      </c>
      <c r="B1140" s="29" t="str">
        <f>VLOOKUP(dados!A1140, reviews!A:G, 5, FALSE)</f>
        <v>Very useful product and value for money,Not working,Don't buy,Valuable product,Not working useless product,Return</v>
      </c>
      <c r="C1140" s="29" t="str">
        <f>VLOOKUP(dados!A1140, reviews!A:G, 6, FALSE)</f>
        <v>Very useful product and value for money,Its not working,Don't buy,We vacuum-sealed ground beef, walnuts, raspberries, pork chops, crackers, and chips to test for suction capability, sealing strength, and ease of use.,Tried many times but still not working useless,</v>
      </c>
      <c r="D1140" s="29" t="str">
        <f>IFERROR(__xludf.DUMMYFUNCTION("GOOGLETRANSLATE(B1140, ""en"", ""pt-br"")"),"Produto e valor muito úteis para dinheiro, não funcionando, não compre, produto valioso, não trabalhando produtos inúteis, devolver")</f>
        <v>Produto e valor muito úteis para dinheiro, não funcionando, não compre, produto valioso, não trabalhando produtos inúteis, devolver</v>
      </c>
      <c r="E1140" s="29" t="str">
        <f>IFERROR(__xludf.DUMMYFUNCTION("GOOGLETRANSLATE(C1140, ""en"", ""pt-br"")"),"Produto e valor muito úteis para dinheiro, não está funcionando, não compre, nós aspiramos carne moída, nozes, framboesas, costeletas de porco, biscoitos e batatas fritas para testar a capacidade de sucção, a força de vedação e a facilidade de uso., Tente"&amp;"i muitas vezes, mas ainda não trabalhando inútil,")</f>
        <v>Produto e valor muito úteis para dinheiro, não está funcionando, não compre, nós aspiramos carne moída, nozes, framboesas, costeletas de porco, biscoitos e batatas fritas para testar a capacidade de sucção, a força de vedação e a facilidade de uso., Tentei muitas vezes, mas ainda não trabalhando inútil,</v>
      </c>
    </row>
    <row r="1141">
      <c r="A1141" s="9" t="s">
        <v>4593</v>
      </c>
      <c r="B1141" s="29" t="str">
        <f>VLOOKUP(dados!A1141, reviews!A:G, 5, FALSE)</f>
        <v>It costs Rs 500 in local electric shop,Good product 👌,It's really a good product, required a better holding to pull it back from socket,Nice and excellent quality,Easy use,Nice product,Nice Product,Plug size</v>
      </c>
      <c r="C1141" s="29" t="str">
        <f>VLOOKUP(dados!A1141, reviews!A:G, 6, FALSE)</f>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v>
      </c>
      <c r="D1141" s="29" t="str">
        <f>IFERROR(__xludf.DUMMYFUNCTION("GOOGLETRANSLATE(B1141, ""en"", ""pt-br"")"),"Custa Rs 500 na loja elétrica local, bom produto 👌, é realmente um bom produto, exigiu uma melhor retenção para retirá -lo do soquete, boa e excelente qualidade, fácil uso, bom produto, bom produto, tamanho do plugue")</f>
        <v>Custa Rs 500 na loja elétrica local, bom produto 👌, é realmente um bom produto, exigiu uma melhor retenção para retirá -lo do soquete, boa e excelente qualidade, fácil uso, bom produto, bom produto, tamanho do plugue</v>
      </c>
      <c r="E1141" s="29" t="str">
        <f>IFERROR(__xludf.DUMMYFUNCTION("GOOGLETRANSLATE(C1141, ""en"", ""pt-br"")"),"Eu comprei dois deles, tive que pagar Rs. 650 por peça, verifiquei o preço na loja local ao lado, a mesma marca, o mesmo watt, a mesma peça estava disponível na loja por Rs 500, minha janela de retorno foi fechada até então, compre este produto da sua loj"&amp;"a local. Como o valor do produto pelo dinheiro, é muito bom. Há duas coisas que preciso lhe dizer. Não se encaixa no soquete normal. Você precisa ter um soquete de tamanho maior. O outro, para puxá -lo para trás da soquete de energia, não há aderência suf"&amp;"iciente. Essa é apenas a desvantagem. Obrigado, aquecendo água, valor do dinheiro, bom, usando isso dos últimos 2 anos. Sem queixas ainda. Bom produto., Plugue não adequado para a placa swich normal na Índia precisa de adaptador para isso")</f>
        <v>Eu comprei dois deles, tive que pagar Rs. 650 por peça, verifiquei o preço na loja local ao lado, a mesma marca, o mesmo watt, a mesma peça estava disponível na loja por Rs 500, minha janela de retorno foi fechada até então, compre este produto da sua loja local. Como o valor do produto pelo dinheiro, é muito bom. Há duas coisas que preciso lhe dizer. Não se encaixa no soquete normal. Você precisa ter um soquete de tamanho maior. O outro, para puxá -lo para trás da soquete de energia, não há aderência suficiente. Essa é apenas a desvantagem. Obrigado, aquecendo água, valor do dinheiro, bom, usando isso dos últimos 2 anos. Sem queixas ainda. Bom produto., Plugue não adequado para a placa swich normal na Índia precisa de adaptador para isso</v>
      </c>
    </row>
    <row r="1142">
      <c r="A1142" s="9" t="s">
        <v>4597</v>
      </c>
      <c r="B1142" s="29" t="str">
        <f>VLOOKUP(dados!A1142, reviews!A:G, 5, FALSE)</f>
        <v>Cute n handy product for small family ☺️,Good for small items,Easy to work with,Good product.....,Very good product,Compact for travel,very good,Ok</v>
      </c>
      <c r="C1142" s="29" t="str">
        <f>VLOOKUP(dados!A1142, reviews!A:G, 6, FALSE)</f>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v>
      </c>
      <c r="D1142" s="29" t="str">
        <f>IFERROR(__xludf.DUMMYFUNCTION("GOOGLETRANSLATE(B1142, ""en"", ""pt-br"")"),"Produto fofo n prático para família pequena ☺️, bom para itens pequenos, fácil de trabalhar, bom produto ....., muito bom produto, compacto para viagens, muito bom, ok")</f>
        <v>Produto fofo n prático para família pequena ☺️, bom para itens pequenos, fácil de trabalhar, bom produto ....., muito bom produto, compacto para viagens, muito bom, ok</v>
      </c>
      <c r="E1142" s="29" t="str">
        <f>IFERROR(__xludf.DUMMYFUNCTION("GOOGLETRANSLATE(C1142, ""en"", ""pt-br"")"),"Parece ser bom para a família pequena. Mas não sabe quanto tempo durará a bateria? Podemos comprar suas peças individuais, como bateria, porção de plástico inferior, caso algum dano aconteça? Ou a lâmina, se necessário? Para que se torne digno de compra e"&amp;" cliente também ficará feliz e satisfeito., É um pequeno e bom para pequenos itens cortando de cada vez como 1 tomate ou 1 cebola, funciona como um sonho., Fácil de usar .... ..., fácil de usar, muito útil para viajar, bom produto, às vezes o botão não es"&amp;"tá funcionando")</f>
        <v>Parece ser bom para a família pequena. Mas não sabe quanto tempo durará a bateria? Podemos comprar suas peças individuais, como bateria, porção de plástico inferior, caso algum dano aconteça? Ou a lâmina, se necessário? Para que se torne digno de compra e cliente também ficará feliz e satisfeito., É um pequeno e bom para pequenos itens cortando de cada vez como 1 tomate ou 1 cebola, funciona como um sonho., Fácil de usar .... ..., fácil de usar, muito útil para viajar, bom produto, às vezes o botão não está funcionando</v>
      </c>
    </row>
    <row r="1143">
      <c r="A1143" s="9" t="s">
        <v>4601</v>
      </c>
      <c r="B1143" s="29" t="str">
        <f>VLOOKUP(dados!A1143, reviews!A:G, 5, FALSE)</f>
        <v>Hassle free bagless vacuum cleaner | No more of maintaining/cleaning/replacing bags,Nice little vacuum cleaner but with a couple of drawbacks.,Simple and Effective,A,On the heavier side but satisfied with the product,Good quality, heavy noise,Great Product!,Awesome Cleaning Machine</v>
      </c>
      <c r="C1143" s="29" t="str">
        <f>VLOOKUP(dados!A1143, reviews!A:G, 6, FALSE)</f>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 INSIDE BOX•••••••••••••••••••1.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 OBSERVATIONS &amp; PROS•••••••••••••••••••••••••••••••••••••1. Device has high suction power and can be cleaned easily with a bagless design where dust collects in a chamber, and you can empty it in the dustbin—no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 OBSERVATIONS &amp; CONS•••••••••••••••••••••••••••••••••••••1.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 Attachments•••••••••••••••••••••••••••••••••••••-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 FINAL VERDICT•••••••••••••••••••••••This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‘Croma’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v>
      </c>
      <c r="D1143" s="29" t="str">
        <f>IFERROR(__xludf.DUMMYFUNCTION("GOOGLETRANSLATE(B1143, ""en"", ""pt-br"")"),"Hassle Free Bagless Astraum Cleaner | Não há mais de manutenção/limpeza/substituição de sacolas, um pouco de pó de pó, mas com algumas desvantagens. Máquina")</f>
        <v>Hassle Free Bagless Astraum Cleaner | Não há mais de manutenção/limpeza/substituição de sacolas, um pouco de pó de pó, mas com algumas desvantagens. Máquina</v>
      </c>
      <c r="E1143" s="29" t="str">
        <f>IFERROR(__xludf.DUMMYFUNCTION("GOOGLETRANSLATE(C1143, ""en"", ""pt-br"")"),"Depois de começar a usar um aspirador de pó sem saco, você nunca voltará (usá -lo semanalmente desde novembro de 2021, então é uma longa revisão de tern). Vindo de outro aspirador de aspirador que tinha sacolas, este é realmente um limpador sem complicaçõ"&amp;"es, pelo menos você está longe do incômodo de manter/limpar/substituir sacolas que são realmente uma bagunça, e você só entenderia se você usasse produtos de limpeza com sacos. Além disso, os dispositivos com sacos tendem a ser atendidos de vez em quando,"&amp;" levando a menos sucção. 1. Unidade de pó limpador2. Tubo flexível com escova retraceável integrada e botão de ajuste de sucção3. Turbo Brush Bico4. Bico multi-limpo5. Alta sucção no bico de entrada plana6. Tubo de extensão telescópica7. Manual do usuário"&amp;"8. Cartão de garantia O cabo de alimentação é ~ 6mtr e o dispositivo vem com um mecanismo para refazer -o de volta para a máquina. Possui tampo normal de 16 amp 2 pinos, que pode caber facilmente em soquetes de 3 ou 5 pinos (5/6 amp ou 15/16amp), mas é me"&amp;"lhor conectá-lo a 15/16 amp apenas considerando seu consumo de energia. •• ••••••••••••••••••••••••••••••••••••• ➕ Observações e profissionais •••••••••••••••••••••••••••• 1. O dispositivo possui alta potência de sucção e pode ser limpo facilmente com um "&amp;"design sem sacola, onde a poeira se acumula em uma câmara, e você pode esvaziá -lo no lixo - nenhum aborrecimento de limpeza e substituição de sacos.2. Os componentes são de alta qualidade, como a extensão telescópica, é metálica, embora também seja um go"&amp;"lpe para esse anexo. Até os componentes plásticos são de boa qualidade. O dispositivo se move facilmente devido às suas rodas grandes e suaves. Você não precisa puxá -lo por força. O próprio tubo flexível padrão é longo e possui um pincel integrado que ta"&amp;"mbém pode ser retraído. É um acessório altamente útil, considerando que está anexado a um tubo flexível primário e está facilmente disponível para uso. Cada anexo aqui é multiuso. Quando você abre o pacote, você sente que poucos anexos são fornecidos, mas"&amp;" quando começa a explorar, descobre que todos os anexos são multiuso. (Detalhes abaixo) 6. Os anexos são fáceis de encaixar e remover (ActiveLock na terminologia da empresa). Depois de inserir os anexos, ele clique em Bloqueios e pode ser removido por um "&amp;"botão Pressione um botão ou alavanca de liberação.7. Tanto o pincel turbo quanto o multi-bordo têm pescoço flexível e rodas na parte inferior para facilitar o movimento e a limpeza eficaz8. O coletor de poeira pode ser aberto com uma imprensa e possui fil"&amp;"tros removíveis conectados a ele. Esses filtros podem ser lavados de vez em quando para evitar entupimento. A unidade principal possui sistema de filtro H13 para filtrar poeira fina, ácaros, etc., e é equivalente ao HEPA 13, conforme a empresa. Este filtr"&amp;"o é acessível a partir da parte traseira para fins de limpeza. O dispositivo obviamente faz o som, mas não está na faixa de causar irritação aos ouvidos. Está na faixa suportável. 19 A extensão telescópica é metálica e pesada. Portanto, é um pouco difícil"&amp;" de usar para durações mais longas, especialmente quando você está tentando limpar os tetos. A redução da potência de sucção é através de uma válvula de desvio embutida no tubo flexível e não tem como reduzir a potência da máquina para reduzir a sucção. T"&amp;"ão efetivamente, essa válvula faz com que mais limpa o ar para reduzir a sucção no final, mas depois consome a mesma quantidade de energia. Se houvesse um mecanismo de controle para reduzir a energia, também economizaria eletricidade. O dispositivo vem co"&amp;"m um topo de 16 ampadeiro, mas seus 2 pinos; portanto, se você o usar com soquetes de energia modulares com mecanismo de fechamento auto-fechamento para orifícios, será um problema de conectá-lo a cada vez. Sinto falta do sistema de soprador nesse limpado"&amp;"r, que às vezes é útil (estava lá no meu limpador anterior). Eles poderiam ter implementado facilmente. Para os contras, reduzindo 1 estrela, mas é definitivamente um dispositivo de 4 estrelas. 🔧 🔧 Anexos •••••••••••••••••••••••••••••••••••••••••••••• 1"&amp;"9 O tubo Flexbile vem com um pincel integrado e você pode retirá-lo facilmente no bico multi-proposto com um botão para aumentar sua potência de sucção e, com uma prensa, ele se aproxima do bico de pincel de piso Turbo, varre o piso ou o colchão Com cerda"&amp;"s rotativas ao longo do comprimento e, se você quiser desligar a rotação do pincel, há um botão para travá-lo- a unidade principal possui um sistema na parte traseira e no lado do Botton para conectar o bico multi-limpo e turbo principalmente Para fins de"&amp;" varredura fácil ou para fins de armazenamento ••••••••••••••••••••••••• 🏆 VERDICT FINAL ••••••••••••••••• ••••••• Este aspirador sem saco é um dispositivo sem complicações e requer muito menos manutenção, mas tem um custo e, se você estiver disposto a e"&amp;"sticar seu orçamento, definitivamente vale a pena. Até agora, não tive nenhum problema no último ano, ao usá -lo regularmente., Esta é uma boa bolsa menos limpador de vácios com um pincel rotativo que faz um ótimo trabalho de limpeza. Ele também vem com u"&amp;"m bom conjunto de acessórios. Achei também mais barato encomendá -lo on -line em comparação com a loja 'Croma'. Duas desvantagens (não um rompimento de acordo) que encontrei e espero que a Philips os endereçassem, 1. Ele vem com um plugue de dois pinos de"&amp;" 15 amperes e você precisa comprar um adaptador para usar com plugues normais de 5 amperes na casa. Eu tinha medo de usar o adaptador pensando que ele pode aquecer com o uso, mas não tinha problemas com o aquecimento do adaptador ou os plugues na parede d"&amp;"urante 15 a 20 minutos de limpeza de cada quarto da casa. Não vejo um ponto em ter esse plug.2. Durante o uso, apenas o puxa, mas não tem alça para levantar a máquina. Eu acredito que se pode usar o identificador do recipiente de poeira para levantar a má"&amp;"quina, mas tenho medo de que levantamento repetido como esse quebre o mecanismo de cliques, então acabou levantando a máquina como um todo o tempo todo enquanto move a máquina sem a mangueira. Como mencionei anteriormente estes não são quebradores de negó"&amp;"cios, mas o suficiente para tirar uma estrela e pode ter a estrela de volta se a Philips abordar os problemas nessa grande pequena máquina., O poder de sucção é bom para limpar o tapete, cortinas de janela, pisos e pisos e pisos e pisos Carpets.cleaning O"&amp;" recipiente de poeira também é muito fácil. A única preocupação que tenho é que, se algum cabo de alimentação de comprimento não for retirado da máquina, o fio elétrico que ainda é um pouco dentro da máquina está recebendo calor do motor de sucção, depois"&amp;" de usar a máquina por quase 1 hora e eu puxei o cordão que estava Na máquina, estava realmente quente para tocar, não é seguro que o cabo de alimentação viva se aqueça assim. Teria sido ainda melhor, se isso também tivesse funcionalidade do ventilador., "&amp;"bom produto, comprimento do cordão e poder de sucção é satisfatório, de boa qualidade, ruído pesado, este é a primeira compra de pó para mim e posso dizer que sou um cliente feliz . Comprei isso em agosto de 22 e está me servindo bem. Ele vem com acessóri"&amp;"os que são convenientes e atingem lugares altos, possui três modos de limpeza (pisos, tapetes e sofás) e com animais de estimação na casa, tornou minha vida muito mais fácil. Obrigado Phillips por um bom produto e obrigado Amazon por uma transação suave.,"&amp;" Qualidade bem construída e de primeira qualidade, o poder de sucção é muito alto.")</f>
        <v>Depois de começar a usar um aspirador de pó sem saco, você nunca voltará (usá -lo semanalmente desde novembro de 2021, então é uma longa revisão de tern). Vindo de outro aspirador de aspirador que tinha sacolas, este é realmente um limpador sem complicações, pelo menos você está longe do incômodo de manter/limpar/substituir sacolas que são realmente uma bagunça, e você só entenderia se você usasse produtos de limpeza com sacos. Além disso, os dispositivos com sacos tendem a ser atendidos de vez em quando, levando a menos sucção. 1. Unidade de pó limpador2. Tubo flexível com escova retraceável integrada e botão de ajuste de sucção3. Turbo Brush Bico4. Bico multi-limpo5. Alta sucção no bico de entrada plana6. Tubo de extensão telescópica7. Manual do usuário8. Cartão de garantia O cabo de alimentação é ~ 6mtr e o dispositivo vem com um mecanismo para refazer -o de volta para a máquina. Possui tampo normal de 16 amp 2 pinos, que pode caber facilmente em soquetes de 3 ou 5 pinos (5/6 amp ou 15/16amp), mas é melhor conectá-lo a 15/16 amp apenas considerando seu consumo de energia. •• ••••••••••••••••••••••••••••••••••••• ➕ Observações e profissionais •••••••••••••••••••••••••••• 1. O dispositivo possui alta potência de sucção e pode ser limpo facilmente com um design sem sacola, onde a poeira se acumula em uma câmara, e você pode esvaziá -lo no lixo - nenhum aborrecimento de limpeza e substituição de sacos.2. Os componentes são de alta qualidade, como a extensão telescópica, é metálica, embora também seja um golpe para esse anexo. Até os componentes plásticos são de boa qualidade. O dispositivo se move facilmente devido às suas rodas grandes e suaves. Você não precisa puxá -lo por força. O próprio tubo flexível padrão é longo e possui um pincel integrado que também pode ser retraído. É um acessório altamente útil, considerando que está anexado a um tubo flexível primário e está facilmente disponível para uso. Cada anexo aqui é multiuso. Quando você abre o pacote, você sente que poucos anexos são fornecidos, mas quando começa a explorar, descobre que todos os anexos são multiuso. (Detalhes abaixo) 6. Os anexos são fáceis de encaixar e remover (ActiveLock na terminologia da empresa). Depois de inserir os anexos, ele clique em Bloqueios e pode ser removido por um botão Pressione um botão ou alavanca de liberação.7. Tanto o pincel turbo quanto o multi-bordo têm pescoço flexível e rodas na parte inferior para facilitar o movimento e a limpeza eficaz8. O coletor de poeira pode ser aberto com uma imprensa e possui filtros removíveis conectados a ele. Esses filtros podem ser lavados de vez em quando para evitar entupimento. A unidade principal possui sistema de filtro H13 para filtrar poeira fina, ácaros, etc., e é equivalente ao HEPA 13, conforme a empresa. Este filtro é acessível a partir da parte traseira para fins de limpeza. O dispositivo obviamente faz o som, mas não está na faixa de causar irritação aos ouvidos. Está na faixa suportável. 19 A extensão telescópica é metálica e pesada. Portanto, é um pouco difícil de usar para durações mais longas, especialmente quando você está tentando limpar os tetos. A redução da potência de sucção é através de uma válvula de desvio embutida no tubo flexível e não tem como reduzir a potência da máquina para reduzir a sucção. Tão efetivamente, essa válvula faz com que mais limpa o ar para reduzir a sucção no final, mas depois consome a mesma quantidade de energia. Se houvesse um mecanismo de controle para reduzir a energia, também economizaria eletricidade. O dispositivo vem com um topo de 16 ampadeiro, mas seus 2 pinos; portanto, se você o usar com soquetes de energia modulares com mecanismo de fechamento auto-fechamento para orifícios, será um problema de conectá-lo a cada vez. Sinto falta do sistema de soprador nesse limpador, que às vezes é útil (estava lá no meu limpador anterior). Eles poderiam ter implementado facilmente. Para os contras, reduzindo 1 estrela, mas é definitivamente um dispositivo de 4 estrelas. 🔧 🔧 Anexos •••••••••••••••••••••••••••••••••••••••••••••• 19 O tubo Flexbile vem com um pincel integrado e você pode retirá-lo facilmente no bico multi-proposto com um botão para aumentar sua potência de sucção e, com uma prensa, ele se aproxima do bico de pincel de piso Turbo, varre o piso ou o colchão Com cerdas rotativas ao longo do comprimento e, se você quiser desligar a rotação do pincel, há um botão para travá-lo- a unidade principal possui um sistema na parte traseira e no lado do Botton para conectar o bico multi-limpo e turbo principalmente Para fins de varredura fácil ou para fins de armazenamento ••••••••••••••••••••••••• 🏆 VERDICT FINAL ••••••••••••••••• ••••••• Este aspirador sem saco é um dispositivo sem complicações e requer muito menos manutenção, mas tem um custo e, se você estiver disposto a esticar seu orçamento, definitivamente vale a pena. Até agora, não tive nenhum problema no último ano, ao usá -lo regularmente., Esta é uma boa bolsa menos limpador de vácios com um pincel rotativo que faz um ótimo trabalho de limpeza. Ele também vem com um bom conjunto de acessórios. Achei também mais barato encomendá -lo on -line em comparação com a loja 'Croma'. Duas desvantagens (não um rompimento de acordo) que encontrei e espero que a Philips os endereçassem, 1. Ele vem com um plugue de dois pinos de 15 amperes e você precisa comprar um adaptador para usar com plugues normais de 5 amperes na casa. Eu tinha medo de usar o adaptador pensando que ele pode aquecer com o uso, mas não tinha problemas com o aquecimento do adaptador ou os plugues na parede durante 15 a 20 minutos de limpeza de cada quarto da casa. Não vejo um ponto em ter esse plug.2. Durante o uso, apenas o puxa, mas não tem alça para levantar a máquina. Eu acredito que se pode usar o identificador do recipiente de poeira para levantar a máquina, mas tenho medo de que levantamento repetido como esse quebre o mecanismo de cliques, então acabou levantando a máquina como um todo o tempo todo enquanto move a máquina sem a mangueira. Como mencionei anteriormente estes não são quebradores de negócios, mas o suficiente para tirar uma estrela e pode ter a estrela de volta se a Philips abordar os problemas nessa grande pequena máquina., O poder de sucção é bom para limpar o tapete, cortinas de janela, pisos e pisos e pisos e pisos Carpets.cleaning O recipiente de poeira também é muito fácil. A única preocupação que tenho é que, se algum cabo de alimentação de comprimento não for retirado da máquina, o fio elétrico que ainda é um pouco dentro da máquina está recebendo calor do motor de sucção, depois de usar a máquina por quase 1 hora e eu puxei o cordão que estava Na máquina, estava realmente quente para tocar, não é seguro que o cabo de alimentação viva se aqueça assim. Teria sido ainda melhor, se isso também tivesse funcionalidade do ventilador., bom produto, comprimento do cordão e poder de sucção é satisfatório, de boa qualidade, ruído pesado, este é a primeira compra de pó para mim e posso dizer que sou um cliente feliz . Comprei isso em agosto de 22 e está me servindo bem. Ele vem com acessórios que são convenientes e atingem lugares altos, possui três modos de limpeza (pisos, tapetes e sofás) e com animais de estimação na casa, tornou minha vida muito mais fácil. Obrigado Phillips por um bom produto e obrigado Amazon por uma transação suave., Qualidade bem construída e de primeira qualidade, o poder de sucção é muito alto.</v>
      </c>
    </row>
    <row r="1144">
      <c r="A1144" s="9" t="s">
        <v>4605</v>
      </c>
      <c r="B1144" s="29" t="str">
        <f>VLOOKUP(dados!A1144, reviews!A:G, 5, FALSE)</f>
        <v>Good one,It’s effective,Amazing product for lint removal,Must for every household,Best use,Amazing product,Good product and easy to use,Easy to use</v>
      </c>
      <c r="C1144" s="29" t="str">
        <f>VLOOKUP(dados!A1144, reviews!A:G, 6, FALSE)</f>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use.👍,It is easy to use .</v>
      </c>
      <c r="D1144" s="29" t="str">
        <f>IFERROR(__xludf.DUMMYFUNCTION("GOOGLETRANSLATE(B1144, ""en"", ""pt-br"")"),"Bom, é um produto eficaz e incrível para remoção de fiapos, deve para cada família, melhor uso, produto incrível, bom produto e fácil de usar, fácil de usar")</f>
        <v>Bom, é um produto eficaz e incrível para remoção de fiapos, deve para cada família, melhor uso, produto incrível, bom produto e fácil de usar, fácil de usar</v>
      </c>
      <c r="E1144" s="29" t="str">
        <f>IFERROR(__xludf.DUMMYFUNCTION("GOOGLETRANSLATE(C1144, ""en"", ""pt-br"")"),"O chumbo deve ser forte, eu tive uma experiência fantástica do primeiro dia com este produto e, por causa do fio que funciona tão rapidamente que pretendo usá -lo com mais frequência., É um excelente produto a esse preço. Faz o que promete fazer. A melhor"&amp;" coisa sobre isso é que é fabricado na Índia e funciona com eletricidade e não baterias. Eu imediatamente tentei em duas abatidas que tinham muita descascada neles. Ele os limpou em pouco tempo e os tornou novos novamente. Eu recomendaria para todas as fa"&amp;"mílias., Use cheio para remover fiapos, uma compra muito útil e acessível torna o pano como novo depois de usá -lo, fácil de usar e faz o que afirma. trabalho promete. A qualidade de construção também parece boa e é fácil de usar. 👍, é fácil de usar.")</f>
        <v>O chumbo deve ser forte, eu tive uma experiência fantástica do primeiro dia com este produto e, por causa do fio que funciona tão rapidamente que pretendo usá -lo com mais frequência., É um excelente produto a esse preço. Faz o que promete fazer. A melhor coisa sobre isso é que é fabricado na Índia e funciona com eletricidade e não baterias. Eu imediatamente tentei em duas abatidas que tinham muita descascada neles. Ele os limpou em pouco tempo e os tornou novos novamente. Eu recomendaria para todas as famílias., Use cheio para remover fiapos, uma compra muito útil e acessível torna o pano como novo depois de usá -lo, fácil de usar e faz o que afirma. trabalho promete. A qualidade de construção também parece boa e é fácil de usar. 👍, é fácil de usar.</v>
      </c>
    </row>
    <row r="1145">
      <c r="A1145" s="9" t="s">
        <v>4609</v>
      </c>
      <c r="B1145" s="29" t="str">
        <f>VLOOKUP(dados!A1145, reviews!A:G, 5, FALSE)</f>
        <v>Worth for money and best customer service.,Good buy,Helpful.. customer care amazing,Good performance with less space,Best suited for bachelors,Best mixer grinder for small daily kitchen requirement..,Happy with cookwell☺,Nice product</v>
      </c>
      <c r="C1145" s="29" t="str">
        <f>VLOOKUP(dados!A1145, reviews!A:G, 6, FALSE)</f>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responsive..☺👍,Good customer care</v>
      </c>
      <c r="D1145" s="29" t="str">
        <f>IFERROR(__xludf.DUMMYFUNCTION("GOOGLETRANSLATE(B1145, ""en"", ""pt-br"")"),"Valor de dinheiro e melhor atendimento ao cliente., Boa compra, útil .. Atendimento ao cliente INCRÍVEL, bom desempenho com menos espaço, mais adequado para solteiros, Melhor Mixer Mixer Grinder para Small Diário Requisito de Cozinha .., Feliz com Cookwel"&amp;"l☺, bom produto, bom produto")</f>
        <v>Valor de dinheiro e melhor atendimento ao cliente., Boa compra, útil .. Atendimento ao cliente INCRÍVEL, bom desempenho com menos espaço, mais adequado para solteiros, Melhor Mixer Mixer Grinder para Small Diário Requisito de Cozinha .., Feliz com Cookwell☺, bom produto, bom produto</v>
      </c>
      <c r="E1145" s="29" t="str">
        <f>IFERROR(__xludf.DUMMYFUNCTION("GOOGLETRANSLATE(C1145, ""en"", ""pt-br"")"),"Pedimos este produto após muitas pesquisas e recomendações, o produto é incrível e fácil de usar, há um frasco de chutney separado e um jarro de smoothie para uso eficiente, base destacável de silício para melhor limpeza e também lâminas serrilhadas de aç"&amp;"o inoxidável para melhor retirar. Motor poderoso ajuda na moagem de especiarias duras em pouco tempo. E a melhor parte é que é super fácil de limpar. Estou absolutamente feliz com este produto e suporte de atendimento ao cliente. O produto é bom. Muitos p"&amp;"otes disponíveis. Fácil de limpar. Mas a comida fica presa dentro da borracha. O ruído está definitivamente lá. No entanto, parou de trabalhar duas vezes e o trocou duas vezes, pois tem menos de 1 ano de garantia. O serviço é bom e muito rápido, mas preci"&amp;"sa saber o quão durável será após a garantia. ., O produto é muito bom .. útil i trabalho diário de cozinha ... tome menos espaço .... eu enfrentei alguma dificuldade com a máquina e os potes .. mas o mesmo foi tratado com muita paciência e rapidamente pe"&amp;"la seção de atendimento ao cliente ... Pooja estava lidando com minha queixa e, em alguns minutos, ela despachou um produto de substituição para o meu pedido .... Ela foi realmente muito útil. bom produto e preço bem para o desempenho que ele oferece. A c"&amp;"apaciltada de moagem é excelente e fácil de fazer chutneys, smoothies ou colar nisso com frascos diferentes, produto de boa qualidade para usos normais e fácil de usar., Não muito barulhento. Limpo e uso., o produto é bom. Fácil de usar, ocupe um espaço m"&amp;"enos. Eu enfrento alguns problemas com a máquina chamada Serviço ao Cliente, eles deram resposta rápida e substituem a máquina .... Gostaria de dizer que o atendimento ao cliente deles é muito solidário e responsivo ... , Bom atendimento ao cliente")</f>
        <v>Pedimos este produto após muitas pesquisas e recomendações, o produto é incrível e fácil de usar, há um frasco de chutney separado e um jarro de smoothie para uso eficiente, base destacável de silício para melhor limpeza e também lâminas serrilhadas de aço inoxidável para melhor retirar. Motor poderoso ajuda na moagem de especiarias duras em pouco tempo. E a melhor parte é que é super fácil de limpar. Estou absolutamente feliz com este produto e suporte de atendimento ao cliente. O produto é bom. Muitos potes disponíveis. Fácil de limpar. Mas a comida fica presa dentro da borracha. O ruído está definitivamente lá. No entanto, parou de trabalhar duas vezes e o trocou duas vezes, pois tem menos de 1 ano de garantia. O serviço é bom e muito rápido, mas precisa saber o quão durável será após a garantia. ., O produto é muito bom .. útil i trabalho diário de cozinha ... tome menos espaço .... eu enfrentei alguma dificuldade com a máquina e os potes .. mas o mesmo foi tratado com muita paciência e rapidamente pela seção de atendimento ao cliente ... Pooja estava lidando com minha queixa e, em alguns minutos, ela despachou um produto de substituição para o meu pedido .... Ela foi realmente muito útil. bom produto e preço bem para o desempenho que ele oferece. A capaciltada de moagem é excelente e fácil de fazer chutneys, smoothies ou colar nisso com frascos diferentes, produto de boa qualidade para usos normais e fácil de usar., Não muito barulhento. Limpo e uso., o produto é bom. Fácil de usar, ocupe um espaço menos. Eu enfrento alguns problemas com a máquina chamada Serviço ao Cliente, eles deram resposta rápida e substituem a máquina .... Gostaria de dizer que o atendimento ao cliente deles é muito solidário e responsivo ... , Bom atendimento ao cliente</v>
      </c>
    </row>
    <row r="1146">
      <c r="A1146" s="9" t="s">
        <v>4613</v>
      </c>
      <c r="B1146" s="29" t="str">
        <f>VLOOKUP(dados!A1146, reviews!A:G, 5, FALSE)</f>
        <v>Totally simple and good product,Good,Normal,Rice cooker is good,Excellent product,Gud product,Power,Good product</v>
      </c>
      <c r="C1146" s="29" t="str">
        <f>VLOOKUP(dados!A1146, reviews!A:G, 6, FALSE)</f>
        <v>We are using it for cooking rice,,Its getting repair regularly,Recently I buy new rice cooker it is average,Excellent product,Very good product,Power adapter is not working pins are gone wrong. Remaking all are good,Like</v>
      </c>
      <c r="D1146" s="29" t="str">
        <f>IFERROR(__xludf.DUMMYFUNCTION("GOOGLETRANSLATE(B1146, ""en"", ""pt-br"")"),"Totalmente simples e bom produto, bom, normal, fogão de arroz é bom, excelente produto, produto Gud, energia, bom produto")</f>
        <v>Totalmente simples e bom produto, bom, normal, fogão de arroz é bom, excelente produto, produto Gud, energia, bom produto</v>
      </c>
      <c r="E1146" s="29" t="str">
        <f>IFERROR(__xludf.DUMMYFUNCTION("GOOGLETRANSLATE(C1146, ""en"", ""pt-br"")"),"Estamos usando -o para cozinhar arroz, está recebendo reparo regularmente, recentemente compro nova panela de arroz É médio, produto excelente, produto muito bom, o adaptador de energia não está funcionando com os pinos que estão errados. Refazer tudo é b"&amp;"om, como")</f>
        <v>Estamos usando -o para cozinhar arroz, está recebendo reparo regularmente, recentemente compro nova panela de arroz É médio, produto excelente, produto muito bom, o adaptador de energia não está funcionando com os pinos que estão errados. Refazer tudo é bom, como</v>
      </c>
    </row>
    <row r="1147">
      <c r="A1147" s="9" t="s">
        <v>4617</v>
      </c>
      <c r="B1147" s="29" t="str">
        <f>VLOOKUP(dados!A1147, reviews!A:G, 5, FALSE)</f>
        <v>Best Product,It’s expansive but it works well upto 800sqft area,Great product</v>
      </c>
      <c r="C1147" s="29" t="str">
        <f>VLOOKUP(dados!A1147, reviews!A:G, 6, FALSE)</f>
        <v>Must buy best Fabulous product I recommend this👍👍,For small place it’s gud,A great product. Works wonders on my vitrified tile floors.</v>
      </c>
      <c r="D1147" s="29" t="str">
        <f>IFERROR(__xludf.DUMMYFUNCTION("GOOGLETRANSLATE(B1147, ""en"", ""pt-br"")"),"Melhor produto, é expansivo, mas funciona bem até 800 pés quadrados, ótimo produto")</f>
        <v>Melhor produto, é expansivo, mas funciona bem até 800 pés quadrados, ótimo produto</v>
      </c>
      <c r="E1147" s="29" t="str">
        <f>IFERROR(__xludf.DUMMYFUNCTION("GOOGLETRANSLATE(C1147, ""en"", ""pt-br"")"),"Devo comprar o melhor produto fabuloso, recomendo isso, para o pequeno lugar, é um ótimo produto. Funciona maravilhas no meu piso de ladrilho vitrificado.")</f>
        <v>Devo comprar o melhor produto fabuloso, recomendo isso, para o pequeno lugar, é um ótimo produto. Funciona maravilhas no meu piso de ladrilho vitrificado.</v>
      </c>
    </row>
    <row r="1148">
      <c r="A1148" s="9" t="s">
        <v>4621</v>
      </c>
      <c r="B1148" s="29" t="str">
        <f>VLOOKUP(dados!A1148, reviews!A:G, 5, FALSE)</f>
        <v>Bottom Lid should have provided,Good product... Compact.... Battery has less strength....,Easy to use, to carry and quality 👌,Good for smoothies..,Nice one,Worth it for a person living in PG.,Good,Ok for the Price. Not something perfect</v>
      </c>
      <c r="C1148" s="29" t="str">
        <f>VLOOKUP(dados!A1148, reviews!A:G, 6, FALSE)</f>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v>
      </c>
      <c r="D1148" s="29" t="str">
        <f>IFERROR(__xludf.DUMMYFUNCTION("GOOGLETRANSLATE(B1148, ""en"", ""pt-br"")"),"A tampa inferior deveria ter fornecido, bom produto ... compacto .... a bateria tem menos força ...., fácil de usar, para transportar e qualidade 👌, bom para smoothies .., bom, vale a pena para uma pessoa que vive em pág., bom, ok para o preço. Não é alg"&amp;"o perfeito")</f>
        <v>A tampa inferior deveria ter fornecido, bom produto ... compacto .... a bateria tem menos força ...., fácil de usar, para transportar e qualidade 👌, bom para smoothies .., bom, vale a pena para uma pessoa que vive em pág., bom, ok para o preço. Não é algo perfeito</v>
      </c>
      <c r="E1148" s="29" t="str">
        <f>IFERROR(__xludf.DUMMYFUNCTION("GOOGLETRANSLATE(C1148, ""en"", ""pt-br"")"),"O item é bom, mas a tampa inferior deveria ter fornecido junto com o item. não bebi dentro de 30minsi Soliclel Seller para fornecer tampa inferior para fechar a garrafa, mesmo que os liquidificadores de baixo custo estão fornecendo. frutas secas com, para"&amp;" mim, é muito útil enquanto eu o carrego enquanto eu viajo, extremamente útil ... muito bom para smoothies ... preço do lado mais alto., bom para viajar com bebês ou crianças, é bom, embora tenha dado Alguns iniciam a questão, é apenas que as peças de fru"&amp;"tas/vegetais devem ser pequenas., https: //m.media-amazon.com/images/i/61qwjkjppzl._sy88.jpg,i compradas com muitas expectativas e descobriram 500ml como serem Muito baixo para misturar um shake com uma maçã completa, aveia de 50 GM, leites e 15gm de noze"&amp;"s. Ele luta para começar e precisamos virar de cabeça para baixo para dar um pouco de força na lâmina e então começa a se misturar. Para alguém que vai carregar, é a sua melhor aposta. Mas para uma mistura pesada estacionária, compre outra coisa com fonte"&amp;" de energia direta")</f>
        <v>O item é bom, mas a tampa inferior deveria ter fornecido junto com o item. não bebi dentro de 30minsi Soliclel Seller para fornecer tampa inferior para fechar a garrafa, mesmo que os liquidificadores de baixo custo estão fornecendo. frutas secas com, para mim, é muito útil enquanto eu o carrego enquanto eu viajo, extremamente útil ... muito bom para smoothies ... preço do lado mais alto., bom para viajar com bebês ou crianças, é bom, embora tenha dado Alguns iniciam a questão, é apenas que as peças de frutas/vegetais devem ser pequenas., https: //m.media-amazon.com/images/i/61qwjkjppzl._sy88.jpg,i compradas com muitas expectativas e descobriram 500ml como serem Muito baixo para misturar um shake com uma maçã completa, aveia de 50 GM, leites e 15gm de nozes. Ele luta para começar e precisamos virar de cabeça para baixo para dar um pouco de força na lâmina e então começa a se misturar. Para alguém que vai carregar, é a sua melhor aposta. Mas para uma mistura pesada estacionária, compre outra coisa com fonte de energia direta</v>
      </c>
    </row>
    <row r="1149">
      <c r="A1149" s="9" t="s">
        <v>4625</v>
      </c>
      <c r="B1149" s="29" t="str">
        <f>VLOOKUP(dados!A1149, reviews!A:G, 5, FALSE)</f>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v>
      </c>
      <c r="C1149" s="29" t="str">
        <f>VLOOKUP(dados!A1149, reviews!A:G, 6, FALSE)</f>
        <v>Pros:1. Most affordable option2. 2 year warrantyCons:1. No inlet and outlet pipes are given. You can purchase that offline or I found one pair on Amazon for 280/- inr2. It doesn’t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v>
      </c>
      <c r="D1149" s="29" t="str">
        <f>IFERROR(__xludf.DUMMYFUNCTION("GOOGLETRANSLATE(B1149, ""en"", ""pt-br"")"),"Nenhuma entrada e instalação de tubo de entrada e saída é cobrável, amigável e fácil de usar, bom para cozinha, a vida de vida é realmente a vida longa e boa, é um tamanho muito pequeno, mas funciona muito bem. Ele fornece água quente em 2min, o que é inc"&amp;"rível., Recomenda ao dinheiro, bom gêiseador na faixa de preço, mas pouco item com fome de energia")</f>
        <v>Nenhuma entrada e instalação de tubo de entrada e saída é cobrável, amigável e fácil de usar, bom para cozinha, a vida de vida é realmente a vida longa e boa, é um tamanho muito pequeno, mas funciona muito bem. Ele fornece água quente em 2min, o que é incrível., Recomenda ao dinheiro, bom gêiseador na faixa de preço, mas pouco item com fome de energia</v>
      </c>
      <c r="E1149" s="29" t="str">
        <f>IFERROR(__xludf.DUMMYFUNCTION("GOOGLETRANSLATE(C1149, ""en"", ""pt-br"")"),"Prós: 1. Opção mais acessível2. Garantia de 2 anos: 1. Não são fornecidos tubos de entrada e saída. Você pode comprar isso offline ou eu encontrei um par na Amazon para 280/- INR2. Ele não vem com nenhum serviço de instalação ou manual. Uma instalação da "&amp;"Urban Company custará cerca de 500+impostos que são cerca de 550/- no entanto, após a entrega do produto, a vida inteira me enviou uma mensagem do WhatsApp perguntando sobre a instalação. Eles cobram ₹ 353 pelo técnico e ₹ 300 por tubos. Portanto, o custo"&amp;" é melhor pelo suporte ao longo da vida, porque dentro de ₹ 600 você recebe técnico e os tubos. Portanto, opte por ir com o serviço ao longo da vida. Estou escrevendo esta revisão depois de usar o produto por 5 meses. Está funcionando surpreendentemente. "&amp;"A empresa não fornece suporte à instalação. Você precisa auto -instalá -lo. No final, é uma relação custo / benefício. Vá em frente., A empresa deve fornecer técnico para instalação e tubo conneting também deve ser fornecido pela empresa. Além disso, é fá"&amp;"cil de configurar. A aparência do gêiseador é premium com cobertura bem isolada., O produto é bom que eu estava usando este item ' 3 anos, novamente, trouxe mais para o novo banheiro, estou muito feliz com este produto totalmente satisfeito com 3 anos, tr"&amp;"abalhando bem .. vale a pena comprar .., vale o dinheiro, bom valor para o dinheiro, mas acessórios ausentes, bom produto na faixa de preço , mas o consumo de energia é alto, se estiver tudo bem, vá em frente")</f>
        <v>Prós: 1. Opção mais acessível2. Garantia de 2 anos: 1. Não são fornecidos tubos de entrada e saída. Você pode comprar isso offline ou eu encontrei um par na Amazon para 280/- INR2. Ele não vem com nenhum serviço de instalação ou manual. Uma instalação da Urban Company custará cerca de 500+impostos que são cerca de 550/- no entanto, após a entrega do produto, a vida inteira me enviou uma mensagem do WhatsApp perguntando sobre a instalação. Eles cobram ₹ 353 pelo técnico e ₹ 300 por tubos. Portanto, o custo é melhor pelo suporte ao longo da vida, porque dentro de ₹ 600 você recebe técnico e os tubos. Portanto, opte por ir com o serviço ao longo da vida. Estou escrevendo esta revisão depois de usar o produto por 5 meses. Está funcionando surpreendentemente. A empresa não fornece suporte à instalação. Você precisa auto -instalá -lo. No final, é uma relação custo / benefício. Vá em frente., A empresa deve fornecer técnico para instalação e tubo conneting também deve ser fornecido pela empresa. Além disso, é fácil de configurar. A aparência do gêiseador é premium com cobertura bem isolada., O produto é bom que eu estava usando este item ' 3 anos, novamente, trouxe mais para o novo banheiro, estou muito feliz com este produto totalmente satisfeito com 3 anos, trabalhando bem .. vale a pena comprar .., vale o dinheiro, bom valor para o dinheiro, mas acessórios ausentes, bom produto na faixa de preço , mas o consumo de energia é alto, se estiver tudo bem, vá em frente</v>
      </c>
    </row>
    <row r="1150">
      <c r="A1150" s="9" t="s">
        <v>4629</v>
      </c>
      <c r="B1150" s="29" t="str">
        <f>VLOOKUP(dados!A1150, reviews!A:G, 5, FALSE)</f>
        <v>Good heater, and delivery and installation was easy,Good but comes without Plug,Nice,Bestbest,Good,Good product,Ok,Good</v>
      </c>
      <c r="C1150" s="29" t="str">
        <f>VLOOKUP(dados!A1150, reviews!A:G, 6, FALSE)</f>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v>
      </c>
      <c r="D1150" s="29" t="str">
        <f>IFERROR(__xludf.DUMMYFUNCTION("GOOGLETRANSLATE(B1150, ""en"", ""pt-br"")"),"Bom aquecedor, e entrega e instalação foram fáceis, bom, mas vem sem plugue, bom, melhor, bom, bom produto, ok, bom")</f>
        <v>Bom aquecedor, e entrega e instalação foram fáceis, bom, mas vem sem plugue, bom, melhor, bom, bom produto, ok, bom</v>
      </c>
      <c r="E1150" s="29" t="str">
        <f>IFERROR(__xludf.DUMMYFUNCTION("GOOGLETRANSLATE(C1150, ""en"", ""pt-br"")"),"O aquecedor instantâneo foi bem feito. E funciona bem., Bom produto, mas como é que um plugue não é adicionado. Você precisa pagar 300/- para instalação e 100/- para o plugue. Conectando tubos outros 399/- mas, de outra forma, o bom gêiser para a família "&amp;"pequena tomando banho em tempo diferente, bom produto. Uma estrela a menos porque nenhum tubo de conexão, caso contrário, melhor, ok, tipo, indicador apenas se muda, mas ok, bom produto")</f>
        <v>O aquecedor instantâneo foi bem feito. E funciona bem., Bom produto, mas como é que um plugue não é adicionado. Você precisa pagar 300/- para instalação e 100/- para o plugue. Conectando tubos outros 399/- mas, de outra forma, o bom gêiser para a família pequena tomando banho em tempo diferente, bom produto. Uma estrela a menos porque nenhum tubo de conexão, caso contrário, melhor, ok, tipo, indicador apenas se muda, mas ok, bom produto</v>
      </c>
    </row>
    <row r="1151">
      <c r="A1151" s="9" t="s">
        <v>4633</v>
      </c>
      <c r="B1151" s="29" t="str">
        <f>VLOOKUP(dados!A1151, reviews!A:G, 5, FALSE)</f>
        <v>OK Product.,Good &amp; accurate,Not working inaccuracy,Ok for approximate weight estimation,Stopped working,Works just fine,but needs to be handled very carefully,Cheap qulity but accurate,Good Product</v>
      </c>
      <c r="C1151" s="29" t="str">
        <f>VLOOKUP(dados!A1151, reviews!A:G, 6, FALSE)</f>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v>
      </c>
      <c r="D1151" s="29" t="str">
        <f>IFERROR(__xludf.DUMMYFUNCTION("GOOGLETRANSLATE(B1151, ""en"", ""pt-br"")"),"Produto OK., Bom e preciso, não trabalhando imprecisão, OK para estimativa aproximada de peso, parou de funcionar, funciona muito bem, mas precisa ser tratado com muito cuidado")</f>
        <v>Produto OK., Bom e preciso, não trabalhando imprecisão, OK para estimativa aproximada de peso, parou de funcionar, funciona muito bem, mas precisa ser tratado com muito cuidado</v>
      </c>
      <c r="E1151" s="29" t="str">
        <f>IFERROR(__xludf.DUMMYFUNCTION("GOOGLETRANSLATE(C1151, ""en"", ""pt-br"")"),"Produto OK., Muito delicado, mas agradável e preciso agora veja quanto tempo durará ,, dá um erro de +/- 30 miligramas, ele parou de funcionar após 7 meses de uso., Este é um produto sensível, por isso precisa ser mantido Em uma superfície estável para us"&amp;"ar, não deve ser sobrecarregado como sempre, porque danificará o sensor, um bom produto a esse preço. A qualidade construída não é de classe mundial, mas é bom para uso temporário., Bom")</f>
        <v>Produto OK., Muito delicado, mas agradável e preciso agora veja quanto tempo durará ,, dá um erro de +/- 30 miligramas, ele parou de funcionar após 7 meses de uso., Este é um produto sensível, por isso precisa ser mantido Em uma superfície estável para usar, não deve ser sobrecarregado como sempre, porque danificará o sensor, um bom produto a esse preço. A qualidade construída não é de classe mundial, mas é bom para uso temporário., Bom</v>
      </c>
    </row>
    <row r="1152">
      <c r="A1152" s="9" t="s">
        <v>4637</v>
      </c>
      <c r="B1152" s="29" t="str">
        <f>VLOOKUP(dados!A1152, reviews!A:G, 5, FALSE)</f>
        <v>Cute design,worth buying.,Not good for bathing bucket,I bought it recently. Only using it for 3 days . Its okay till now, heating properly.. Good product.,More useful for kitchen use,Good one,Good product,Nice product easy to install and easy to operate</v>
      </c>
      <c r="C1152" s="29" t="str">
        <f>VLOOKUP(dados!A1152, reviews!A:G, 6, FALSE)</f>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v>
      </c>
      <c r="D1152" s="29" t="str">
        <f>IFERROR(__xludf.DUMMYFUNCTION("GOOGLETRANSLATE(B1152, ""en"", ""pt-br"")"),"Design fofo, que vale a pena comprar., Não é bom para tomar banho, comprei recentemente. Apenas usando -o por 3 dias. Tudo bem até agora, aquecendo corretamente .. bom produto., Mais útil para uso de cozinha, bom, bom produto, bom produto fácil de instala"&amp;"r e fácil de operar")</f>
        <v>Design fofo, que vale a pena comprar., Não é bom para tomar banho, comprei recentemente. Apenas usando -o por 3 dias. Tudo bem até agora, aquecendo corretamente .. bom produto., Mais útil para uso de cozinha, bom, bom produto, bom produto fácil de instalar e fácil de operar</v>
      </c>
      <c r="E1152" s="29" t="str">
        <f>IFERROR(__xludf.DUMMYFUNCTION("GOOGLETRANSLATE(C1152, ""en"", ""pt-br"")"),"Estou satisfeito com minha compra. O processo de instalação é fácil e o produto é muito confiável. O recurso de segurança de quatro níveis garante que o aquecedor de água seja seguro para usar e impede a queda acidental. O aquecedor de água aquece a água "&amp;"rapidamente e a temperatura pode ser ajustada para atender às minhas necessidades. O único problema que estou enfrentando é com o indicador. Idealmente, a luz vermelha mostra que a água está ficando aquecida e desliga quando a água é aquecida o suficiente"&amp;". Mas na minha unidade, é vice -versa. O indicador verde está funcionando como vermelho e o indicador vermelho é verde., Vale a pena comprar. Funciona bem, antes de tudo, a embalagem foi pobre. Segundo Crompton diz que é bom para a família de 3 membros Ba"&amp;"th Bucket, mas para essa espera é muito longa. Vá para o gêiseador com classificação mais alta de Crompton., A instalação não é difícil. Livro de instruções é dado. Somente falta de ponto é o cartão de garantia é signo n selo. O cartão de garantia não tem"&amp;" valor, funciona muito bem, mas devo dizer que é mais útil para fins de cozinha e no banheiro se você não usar chuveiro, porque depois de correr por alguns segundos a temperatura. Das gotas de água, o aquecimento não é tão eficaz sendo instantâneo. Se alg"&amp;"uém quiser tomar um banho quente, o gêiseres com maior capacidade de armazenamento., A embalagem estava boa e intacta. Nenhum tubo de conexão estava dentro. O cabo de alimentação era muito curto. Isso tornou as coisas um pouco difíceis. Comprei uma mangue"&amp;"ira de conexão de 3m para suprimento de água fria e quente. Eu mesmo instalei e me registrei on -line no site da Crompton. Se você tiver uma máquina de broca ou se puder emprestá -la, são necessários apenas dois orifícios para concluir a instalação. Funci"&amp;"onando bem e faz água quente em 2 minutos. Não conecte -se usando nenhuma caixa de extensão, a menos que seja classificada por 3000W. Caso contrário, os fios derreterão. É melhor sempre tentar se conectar diretamente com o soquete., Produto muito útil, ht"&amp;"tps: //m.media-amazon.com/images/i/618izmljn5l._sy88.jpg")</f>
        <v>Estou satisfeito com minha compra. O processo de instalação é fácil e o produto é muito confiável. O recurso de segurança de quatro níveis garante que o aquecedor de água seja seguro para usar e impede a queda acidental. O aquecedor de água aquece a água rapidamente e a temperatura pode ser ajustada para atender às minhas necessidades. O único problema que estou enfrentando é com o indicador. Idealmente, a luz vermelha mostra que a água está ficando aquecida e desliga quando a água é aquecida o suficiente. Mas na minha unidade, é vice -versa. O indicador verde está funcionando como vermelho e o indicador vermelho é verde., Vale a pena comprar. Funciona bem, antes de tudo, a embalagem foi pobre. Segundo Crompton diz que é bom para a família de 3 membros Bath Bucket, mas para essa espera é muito longa. Vá para o gêiseador com classificação mais alta de Crompton., A instalação não é difícil. Livro de instruções é dado. Somente falta de ponto é o cartão de garantia é signo n selo. O cartão de garantia não tem valor, funciona muito bem, mas devo dizer que é mais útil para fins de cozinha e no banheiro se você não usar chuveiro, porque depois de correr por alguns segundos a temperatura. Das gotas de água, o aquecimento não é tão eficaz sendo instantâneo. Se alguém quiser tomar um banho quente, o gêiseres com maior capacidade de armazenamento., A embalagem estava boa e intacta. Nenhum tubo de conexão estava dentro. O cabo de alimentação era muito curto. Isso tornou as coisas um pouco difíceis. Comprei uma mangueira de conexão de 3m para suprimento de água fria e quente. Eu mesmo instalei e me registrei on -line no site da Crompton. Se você tiver uma máquina de broca ou se puder emprestá -la, são necessários apenas dois orifícios para concluir a instalação. Funcionando bem e faz água quente em 2 minutos. Não conecte -se usando nenhuma caixa de extensão, a menos que seja classificada por 3000W. Caso contrário, os fios derreterão. É melhor sempre tentar se conectar diretamente com o soquete., Produto muito útil, https: //m.media-amazon.com/images/i/618izmljn5l._sy88.jpg</v>
      </c>
    </row>
    <row r="1153">
      <c r="A1153" s="9" t="s">
        <v>4641</v>
      </c>
      <c r="B1153" s="29" t="str">
        <f>VLOOKUP(dados!A1153, reviews!A:G, 5, FALSE)</f>
        <v>Nice,Nice buy,Good,Very nice,Good 😊,Value for money,Good,Get heat very fast but cold very fast</v>
      </c>
      <c r="C1153" s="29" t="str">
        <f>VLOOKUP(dados!A1153, reviews!A:G, 6, FALSE)</f>
        <v>Nice,Working good so far, provides instant heating!,Everage productCompair to prize,Super product thank you for croma,Decent,https://m.media-amazon.com/images/I/81n+UteNUzL._SY88.jpg,Good to handle and use...safe.. easily heat,Overall product is very good in this amount of money but get cold very fast</v>
      </c>
      <c r="D1153" s="29" t="str">
        <f>IFERROR(__xludf.DUMMYFUNCTION("GOOGLETRANSLATE(B1153, ""en"", ""pt-br"")"),"Bom, bom compra, bom, muito bom, bom 😊, valor ao dinheiro, bom, obtenha calor muito rápido, mas frio muito rápido")</f>
        <v>Bom, bom compra, bom, muito bom, bom 😊, valor ao dinheiro, bom, obtenha calor muito rápido, mas frio muito rápido</v>
      </c>
      <c r="E1153" s="29" t="str">
        <f>IFERROR(__xludf.DUMMYFUNCTION("GOOGLETRANSLATE(C1153, ""en"", ""pt-br"")"),"Bom, trabalhando bem até agora, fornece aquecimento instantâneo!, Everage ProductCompair para premiar, Super Product obrigado por Croma, decent, https: //m.media-amazon.com/images/i/81n+uteNuzl._sy88.jpg, Bom para lidar e usar ... seguro .. facilmente aqu"&amp;"ecer, o produto geral é muito bom nessa quantia de dinheiro, mas fique frio muito rápido")</f>
        <v>Bom, trabalhando bem até agora, fornece aquecimento instantâneo!, Everage ProductCompair para premiar, Super Product obrigado por Croma, decent, https: //m.media-amazon.com/images/i/81n+uteNuzl._sy88.jpg, Bom para lidar e usar ... seguro .. facilmente aquecer, o produto geral é muito bom nessa quantia de dinheiro, mas fique frio muito rápido</v>
      </c>
    </row>
    <row r="1154">
      <c r="A1154" s="9" t="s">
        <v>4645</v>
      </c>
      <c r="B1154" s="29" t="str">
        <f>VLOOKUP(dados!A1154, reviews!A:G, 5, FALSE)</f>
        <v>Nice product,Removes the lightest of lint,Very good,Product is good but price is high,very very god product,Super,Good...,Amazing product</v>
      </c>
      <c r="C1154" s="29" t="str">
        <f>VLOOKUP(dados!A1154, reviews!A:G, 6, FALSE)</f>
        <v>This product little bit costly but quality was good,This does not remove all the lint cleanly. Only the easiest, lightest ones.,Sturdy.,Adhesion is good but price is high we will get in IKEA store for less,Extremely effective product and very decently priced.,👏👏👏👍👍👍,Worth to buy,Very useful product as I have 2 cats at home. Loving it</v>
      </c>
      <c r="D1154" s="29" t="str">
        <f>IFERROR(__xludf.DUMMYFUNCTION("GOOGLETRANSLATE(B1154, ""en"", ""pt-br"")"),"Bom produto, remove o mais leve de fiapo, muito bom, o produto é bom, mas o preço é alto, muito, muito deus produto, super, bom ..., produto incrível")</f>
        <v>Bom produto, remove o mais leve de fiapo, muito bom, o produto é bom, mas o preço é alto, muito, muito deus produto, super, bom ..., produto incrível</v>
      </c>
      <c r="E1154" s="29" t="str">
        <f>IFERROR(__xludf.DUMMYFUNCTION("GOOGLETRANSLATE(C1154, ""en"", ""pt-br"")"),"Este produto um pouco caro, mas a qualidade era boa, isso não remove todo o fiapo de maneira limpa. Somente os mais fáceis e leves. Como tenho 2 gatos em casa. Amando isso")</f>
        <v>Este produto um pouco caro, mas a qualidade era boa, isso não remove todo o fiapo de maneira limpa. Somente os mais fáceis e leves. Como tenho 2 gatos em casa. Amando isso</v>
      </c>
    </row>
    <row r="1155">
      <c r="A1155" s="9" t="s">
        <v>4649</v>
      </c>
      <c r="B1155" s="29" t="str">
        <f>VLOOKUP(dados!A1155, reviews!A:G, 5, FALSE)</f>
        <v>Cannot extract small hair and takes lot of time,It's okay,Quality is not so good,Nice low range idea,Can be used only on velvet type material,below average,Wow. The first pet hair remover that actually works.,It works are advertised</v>
      </c>
      <c r="C1155" s="29" t="str">
        <f>VLOOKUP(dados!A1155, reviews!A:G, 6, FALSE)</f>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v>
      </c>
      <c r="D1155" s="29" t="str">
        <f>IFERROR(__xludf.DUMMYFUNCTION("GOOGLETRANSLATE(B1155, ""en"", ""pt-br"")"),"Não é possível extrair cabelos pequenos e leva muito tempo, tudo bem, a qualidade não é tão boa, uma boa ideia de baixa alcance, pode ser usada apenas no material do tipo veludo, abaixo da média, uau. O primeiro removedor de cabelo de estimação que realme"&amp;"nte funciona., Elas trabalha são anunciadas")</f>
        <v>Não é possível extrair cabelos pequenos e leva muito tempo, tudo bem, a qualidade não é tão boa, uma boa ideia de baixa alcance, pode ser usada apenas no material do tipo veludo, abaixo da média, uau. O primeiro removedor de cabelo de estimação que realmente funciona., Elas trabalha são anunciadas</v>
      </c>
      <c r="E1155" s="29" t="str">
        <f>IFERROR(__xludf.DUMMYFUNCTION("GOOGLETRANSLATE(C1155, ""en"", ""pt-br"")"),"Não pode extrair cabelos pequenos e leva muito tempo, ele remove claramente o cabelo do material de veludo, mas com roupas, não tanto. Eu tenho uma cama de veludo para o meu cachorro e isso serve ao seu propósito. O custo é alto e não está disponível no m"&amp;"ercado local., Não é um produto tão bom. No geral, o produto é bom na faixa de bolso., Pode ser usado apenas no material do tipo veludo. As quebras de fios quando usadas em outros materiais, comprei para remover os cabelos do meu porco da cobaias dos pano"&amp;"s, mas não funciona bem, isso funciona perfeitamente para remover os cabelos dos meus cães de sofá e cadeiras. Reuniu até o menor cabelo. Produto incrível., Eu tenho três gatos domésticos de cabelo curto e eles gostam de dormir no meu sofá. Esta é uma óti"&amp;"ma maneira de remover o FURR sem aspiração de energia.")</f>
        <v>Não pode extrair cabelos pequenos e leva muito tempo, ele remove claramente o cabelo do material de veludo, mas com roupas, não tanto. Eu tenho uma cama de veludo para o meu cachorro e isso serve ao seu propósito. O custo é alto e não está disponível no mercado local., Não é um produto tão bom. No geral, o produto é bom na faixa de bolso., Pode ser usado apenas no material do tipo veludo. As quebras de fios quando usadas em outros materiais, comprei para remover os cabelos do meu porco da cobaias dos panos, mas não funciona bem, isso funciona perfeitamente para remover os cabelos dos meus cães de sofá e cadeiras. Reuniu até o menor cabelo. Produto incrível., Eu tenho três gatos domésticos de cabelo curto e eles gostam de dormir no meu sofá. Esta é uma ótima maneira de remover o FURR sem aspiração de energia.</v>
      </c>
    </row>
    <row r="1156">
      <c r="A1156" s="9" t="s">
        <v>4653</v>
      </c>
      <c r="B1156" s="29" t="str">
        <f>VLOOKUP(dados!A1156, reviews!A:G, 5, FALSE)</f>
        <v>They will charge you an additional ₹300/- for installation.,Good,yes,Er hardik trivedi,Noise problem due to magnets inside,Good,Easy to install like normal one,Ok 👍👍👍 ok</v>
      </c>
      <c r="C1156" s="29" t="str">
        <f>VLOOKUP(dados!A1156, reviews!A:G, 6, FALSE)</f>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v>
      </c>
      <c r="D1156" s="29" t="str">
        <f>IFERROR(__xludf.DUMMYFUNCTION("GOOGLETRANSLATE(B1156, ""en"", ""pt-br"")"),"Eles cobrarão um ₹ 300/- para instalação adicional.")</f>
        <v>Eles cobrarão um ₹ 300/- para instalação adicional.</v>
      </c>
      <c r="E1156" s="29" t="str">
        <f>IFERROR(__xludf.DUMMYFUNCTION("GOOGLETRANSLATE(C1156, ""en"", ""pt-br"")"),"Eles não mencionaram isso aqui, ou pelo menos eu não consegui vê-lo, que uma taxa de instalação adicional de ₹ 300/- deve ser paga pela instalação pelo técnico. No entanto, você pode optar por instalá -lo por terceiros., Bom, bom, bom serviço muito rapida"&amp;"mente e dado o melhor serviço ,, bom produto ,, bom controle remoto ..., está usando atomberg há 3 me trabalhando bem sem nenhum problema., Super feliz 👌💯🤝")</f>
        <v>Eles não mencionaram isso aqui, ou pelo menos eu não consegui vê-lo, que uma taxa de instalação adicional de ₹ 300/- deve ser paga pela instalação pelo técnico. No entanto, você pode optar por instalá -lo por terceiros., Bom, bom, bom serviço muito rapidamente e dado o melhor serviço ,, bom produto ,, bom controle remoto ..., está usando atomberg há 3 me trabalhando bem sem nenhum problema., Super feliz 👌💯🤝</v>
      </c>
    </row>
    <row r="1157">
      <c r="A1157" s="9" t="s">
        <v>4657</v>
      </c>
      <c r="B1157" s="29" t="str">
        <f>VLOOKUP(dados!A1157, reviews!A:G, 5, FALSE)</f>
        <v>Useful,Not value for money,कीमत के हिसाब से बेहतर वस्तु है,Good product,Average,Very Good,After sell service,Good</v>
      </c>
      <c r="C1157" s="29" t="str">
        <f>VLOOKUP(dados!A1157, reviews!A:G, 6, FALSE)</f>
        <v>Useful,Takes long time to heat up water , not very quick with heating,पसंद हैकीमत कम काम ज्यादा अच्छा हैबहुत जल्दी हीटिंग चाय दूध या पानी गरम करना सभी काम आसानी से हो जाते इंडक्शन की बजाय इस प्रोडक्ट को बेहतर मान सकते है केतली जैसे 5 लीटर में या 7 लीटर में उपकरण उपलब्ध हो तो बता दीजिए ।तार की लंबाई कम से कम 1.5मीटर हो,Nothing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v>
      </c>
      <c r="D1157" s="29" t="str">
        <f>IFERROR(__xludf.DUMMYFUNCTION("GOOGLETRANSLATE(B1157, ""en"", ""pt-br"")"),"Útil, não valor ao dinheiro, कीमत हिस हिसाब से बेहतर वस्तु है, bom produto, média, muito bom, após o serviço de venda, bom")</f>
        <v>Útil, não valor ao dinheiro, कीमत हिस हिसाब से बेहतर वस्तु है, bom produto, média, muito bom, após o serviço de venda, bom</v>
      </c>
      <c r="E1157" s="29" t="str">
        <f>IFERROR(__xludf.DUMMYFUNCTION("GOOGLETRANSLATE(C1157, ""en"", ""pt-br"")"),"Useful,Takes long time to heat up water , not very quick with heating,पसंद हैकीमत कम काम ज्यादा अच्छा हैबहुत जल्दी हीटिंग चाय दूध या पानी गरम करना सभी काम आसानी से हो जाते इंडक्शन की बजाय इस प्रोडक्ट को बेहतर मान सकते है केतली जैसे 5 लीटर में या 7 लीटर मे"&amp;"ं उपकरण उपलब्ध हो बत बता दीजिए ।तार की लंबाई कम से कम 1,5 मीटर हो, nada para não gostar, comprimento do cordão, é 3 anos ..... ainda está usando isso para água quente da manhã, depois de vendas O produto Rediculaus é muito bom no ano, não está funcionando"&amp;" corretamente, tentamos muito alcançar para reparar por provedor de serviços, mas recebemos qualquer resposta após muito acompanhamento.")</f>
        <v>Useful,Takes long time to heat up water , not very quick with heating,पसंद हैकीमत कम काम ज्यादा अच्छा हैबहुत जल्दी हीटिंग चाय दूध या पानी गरम करना सभी काम आसानी से हो जाते इंडक्शन की बजाय इस प्रोडक्ट को बेहतर मान सकते है केतली जैसे 5 लीटर में या 7 लीटर में उपकरण उपलब्ध हो बत बता दीजिए ।तार की लंबाई कम से कम 1,5 मीटर हो, nada para não gostar, comprimento do cordão, é 3 anos ..... ainda está usando isso para água quente da manhã, depois de vendas O produto Rediculaus é muito bom no ano, não está funcionando corretamente, tentamos muito alcançar para reparar por provedor de serviços, mas recebemos qualquer resposta após muito acompanhamento.</v>
      </c>
    </row>
    <row r="1158">
      <c r="A1158" s="9" t="s">
        <v>4661</v>
      </c>
      <c r="B1158" s="29" t="str">
        <f>VLOOKUP(dados!A1158, reviews!A:G, 5, FALSE)</f>
        <v>Product is always good ,but service is not properly packaging also dammage box . focus on service,Easy to clean,V good,Good product,I love product Usha,Best,Good for bachelors,Good 👍</v>
      </c>
      <c r="C1158" s="29" t="str">
        <f>VLOOKUP(dados!A1158, reviews!A:G, 6, FALSE)</f>
        <v>Induction is good working,Lightweight and easy to use,V nice,Good quality product,Good Usha product induction 👍👍👍,Tea,,I have been using it for 2 weeks, so far there is no problem, but the current option probably comes in all.</v>
      </c>
      <c r="D1158" s="29" t="str">
        <f>IFERROR(__xludf.DUMMYFUNCTION("GOOGLETRANSLATE(B1158, ""en"", ""pt-br"")"),"O produto é sempre bom, mas o serviço não está embalando corretamente a caixa de carrinhos também. Concentre -se no serviço, fácil de limpar, v bom, bom produto, eu amo produtos usha, melhor, bom para solteiros, bom 👍")</f>
        <v>O produto é sempre bom, mas o serviço não está embalando corretamente a caixa de carrinhos também. Concentre -se no serviço, fácil de limpar, v bom, bom produto, eu amo produtos usha, melhor, bom para solteiros, bom 👍</v>
      </c>
      <c r="E1158" s="29" t="str">
        <f>IFERROR(__xludf.DUMMYFUNCTION("GOOGLETRANSLATE(C1158, ""en"", ""pt-br"")"),"A indução é boa de trabalho, leve e fácil de usar, v agradável, produto de boa qualidade, boa indução do produto Usha 👍👍👍, chá ,, o uso há 2 semanas, até agora não há problema, mas a opção atual provavelmente vem em tudo.")</f>
        <v>A indução é boa de trabalho, leve e fácil de usar, v agradável, produto de boa qualidade, boa indução do produto Usha 👍👍👍, chá ,, o uso há 2 semanas, até agora não há problema, mas a opção atual provavelmente vem em tudo.</v>
      </c>
    </row>
    <row r="1159">
      <c r="A1159" s="9" t="s">
        <v>4665</v>
      </c>
      <c r="B1159" s="29" t="str">
        <f>VLOOKUP(dados!A1159, reviews!A:G, 5, FALSE)</f>
        <v>Liked it,User friendly and effective,Not as per expected,Worth buying for cars which doesn't have inbuilt filter,It works really well...AX30MAX is what we all need..!!,Air purification is awesome,Excelent product for the Prize you pay,Dont expect much</v>
      </c>
      <c r="C1159" s="29" t="str">
        <f>VLOOKUP(dados!A1159, reviews!A:G, 6, FALSE)</f>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v>
      </c>
      <c r="D1159" s="29" t="str">
        <f>IFERROR(__xludf.DUMMYFUNCTION("GOOGLETRANSLATE(B1159, ""en"", ""pt-br"")"),"Gostei, amigável e eficaz, não de acordo com o esperado, que vale a pena comprar para carros que não possuem filtro embutido, funciona muito bem ... Ax30max é o que todos nós precisamos .. !!, Purificação de ar é incrível, Excelent Product Pelo prêmio que"&amp;" você paga, não espere muito")</f>
        <v>Gostei, amigável e eficaz, não de acordo com o esperado, que vale a pena comprar para carros que não possuem filtro embutido, funciona muito bem ... Ax30max é o que todos nós precisamos .. !!, Purificação de ar é incrível, Excelent Product Pelo prêmio que você paga, não espere muito</v>
      </c>
      <c r="E1159" s="29" t="str">
        <f>IFERROR(__xludf.DUMMYFUNCTION("GOOGLETRANSLATE(C1159, ""en"", ""pt-br"")"),"A partir de agora, está funcionando bem, mas não espere mais como isso não é a maneira de remover poeira, mas eu gostei. Vamos ver a durabilidade, muito fácil de instalar e eficaz no meu hatchback. Também pode ser trocado entre os carros, ele não sugam a "&amp;"poeira de ar ou as pequenas partículas que fazem parte do pó. Não entende como ele purificará o produto aéreo está funcionando fisicamente bem. Mas não atender à causa de purificar o ar., Use a dor de cabeça depois de longas unidades mais cedo, depois de "&amp;"usar este produto sem cheiro no carro e sentir ar fresco, ele remove o cheiro de odor também, a qualidade do produto é boa e valor para o dinheiro Produto .. Recomendo, eu uso isso há mais de um mês. É bastante silencioso, simples e dose seu trabalho efic"&amp;"iente. Meu filho sempre odiava o AC, pois se sentiu nauseante no carro, especialmente quando as janelas estão acordadas e o AC está ligado. Desde que comecei a usar esse purificador de ar, ele é muito confortável. Eu também sinto a diferença dentro do car"&amp;"ro. Obrigado Reffir por trazer um produto tão bom e esse prêmio atraente., Está ok ok produto, mas não espere muito")</f>
        <v>A partir de agora, está funcionando bem, mas não espere mais como isso não é a maneira de remover poeira, mas eu gostei. Vamos ver a durabilidade, muito fácil de instalar e eficaz no meu hatchback. Também pode ser trocado entre os carros, ele não sugam a poeira de ar ou as pequenas partículas que fazem parte do pó. Não entende como ele purificará o produto aéreo está funcionando fisicamente bem. Mas não atender à causa de purificar o ar., Use a dor de cabeça depois de longas unidades mais cedo, depois de usar este produto sem cheiro no carro e sentir ar fresco, ele remove o cheiro de odor também, a qualidade do produto é boa e valor para o dinheiro Produto .. Recomendo, eu uso isso há mais de um mês. É bastante silencioso, simples e dose seu trabalho eficiente. Meu filho sempre odiava o AC, pois se sentiu nauseante no carro, especialmente quando as janelas estão acordadas e o AC está ligado. Desde que comecei a usar esse purificador de ar, ele é muito confortável. Eu também sinto a diferença dentro do carro. Obrigado Reffir por trazer um produto tão bom e esse prêmio atraente., Está ok ok produto, mas não espere muito</v>
      </c>
    </row>
    <row r="1160">
      <c r="A1160" s="9" t="s">
        <v>4674</v>
      </c>
      <c r="B1160" s="29" t="str">
        <f>VLOOKUP(dados!A1160, reviews!A:G, 5, FALSE)</f>
        <v>👍,Good quality product and value for money. Recommend for buy,Average product,Good product at good price,Smelling like sumting smoking</v>
      </c>
      <c r="C1160" s="29" t="str">
        <f>VLOOKUP(dados!A1160, reviews!A:G, 6, FALSE)</f>
        <v>Very good,Good quality product and value for money. Recommend for buy,Average product light weight and average quality. If you want to purchase it go for it. Nice one 🙂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v>
      </c>
      <c r="D1160" s="29" t="str">
        <f>IFERROR(__xludf.DUMMYFUNCTION("GOOGLETRANSLATE(B1160, ""en"", ""pt-br"")"),"👍, produto de boa qualidade e valor pelo dinheiro. Recomendar para comprar, produto médio, bom produto a um bom preço, cheirando a resumir o fumo")</f>
        <v>👍, produto de boa qualidade e valor pelo dinheiro. Recomendar para comprar, produto médio, bom produto a um bom preço, cheirando a resumir o fumo</v>
      </c>
      <c r="E1160" s="29" t="str">
        <f>IFERROR(__xludf.DUMMYFUNCTION("GOOGLETRANSLATE(C1160, ""en"", ""pt-br"")"),"Muito bom, produto de boa qualidade e valor pelo dinheiro. Recomendar para comprar, peso médio leve e qualidade média. Se você quiser comprá -lo, vá em frente. Nice One 🙂 da Amazon., O grande aquecedor oferece quantidade suficiente de calor, fácil de tra"&amp;"nsportar, peso leve, recomendado para todos 2 NOB, vá em frente Eu começando a usar o cheiro de fumar e eles não fornecem nenhum número de atendimento ao cliente ou cartão de garantia de memorando em dinheiro, como qualquer cliente pode entrar em contato "&amp;"com ele, por favor, resolva esse problema o mais rápido possível.")</f>
        <v>Muito bom, produto de boa qualidade e valor pelo dinheiro. Recomendar para comprar, peso médio leve e qualidade média. Se você quiser comprá -lo, vá em frente. Nice One 🙂 da Amazon., O grande aquecedor oferece quantidade suficiente de calor, fácil de transportar, peso leve, recomendado para todos 2 NOB, vá em frente Eu começando a usar o cheiro de fumar e eles não fornecem nenhum número de atendimento ao cliente ou cartão de garantia de memorando em dinheiro, como qualquer cliente pode entrar em contato com ele, por favor, resolva esse problema o mais rápido possível.</v>
      </c>
    </row>
    <row r="1161">
      <c r="A1161" s="9" t="s">
        <v>4678</v>
      </c>
      <c r="B1161" s="29" t="str">
        <f>VLOOKUP(dados!A1161, reviews!A:G, 5, FALSE)</f>
        <v>Nice product,Value For Money and Easy to use,Good but creates noise,Average product,Good product,The product is good and easy to use,Good,Good Product</v>
      </c>
      <c r="C1161" s="29" t="str">
        <f>VLOOKUP(dados!A1161, reviews!A:G, 6, FALSE)</f>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v>
      </c>
      <c r="D1161" s="29" t="str">
        <f>IFERROR(__xludf.DUMMYFUNCTION("GOOGLETRANSLATE(B1161, ""en"", ""pt-br"")"),"Bom produto, valor para dinheiro e fácil de usar, bom, mas cria ruído, produto médio, bom produto, o produto é bom e fácil de usar, bom e bom produto")</f>
        <v>Bom produto, valor para dinheiro e fácil de usar, bom, mas cria ruído, produto médio, bom produto, o produto é bom e fácil de usar, bom e bom produto</v>
      </c>
      <c r="E1161" s="29" t="str">
        <f>IFERROR(__xludf.DUMMYFUNCTION("GOOGLETRANSLATE(C1161, ""en"", ""pt-br"")"),"Produto de valor para dinheiro. Poder de sucção muito bom, por mais que o poder do soprador não seja bom como o esperado. Bom produto geral., Muito fácil de usar e todos os acessórios fornecidos valem a pena nessa faixa de preço. O melhor limpador de váci"&amp;"os molhado e seco nessa faixa carregada com acessórios. A potência da coluna é boa e os tubos de tubo de mangueira e os tubos de extensão e o cabo do cordão de powe longo ajuda a atingir todos os cantos da casa. Luz em peso e muito bom para o uso doméstic"&amp;"o normal. A demonstração virtual recebida de Divya foi muito clara e explicada bem em relação ao uso do produto. Os acessórios foram pouco soltos e estão desengatando enquanto usam ... eu faço ruído pesado do que o esperado .. .. pode ser usado de vez em "&amp;"quando, mas não diariamente .., na, valor ao dinheiro, o produto é bom. Fácil de usá -lo.")</f>
        <v>Produto de valor para dinheiro. Poder de sucção muito bom, por mais que o poder do soprador não seja bom como o esperado. Bom produto geral., Muito fácil de usar e todos os acessórios fornecidos valem a pena nessa faixa de preço. O melhor limpador de vácios molhado e seco nessa faixa carregada com acessórios. A potência da coluna é boa e os tubos de tubo de mangueira e os tubos de extensão e o cabo do cordão de powe longo ajuda a atingir todos os cantos da casa. Luz em peso e muito bom para o uso doméstico normal. A demonstração virtual recebida de Divya foi muito clara e explicada bem em relação ao uso do produto. Os acessórios foram pouco soltos e estão desengatando enquanto usam ... eu faço ruído pesado do que o esperado .. .. pode ser usado de vez em quando, mas não diariamente .., na, valor ao dinheiro, o produto é bom. Fácil de usá -lo.</v>
      </c>
    </row>
    <row r="1162">
      <c r="A1162" s="9" t="s">
        <v>4683</v>
      </c>
      <c r="B1162" s="29" t="str">
        <f>VLOOKUP(dados!A1162, reviews!A:G, 5, FALSE)</f>
        <v>Good product for this price...go for it,Nice,Very nice,Value for money,Electry consumption is high,Value for Money,Awesome.  Value for money , Writing after a week's use,Activa chalao thand bhagao</v>
      </c>
      <c r="C1162" s="29" t="str">
        <f>VLOOKUP(dados!A1162, reviews!A:G, 6, FALSE)</f>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v>
      </c>
      <c r="D1162" s="29" t="str">
        <f>IFERROR(__xludf.DUMMYFUNCTION("GOOGLETRANSLATE(B1162, ""en"", ""pt-br"")"),"Bom produto para esse preço ... vá em frente, bom, muito bom, valor ao dinheiro, o consumo de electry é alto, valor ao dinheiro, incrível. Valor do dinheiro, escrevendo após o uso de uma semana, Activa Chalao Thand Bhagao")</f>
        <v>Bom produto para esse preço ... vá em frente, bom, muito bom, valor ao dinheiro, o consumo de electry é alto, valor ao dinheiro, incrível. Valor do dinheiro, escrevendo após o uso de uma semana, Activa Chalao Thand Bhagao</v>
      </c>
      <c r="E1162" s="29" t="str">
        <f>IFERROR(__xludf.DUMMYFUNCTION("GOOGLETRANSLATE(C1162, ""en"", ""pt-br"")"),"Bom produto. Trabalhando bem. Serve para esse fim. Embora tenha recebido uma peça de defeito imediatamente obteve o substituto em apenas dois dias ... graças à Amazon, Nice, o produto são muito bons, o produto é bom, o consumo de electry é hig, o produto "&amp;"é bom para uma sala de tamanho pequeno, você pode usar isso continuamente 40 -50 min depois disso você precisa desligar o dispositivo como o dispositivo é aquecido., É um ótimo produto ... o cheiro inativo é bom, como qualquer aquecedor novo faz no primei"&amp;"ro uso ... acordo, o tempo de tratamento de velocidade foi bom., O produto é bom, mas 1 emitir indicador de luz, adicione")</f>
        <v>Bom produto. Trabalhando bem. Serve para esse fim. Embora tenha recebido uma peça de defeito imediatamente obteve o substituto em apenas dois dias ... graças à Amazon, Nice, o produto são muito bons, o produto é bom, o consumo de electry é hig, o produto é bom para uma sala de tamanho pequeno, você pode usar isso continuamente 40 -50 min depois disso você precisa desligar o dispositivo como o dispositivo é aquecido., É um ótimo produto ... o cheiro inativo é bom, como qualquer aquecedor novo faz no primeiro uso ... acordo, o tempo de tratamento de velocidade foi bom., O produto é bom, mas 1 emitir indicador de luz, adicione</v>
      </c>
    </row>
    <row r="1163">
      <c r="A1163" s="9" t="s">
        <v>4687</v>
      </c>
      <c r="B1163" s="29" t="str">
        <f>VLOOKUP(dados!A1163, reviews!A:G, 5, FALSE)</f>
        <v>Heats up after less time of usage.,Its is fine,Excellent product,You can go for it.,Worth of money n stylish look,Good,HIGH SPEED VERY GOOD WORKING,Nice product</v>
      </c>
      <c r="C1163" s="29" t="str">
        <f>VLOOKUP(dados!A1163, reviews!A:G, 6, FALSE)</f>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v>
      </c>
      <c r="D1163" s="29" t="str">
        <f>IFERROR(__xludf.DUMMYFUNCTION("GOOGLETRANSLATE(B1163, ""en"", ""pt-br"")"),"Aquece após menos tempo de uso., É bom, excelente produto, você pode fazer isso.")</f>
        <v>Aquece após menos tempo de uso., É bom, excelente produto, você pode fazer isso.</v>
      </c>
      <c r="E1163" s="29" t="str">
        <f>IFERROR(__xludf.DUMMYFUNCTION("GOOGLETRANSLATE(C1163, ""en"", ""pt-br"")"),"Funciona bem. Bom design. É pesado. Você não pode funcionar por 1 min continuamente. Você deve parar e usar. Caso contrário, está esquentando demais., É bom, mas aqueça muito rápido após 2 minutos de uso, este liquidificador de mão é incrível. Especialmen"&amp;"te para solteiros, ajuda. Estou usando -o para misturar sopa e economizou meu tempo de lavar o mixer jar!, Basicamente")</f>
        <v>Funciona bem. Bom design. É pesado. Você não pode funcionar por 1 min continuamente. Você deve parar e usar. Caso contrário, está esquentando demais., É bom, mas aqueça muito rápido após 2 minutos de uso, este liquidificador de mão é incrível. Especialmente para solteiros, ajuda. Estou usando -o para misturar sopa e economizou meu tempo de lavar o mixer jar!, Basicamente</v>
      </c>
    </row>
    <row r="1164">
      <c r="A1164" s="9" t="s">
        <v>4691</v>
      </c>
      <c r="B1164" s="29" t="str">
        <f>VLOOKUP(dados!A1164, reviews!A:G, 5, FALSE)</f>
        <v>No more time for heat .this is very awesome product,Light weight &amp;easy to use,Ati Uttam,Awesome,Not upto the mark,essay to use value for mony,Always worst package, it was completely damaged,Good product</v>
      </c>
      <c r="C1164" s="29" t="str">
        <f>VLOOKUP(dados!A1164, reviews!A:G, 6, FALSE)</f>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v>
      </c>
      <c r="D1164" s="29" t="str">
        <f>IFERROR(__xludf.DUMMYFUNCTION("GOOGLETRANSLATE(B1164, ""en"", ""pt-br"")"),"Não há mais tempo para o calor. Este é um produto incrível, leve e fácil de usar, ati uttam, incrível, não até a marca, ensaio para usar valor para mony, sempre pior pacote, foi completamente danificado, bom produto")</f>
        <v>Não há mais tempo para o calor. Este é um produto incrível, leve e fácil de usar, ati uttam, incrível, não até a marca, ensaio para usar valor para mony, sempre pior pacote, foi completamente danificado, bom produto</v>
      </c>
      <c r="E1164" s="29" t="str">
        <f>IFERROR(__xludf.DUMMYFUNCTION("GOOGLETRANSLATE(C1164, ""en"", ""pt-br"")"),"Muito útil peso leve e é fácil., Eu uso este produto para passar roupas médias e pequenas, peso leve, bahut thik itme, incrível, é incrível, é muito leve, devido a esses panos não podem ser ferro Também é muito fino, se compararmos o preço e a garantia, h"&amp;"ttps: //m.media-amazon.com/images/w/webp_402378-t2/images/i/81+hnykgtcl._sy88.jpg,es")</f>
        <v>Muito útil peso leve e é fácil., Eu uso este produto para passar roupas médias e pequenas, peso leve, bahut thik itme, incrível, é incrível, é muito leve, devido a esses panos não podem ser ferro Também é muito fino, se compararmos o preço e a garantia, https: //m.media-amazon.com/images/w/webp_402378-t2/images/i/81+hnykgtcl._sy88.jpg,es</v>
      </c>
    </row>
    <row r="1165">
      <c r="A1165" s="9" t="s">
        <v>4694</v>
      </c>
      <c r="B1165" s="29" t="str">
        <f>VLOOKUP(dados!A1165, reviews!A:G, 5, FALSE)</f>
        <v>Good👌,Good built quality,Quality Product under 3000,good price,Nice product,Good product,Exlent❤,Outlet is very slow</v>
      </c>
      <c r="C1165" s="29" t="str">
        <f>VLOOKUP(dados!A1165, reviews!A:G, 6, FALSE)</f>
        <v>Good 👍,Easy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v>
      </c>
      <c r="D1165" s="29" t="str">
        <f>IFERROR(__xludf.DUMMYFUNCTION("GOOGLETRANSLATE(B1165, ""en"", ""pt-br"")"),"Bom👌, boa qualidade construída, produto de qualidade abaixo de 3000, bom preço, bom produto, bom produto, exlent❤, saída é muito lenta")</f>
        <v>Bom👌, boa qualidade construída, produto de qualidade abaixo de 3000, bom preço, bom produto, bom produto, exlent❤, saída é muito lenta</v>
      </c>
      <c r="E1165" s="29" t="str">
        <f>IFERROR(__xludf.DUMMYFUNCTION("GOOGLETRANSLATE(C1165, ""en"", ""pt-br"")"),"Bom 👍, fácil de instalar e bom aquecimento de água, é um produto de boa qualidade e funcionando bem. Você não pode obter água quente instantânea, mas leva apenas 5 minutos para aquecer a água., Bom produto. Worth., Valor pelo dinheiro ... obrigado AmazOn"&amp;"e., Mesmo o plugue não fornecido, carregando a instalação. Caso contrário, é bom em todos os aspectos, excelente, a qualidade da água de saída é menos")</f>
        <v>Bom 👍, fácil de instalar e bom aquecimento de água, é um produto de boa qualidade e funcionando bem. Você não pode obter água quente instantânea, mas leva apenas 5 minutos para aquecer a água., Bom produto. Worth., Valor pelo dinheiro ... obrigado AmazOne., Mesmo o plugue não fornecido, carregando a instalação. Caso contrário, é bom em todos os aspectos, excelente, a qualidade da água de saída é menos</v>
      </c>
    </row>
    <row r="1166">
      <c r="A1166" s="9" t="s">
        <v>4698</v>
      </c>
      <c r="B1166" s="29" t="str">
        <f>VLOOKUP(dados!A1166, reviews!A:G, 5, FALSE)</f>
        <v>Good product,Very Useful in winter,Good product,Good product must buy.,Best for kitchen,Apperance,Best product😚,Good working</v>
      </c>
      <c r="C1166" s="29" t="str">
        <f>VLOOKUP(dados!A1166, reviews!A:G, 6, FALSE)</f>
        <v>I like this product 😍 function great,Easy to use, value for money, easy to install, very much useful. It is as too good purchase.,👍,I used it its good.,This heater is very handy and can be operate easily.,It look great,,Excellent</v>
      </c>
      <c r="D1166" s="29" t="str">
        <f>IFERROR(__xludf.DUMMYFUNCTION("GOOGLETRANSLATE(B1166, ""en"", ""pt-br"")"),"Bom produto, muito útil no inverno, bom produto, bom produto deve comprar., Melhor para cozinha, adesão, melhor produto😚, bom trabalho")</f>
        <v>Bom produto, muito útil no inverno, bom produto, bom produto deve comprar., Melhor para cozinha, adesão, melhor produto😚, bom trabalho</v>
      </c>
      <c r="E1166" s="29" t="str">
        <f>IFERROR(__xludf.DUMMYFUNCTION("GOOGLETRANSLATE(C1166, ""en"", ""pt-br"")"),"Gosto deste produto 😍 Função ótima, fácil de usar, valor por dinheiro, fácil de instalar, muito útil. É uma compra muito boa., 👍, eu usei é bom., Este aquecedor é muito útil e pode ser operando facilmente., Parece ótimo ,, excelente")</f>
        <v>Gosto deste produto 😍 Função ótima, fácil de usar, valor por dinheiro, fácil de instalar, muito útil. É uma compra muito boa., 👍, eu usei é bom., Este aquecedor é muito útil e pode ser operando facilmente., Parece ótimo ,, excelente</v>
      </c>
    </row>
    <row r="1167">
      <c r="A1167" s="9" t="s">
        <v>4702</v>
      </c>
      <c r="B1167" s="29" t="str">
        <f>VLOOKUP(dados!A1167, reviews!A:G, 5, FALSE)</f>
        <v>Good clips.,Second quality,Value for money.,Not bad,Good,Worth the price,Worth purchasing,Average</v>
      </c>
      <c r="C1167" s="29" t="str">
        <f>VLOOKUP(dados!A1167, reviews!A:G, 6, FALSE)</f>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v>
      </c>
      <c r="D1167" s="29" t="str">
        <f>IFERROR(__xludf.DUMMYFUNCTION("GOOGLETRANSLATE(B1167, ""en"", ""pt-br"")"),"Bons clipes., Segunda qualidade, valor ao dinheiro., NÃO RUIM, bom, vale o preço, vale a pena comprar, média")</f>
        <v>Bons clipes., Segunda qualidade, valor ao dinheiro., NÃO RUIM, bom, vale o preço, vale a pena comprar, média</v>
      </c>
      <c r="E1167" s="29" t="str">
        <f>IFERROR(__xludf.DUMMYFUNCTION("GOOGLETRANSLATE(C1167, ""en"", ""pt-br"")"),"Eu comprei por ₹ 79. Não pense que, porque isso é barato, será um produto de baixa qualidade. Esses clipes servem perfeitamente ao propósito. Não entendi o que pode ser melhorado pagando mais por outros clipes semelhantes., Segunda qualidade, nesta foto v"&amp;"ocê pode ver meus antigos à esquerda, após um ano de uso, ainda brilhante. Estes estão do lado direito, em comparação cor é muito chato. Provavelmente devido ao material reciclado. Ainda produtos muito úteis. Vale o preço pago., Os clipes estão bem. A cor"&amp;" é um pouco monótona em comparação com a imagem dada e o material é bom. Mas está servindo seu propósito. Pode comprá -lo., Conveniente, plástico barato, mas vale o preço, faz o que diz., Boa qualidade, duvidando de sua robustez. Produto médio.")</f>
        <v>Eu comprei por ₹ 79. Não pense que, porque isso é barato, será um produto de baixa qualidade. Esses clipes servem perfeitamente ao propósito. Não entendi o que pode ser melhorado pagando mais por outros clipes semelhantes., Segunda qualidade, nesta foto você pode ver meus antigos à esquerda, após um ano de uso, ainda brilhante. Estes estão do lado direito, em comparação cor é muito chato. Provavelmente devido ao material reciclado. Ainda produtos muito úteis. Vale o preço pago., Os clipes estão bem. A cor é um pouco monótona em comparação com a imagem dada e o material é bom. Mas está servindo seu propósito. Pode comprá -lo., Conveniente, plástico barato, mas vale o preço, faz o que diz., Boa qualidade, duvidando de sua robustez. Produto médio.</v>
      </c>
    </row>
    <row r="1168">
      <c r="A1168" s="9" t="s">
        <v>4706</v>
      </c>
      <c r="B1168" s="29" t="str">
        <f>VLOOKUP(dados!A1168, reviews!A:G, 5, FALSE)</f>
        <v>Good product but attention needed in packing and shipping,Good Product,Installation Technician not good.,worth to money,Good Water Heater,Loved this…!!!!,Value for money,Good product</v>
      </c>
      <c r="C1168" s="29" t="str">
        <f>VLOOKUP(dados!A1168, reviews!A:G, 6, FALSE)</f>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v>
      </c>
      <c r="D1168" s="29" t="str">
        <f>IFERROR(__xludf.DUMMYFUNCTION("GOOGLETRANSLATE(B1168, ""en"", ""pt-br"")"),"Bom produto, mas atenção necessária para embalagem e envio, bom produto, técnico de instalação não é bom.")</f>
        <v>Bom produto, mas atenção necessária para embalagem e envio, bom produto, técnico de instalação não é bom.</v>
      </c>
      <c r="E1168" s="29" t="str">
        <f>IFERROR(__xludf.DUMMYFUNCTION("GOOGLETRANSLATE(C1168, ""en"", ""pt-br"")"),"Para este design de produto de faixa de preço, aparência, especificação e recursos fornecidos são bons. Seria ótimo se os Havells prestassem atenção na embalagem, pois a caixa de produtos que recebi primeiro tivesse defeitos de fabricação e peças erradas "&amp;"(tubos flexíveis). Depois de fazer uma solicitação de substituição pela Amazon, recebeu outra caixa que também tinha alguns pequenos arranhões no corpo do aquecedor e também descobriu que os fastners estavam faltando na caixa., Bom produto a esse preço, o"&amp;" aquecimento também é muito bom, os principais contras desta marca é um problema de instalação. Os trabalhadores da instalação nunca vêm para instalação em sua casa, para que você possa organizar os trabalhadores da instalação; caso contrário, todas as co"&amp;"isas são boas, os Havells devem enviar técnico treinado para instalação. O técnico estava pedindo uma cobrança adicional de 600rs por instalar um toque de 280rs e cobrança de mão -de -obra, o que eu pessoalmente fiz. Cara muito nojento. Tem para olhar o a"&amp;"ssunto. O técnico não possui ferramentas adequadas com ele e ele pede todas as ferramentas do cliente, incluindo pregos, alicates, martelo etc., esse gêiser vale o produto em dinheiro, pois leva apenas o máximo de 10 a 12 minutos para tornar a água gelada"&amp;" muito quente assim bem como o indicador do produto é muito bom, pois pode ser visto claramente pela perspectiva de baixa visão devido ao seu tamanho e departamento de cores e também torna a aparência de Geyser muito bom, no geral, um bom aquecedor de águ"&amp;"a. Deduziu 1 estrela enquanto a peça circular que cobre a luz continua saindo. Não substituiu, pois não afetou a função do aquecedor de água., Valor do dinheiro .. !!! Bom serviço de instalação .. !!! Atraente e ternos para o meu banheiro .. !!!, é um bom"&amp;" produto e uma relação custo / benefício, bom produto a esse preço.")</f>
        <v>Para este design de produto de faixa de preço, aparência, especificação e recursos fornecidos são bons. Seria ótimo se os Havells prestassem atenção na embalagem, pois a caixa de produtos que recebi primeiro tivesse defeitos de fabricação e peças erradas (tubos flexíveis). Depois de fazer uma solicitação de substituição pela Amazon, recebeu outra caixa que também tinha alguns pequenos arranhões no corpo do aquecedor e também descobriu que os fastners estavam faltando na caixa., Bom produto a esse preço, o aquecimento também é muito bom, os principais contras desta marca é um problema de instalação. Os trabalhadores da instalação nunca vêm para instalação em sua casa, para que você possa organizar os trabalhadores da instalação; caso contrário, todas as coisas são boas, os Havells devem enviar técnico treinado para instalação. O técnico estava pedindo uma cobrança adicional de 600rs por instalar um toque de 280rs e cobrança de mão -de -obra, o que eu pessoalmente fiz. Cara muito nojento. Tem para olhar o assunto. O técnico não possui ferramentas adequadas com ele e ele pede todas as ferramentas do cliente, incluindo pregos, alicates, martelo etc., esse gêiser vale o produto em dinheiro, pois leva apenas o máximo de 10 a 12 minutos para tornar a água gelada muito quente assim bem como o indicador do produto é muito bom, pois pode ser visto claramente pela perspectiva de baixa visão devido ao seu tamanho e departamento de cores e também torna a aparência de Geyser muito bom, no geral, um bom aquecedor de água. Deduziu 1 estrela enquanto a peça circular que cobre a luz continua saindo. Não substituiu, pois não afetou a função do aquecedor de água., Valor do dinheiro .. !!! Bom serviço de instalação .. !!! Atraente e ternos para o meu banheiro .. !!!, é um bom produto e uma relação custo / benefício, bom produto a esse preço.</v>
      </c>
    </row>
    <row r="1169">
      <c r="A1169" s="9" t="s">
        <v>4710</v>
      </c>
      <c r="B1169" s="29" t="str">
        <f>VLOOKUP(dados!A1169, reviews!A:G, 5, FALSE)</f>
        <v>Product is Good but expensive on Amazon,The product is good.,Life is just 13 months only,,Useful product,Good induction stove,Light weight yet dependable cook top.,Good,Working fine and it's very easy to use</v>
      </c>
      <c r="C1169" s="29" t="str">
        <f>VLOOKUP(dados!A1169, reviews!A:G, 6, FALSE)</f>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v>
      </c>
      <c r="D1169" s="29" t="str">
        <f>IFERROR(__xludf.DUMMYFUNCTION("GOOGLETRANSLATE(B1169, ""en"", ""pt-br"")"),"O produto é bom, mas caro na Amazon, o produto é bom., A vida é de apenas 13 meses ,, produto útil, bom fogão de indução, peso leve, porém confiável.")</f>
        <v>O produto é bom, mas caro na Amazon, o produto é bom., A vida é de apenas 13 meses ,, produto útil, bom fogão de indução, peso leve, porém confiável.</v>
      </c>
      <c r="E1169" s="29" t="str">
        <f>IFERROR(__xludf.DUMMYFUNCTION("GOOGLETRANSLATE(C1169, ""en"", ""pt-br"")"),"Usado apenas uma vez, não como o que eu esperava. Tem botões de push e aparência barata. Os botões de vidro e toque teriam sido melhores. A maioria importante ... o mesmo produto estava disponível por 500 Rs. Menos em D Mart. Por Rs. 2295. Vi isso apenas "&amp;"um dia depois em Panvel D Mart e me senti enganado. Verifique em todos os lugares e depois compre., Bom, depois de um ano, foi reparado que o ServicePerson disse que não pode ser reparado, então eu jogo em uma lixeira. Seu lufe é apenas um ano., É bom. Va"&amp;"lor do dinheiro., Mas não consegue definir o timer inferior a 10 minutos. Não sei por que eles reavaliaram a configuração do timer., O que recebi é 2200 Wat Cook Top. Trabalhando bem. E as configurações de temperatura facilitam o cozimento mais rápido. O "&amp;"menu indiano é útil., Funciona corretamente., Funcionando bem e é muito fácil de usar.")</f>
        <v>Usado apenas uma vez, não como o que eu esperava. Tem botões de push e aparência barata. Os botões de vidro e toque teriam sido melhores. A maioria importante ... o mesmo produto estava disponível por 500 Rs. Menos em D Mart. Por Rs. 2295. Vi isso apenas um dia depois em Panvel D Mart e me senti enganado. Verifique em todos os lugares e depois compre., Bom, depois de um ano, foi reparado que o ServicePerson disse que não pode ser reparado, então eu jogo em uma lixeira. Seu lufe é apenas um ano., É bom. Valor do dinheiro., Mas não consegue definir o timer inferior a 10 minutos. Não sei por que eles reavaliaram a configuração do timer., O que recebi é 2200 Wat Cook Top. Trabalhando bem. E as configurações de temperatura facilitam o cozimento mais rápido. O menu indiano é útil., Funciona corretamente., Funcionando bem e é muito fácil de usar.</v>
      </c>
    </row>
    <row r="1170">
      <c r="A1170" s="9" t="s">
        <v>4714</v>
      </c>
      <c r="B1170" s="29" t="str">
        <f>VLOOKUP(dados!A1170, reviews!A:G, 5, FALSE)</f>
        <v>Nice product,cleaning,Performance is okay for this cost,Serve the purpose,Value of money,Some damage in inside the product,It's good,Good</v>
      </c>
      <c r="C1170" s="29" t="str">
        <f>VLOOKUP(dados!A1170, reviews!A:G, 6, FALSE)</f>
        <v>Value for money nd nice product,cleaning,Value for money,Best in this budget, however I wish the suction power to be little more.,Good quality product,,Good in managing minor works and occasional use , negative point is suction power us underpowered,Easy to use</v>
      </c>
      <c r="D1170" s="29" t="str">
        <f>IFERROR(__xludf.DUMMYFUNCTION("GOOGLETRANSLATE(B1170, ""en"", ""pt-br"")"),"Bom produto, limpeza, desempenho é bom para esse custo, servir a propósito, valor do dinheiro, algum dano dentro do produto, é bom, bom")</f>
        <v>Bom produto, limpeza, desempenho é bom para esse custo, servir a propósito, valor do dinheiro, algum dano dentro do produto, é bom, bom</v>
      </c>
      <c r="E1170" s="29" t="str">
        <f>IFERROR(__xludf.DUMMYFUNCTION("GOOGLETRANSLATE(C1170, ""en"", ""pt-br"")"),"Valor para dinheiro e bom produto, limpeza, valor ao dinheiro, melhor neste orçamento, no entanto, desejo que o poder de sucção seja um pouco mais. com pouca potência, fácil de usar")</f>
        <v>Valor para dinheiro e bom produto, limpeza, valor ao dinheiro, melhor neste orçamento, no entanto, desejo que o poder de sucção seja um pouco mais. com pouca potência, fácil de usar</v>
      </c>
    </row>
    <row r="1171">
      <c r="A1171" s="9" t="s">
        <v>4718</v>
      </c>
      <c r="B1171" s="29" t="str">
        <f>VLOOKUP(dados!A1171, reviews!A:G, 5, FALSE)</f>
        <v>The base unit is rather flimsy. could have been slightly thicker!!,Good,great,Good,Leaking issue,Pot external body gets heated, which is not expected.,Nice Product,Best Buy for Price of Rs 699</v>
      </c>
      <c r="C1171" s="29" t="str">
        <f>VLOOKUP(dados!A1171, reviews!A:G, 6, FALSE)</f>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v>
      </c>
      <c r="D1171" s="29" t="str">
        <f>IFERROR(__xludf.DUMMYFUNCTION("GOOGLETRANSLATE(B1171, ""en"", ""pt-br"")"),"A unidade base é bastante frágil. Poderia ter sido um pouco mais espesso !!, bom, bom, bom, com vazamento, o corpo externo é aquecido, o que não é esperado., Produto agradável, Best Buy por preço de Rs 699")</f>
        <v>A unidade base é bastante frágil. Poderia ter sido um pouco mais espesso !!, bom, bom, bom, com vazamento, o corpo externo é aquecido, o que não é esperado., Produto agradável, Best Buy por preço de Rs 699</v>
      </c>
      <c r="E1171" s="29" t="str">
        <f>IFERROR(__xludf.DUMMYFUNCTION("GOOGLETRANSLATE(C1171, ""en"", ""pt-br"")"),"A unidade base é bastante frágil ?? Poderia ter sido melhor projetado ???, bom, você deveria absolutamente gostos Amazon para entrega imediata e bom produto, comprou -o por Rs 699 em ofertas. Vale a pena.")</f>
        <v>A unidade base é bastante frágil ?? Poderia ter sido melhor projetado ???, bom, você deveria absolutamente gostos Amazon para entrega imediata e bom produto, comprou -o por Rs 699 em ofertas. Vale a pena.</v>
      </c>
    </row>
    <row r="1172">
      <c r="A1172" s="9" t="s">
        <v>4722</v>
      </c>
      <c r="B1172" s="29" t="str">
        <f>VLOOKUP(dados!A1172, reviews!A:G, 5, FALSE)</f>
        <v>Purchase 2, one receoved damaged,Good for chopping.,NICE PRODUCT,A very good product.Worth buying,It’s to early heating and wire smelling were is the service centre,Nice product worth it 👍🏻,The container is very flimsy.,Ritan and ripales</v>
      </c>
      <c r="C1172" s="29" t="str">
        <f>VLOOKUP(dados!A1172, reviews!A:G, 6, FALSE)</f>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v>
      </c>
      <c r="D1172" s="29" t="str">
        <f>IFERROR(__xludf.DUMMYFUNCTION("GOOGLETRANSLATE(B1172, ""en"", ""pt-br"")"),"Compra 2, um recebeu danificado, bom para cortar., Bom produto, um produto muito bom. Ritan e Ricales")</f>
        <v>Compra 2, um recebeu danificado, bom para cortar., Bom produto, um produto muito bom. Ritan e Ricales</v>
      </c>
      <c r="E1172" s="29" t="str">
        <f>IFERROR(__xludf.DUMMYFUNCTION("GOOGLETRANSLATE(C1172, ""en"", ""pt-br"")"),"Bom em uso com preço razoável. Comprei dois, um foi danificado, pede o Exchange há 2 semanas. Nenhuma resposta da Amazon. Por favor, envie a máquina de substituir o mais rápido possível, até agora para cortar vegetais. Eu sou vegetariano, então não há com"&amp;"entários sobre carne picada. Bom para minha família., Impressão inicial no bem, trabalhando como pretendido. Usei -o para gritar frango e legumes. Até agora funcionando bem. Segurando-o enquanto estiver um pouco de óbito, um bom produto, compacto e podero"&amp;"so misturador que vale a pena comprar, aquecer, sim, eu gosto muito fácil de cortar vegetais, o contêiner deveria ter sido um pouco grosso., Https: //m.media- Amazon.com/images/i/61lhjua6nal._sy88.jpg")</f>
        <v>Bom em uso com preço razoável. Comprei dois, um foi danificado, pede o Exchange há 2 semanas. Nenhuma resposta da Amazon. Por favor, envie a máquina de substituir o mais rápido possível, até agora para cortar vegetais. Eu sou vegetariano, então não há comentários sobre carne picada. Bom para minha família., Impressão inicial no bem, trabalhando como pretendido. Usei -o para gritar frango e legumes. Até agora funcionando bem. Segurando-o enquanto estiver um pouco de óbito, um bom produto, compacto e poderoso misturador que vale a pena comprar, aquecer, sim, eu gosto muito fácil de cortar vegetais, o contêiner deveria ter sido um pouco grosso., Https: //m.media- Amazon.com/images/i/61lhjua6nal._sy88.jpg</v>
      </c>
    </row>
    <row r="1173">
      <c r="A1173" s="9" t="s">
        <v>4726</v>
      </c>
      <c r="B1173" s="29" t="str">
        <f>VLOOKUP(dados!A1173, reviews!A:G, 5, FALSE)</f>
        <v>Need to improve the outlook.,Scratch on product and noisy one,Excellent Product,good,Fabulous,Good item.,Very bad experience,Best market price</v>
      </c>
      <c r="C1173" s="29" t="str">
        <f>VLOOKUP(dados!A1173, reviews!A:G, 6, FALSE)</f>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v>
      </c>
      <c r="D1173" s="29" t="str">
        <f>IFERROR(__xludf.DUMMYFUNCTION("GOOGLETRANSLATE(B1173, ""en"", ""pt-br"")"),"Precisa melhorar a perspectiva., Arranhe o produto e um barulhento, excelente produto, bom, fabuloso, bom item., Experiência muito ruim, melhor preço de mercado")</f>
        <v>Precisa melhorar a perspectiva., Arranhe o produto e um barulhento, excelente produto, bom, fabuloso, bom item., Experiência muito ruim, melhor preço de mercado</v>
      </c>
      <c r="E1173" s="29" t="str">
        <f>IFERROR(__xludf.DUMMYFUNCTION("GOOGLETRANSLATE(C1173, ""en"", ""pt-br"")"),"A aparência do item não é impressionante. Precisa melhorar. O comprimento do cordão não é suficiente. Deveria ser o Bouble do comprimento existente., Peguei essa chaleira ontem, mas ficou arranhada e essa chaleira é um pouco barulhenta e o desligamento au"&amp;"tomático não está funcionando, bom, bom trabalho, maza agya., Gostei de usar. , Eu havia presenteado o item, mas agora acho que não deveria ter. O item veio com alça solta. Quando mantido água para ferver, toda a unidade estava quente, incluindo a alça e "&amp;"a tampa. Não está parando automaticamente quando a água é fervida. Sobre todo o desperdício total de dinheiro. Não esperava de uma empresa tão ruim., Melhor preço")</f>
        <v>A aparência do item não é impressionante. Precisa melhorar. O comprimento do cordão não é suficiente. Deveria ser o Bouble do comprimento existente., Peguei essa chaleira ontem, mas ficou arranhada e essa chaleira é um pouco barulhenta e o desligamento automático não está funcionando, bom, bom trabalho, maza agya., Gostei de usar. , Eu havia presenteado o item, mas agora acho que não deveria ter. O item veio com alça solta. Quando mantido água para ferver, toda a unidade estava quente, incluindo a alça e a tampa. Não está parando automaticamente quando a água é fervida. Sobre todo o desperdício total de dinheiro. Não esperava de uma empresa tão ruim., Melhor preço</v>
      </c>
    </row>
    <row r="1174">
      <c r="A1174" s="9" t="s">
        <v>4730</v>
      </c>
      <c r="B1174" s="29" t="str">
        <f>VLOOKUP(dados!A1174, reviews!A:G, 5, FALSE)</f>
        <v>Demo Required,Nice product,Blower function not working. But in product name they have written both suction and blower both,Good,Great,No support from Eureka forbes,Cleaning is no more a tougher thing.,Great Product and good demo.</v>
      </c>
      <c r="C1174" s="29" t="str">
        <f>VLOOKUP(dados!A1174, reviews!A:G, 6, FALSE)</f>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v>
      </c>
      <c r="D1174" s="29" t="str">
        <f>IFERROR(__xludf.DUMMYFUNCTION("GOOGLETRANSLATE(B1174, ""en"", ""pt-br"")"),"Demo necessário, bom produto, função do ventilador não está funcionando. Mas, no nome do produto, eles escreveram sucção e soprador, bom, ótimo, sem apoio da Eureka Forbes, a limpeza não é mais uma coisa mais difícil., Ótimo produto e boa demonstração.")</f>
        <v>Demo necessário, bom produto, função do ventilador não está funcionando. Mas, no nome do produto, eles escreveram sucção e soprador, bom, ótimo, sem apoio da Eureka Forbes, a limpeza não é mais uma coisa mais difícil., Ótimo produto e boa demonstração.</v>
      </c>
      <c r="E1174" s="29" t="str">
        <f>IFERROR(__xludf.DUMMYFUNCTION("GOOGLETRANSLATE(C1174, ""en"", ""pt-br"")"),"Após o recebimento do produto, recebeu uma solicitação de demonstração e optei pelo código de demonstração Ref # 436360. Today entrou em contato com Eureka Forbes para a demonstração e entende que não há demonstração para aspiradores de pó de seu fim.fyi,"&amp;" por favor, e bom ... mas equipamentos complicados, Função do soprador Não é possível usar., Não recebemos um cartão Wartlenty carimbado com o produto., Compacto e bom, valor ao dinheiro, mas não houve uma demonstração da Eureka Forbes. Eles não se incomo"&amp;"daram em nos ligar. O tubo fornecido é de qualidade muito baixa. Um dos tubos já está quebrado. Eles enviaram um link do YouTube, esse é o ótimo suporte que recebemos do fabricante, é um prazer limpar sem ruído e estresse., Este produto da Eureka Forbes é"&amp;" muito bom. Ele vive o nome Eureka Forbes fez no mercado de limpeza de vácios. Bom poder de sucção. Fácil controle de energia. O comprimento do cordão também é bom, com botão conveniente para enrolá -lo. Acessórios suficientes que cobrem quase todas as ár"&amp;"eas. Bons filtros. Trabalhos em soquetes normais, o que não é o caso em um limpador de vácios de alta potência. O uso de todos os acessórios foi claramente explicado e outros detalhes necessários para operar o produto também foram claramente explicados. N"&amp;"o geral, estou satisfeito com o produto e o serviço fornecido até a data.")</f>
        <v>Após o recebimento do produto, recebeu uma solicitação de demonstração e optei pelo código de demonstração Ref # 436360. Today entrou em contato com Eureka Forbes para a demonstração e entende que não há demonstração para aspiradores de pó de seu fim.fyi, por favor, e bom ... mas equipamentos complicados, Função do soprador Não é possível usar., Não recebemos um cartão Wartlenty carimbado com o produto., Compacto e bom, valor ao dinheiro, mas não houve uma demonstração da Eureka Forbes. Eles não se incomodaram em nos ligar. O tubo fornecido é de qualidade muito baixa. Um dos tubos já está quebrado. Eles enviaram um link do YouTube, esse é o ótimo suporte que recebemos do fabricante, é um prazer limpar sem ruído e estresse., Este produto da Eureka Forbes é muito bom. Ele vive o nome Eureka Forbes fez no mercado de limpeza de vácios. Bom poder de sucção. Fácil controle de energia. O comprimento do cordão também é bom, com botão conveniente para enrolá -lo. Acessórios suficientes que cobrem quase todas as áreas. Bons filtros. Trabalhos em soquetes normais, o que não é o caso em um limpador de vácios de alta potência. O uso de todos os acessórios foi claramente explicado e outros detalhes necessários para operar o produto também foram claramente explicados. No geral, estou satisfeito com o produto e o serviço fornecido até a data.</v>
      </c>
    </row>
    <row r="1175">
      <c r="A1175" s="9" t="s">
        <v>4734</v>
      </c>
      <c r="B1175" s="29" t="str">
        <f>VLOOKUP(dados!A1175, reviews!A:G, 5, FALSE)</f>
        <v>Degree of cleanliness of air achieved and the size of space covered,Excellent in every aspect,Very good,Love the control from the app,Purifier is good - but received a 'second hand' item,Works Well!,Good product 👍,Just works fine</v>
      </c>
      <c r="C1175" s="29" t="str">
        <f>VLOOKUP(dados!A1175, reviews!A:G, 6, FALSE)</f>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v>
      </c>
      <c r="D1175" s="29" t="str">
        <f>IFERROR(__xludf.DUMMYFUNCTION("GOOGLETRANSLATE(B1175, ""en"", ""pt-br"")"),"Grau de limpeza do ar alcançado e o tamanho do espaço coberto, excelente em todos os aspectos, muito bom, adoro o controle do aplicativo, o purificador é bom - mas recebeu um item de 'segunda mão', funciona bem!, Bom produto 👍, apenas funciona bem")</f>
        <v>Grau de limpeza do ar alcançado e o tamanho do espaço coberto, excelente em todos os aspectos, muito bom, adoro o controle do aplicativo, o purificador é bom - mas recebeu um item de 'segunda mão', funciona bem!, Bom produto 👍, apenas funciona bem</v>
      </c>
      <c r="E1175" s="29" t="str">
        <f>IFERROR(__xludf.DUMMYFUNCTION("GOOGLETRANSLATE(C1175, ""en"", ""pt-br"")"),"Usei -o para manter o ar dentro o mais limpo possível. Este modelo fornece ar limpo sobre um espaço de tamanho razoável se as janelas e portas forem mantidas fechadas., Ótimo produto com uma capacidade de reduzir a poeira em aproximadamente 3/4, por exemp"&amp;"lo, Se a atmosfera PM2.5 for 300ppm, será reduzida para até 75ppm na sala, somente se a ventilação mínima for fornecida para cuidar do CO2 que geramos. No meu caso, descobri na minha área que o ambiente possui CO2 a ~ 410 ppm. Se abrirmos uma porta da jan"&amp;"ela apenas por 5 mm de limpeza, o CO2 estará sendo mantido de 500 a 600 ppm com 2 adultos dentro da sala, com base na velocidade e direção do vento. Essa folga de 5 mm de ajuste foi alcançada medindo com ""medidor de medição de CO2 Stay Alone Cum PM 1.0, "&amp;"2,5, 10 medidor de medição"" mais um exemplo com o arranjo acima de ventilação, a máquina está em AION e ABIENT AIR PM2.5 em 198ppm, sala também em 198 ppm , a velocidade do ventilador atingiu o meio (som audível), demorou algum tempo para atingir 85ppm e"&amp;" depois demorou 1min de 85 ppm a 68 ppm, agora a velocidade do ventilador mudou para baixa velocidade no automóvel (o som é inaudível), esse ppm começa a aumentar gradualmente Para 85ppm em 1,5 minutos, agora a velocidade do ventilador aumenta para médio "&amp;"novamente e o ciclo se repete enquanto fora do PM 2.5 for 198pp. do filtro HEPA todos os meses, com base na poluição. O sensor pode precisar de limpeza a cada 3 meses para leituras precisas (se o sensor funcione, ele deve ser limpo primeiro e verificar an"&amp;"tes de levar para qualquer centro de serviço). A vida útil especificada, se limparmos o elemento de filtro HEPA externamente com aspirador de pó regularmente. Não possui raios UV que produzem ozônio ou geradores de íons, que, se não forem projetados adequ"&amp;"adamente (especificados para a alfândega não se preocupem) podem poluir o ar com ozônio. Contagem PM 2,5 metro, o que é muito preciso, além disso, altera a cor da exibição de acordo com as zonas de poluição para conhecer a condição do ar na sala (as leitu"&amp;"ras foram autenticadas com o medidor Stand Alone calibrado CO2, PM1.0, PM2.5 e PM10 ). Devemos mantê -lo no automóvel para facilitar a mudança de fluxo /velocidade com base no nível de poluição (os medidores de testa e umidade também são úteis) .Update 24"&amp;".04.22 (ainda sob garantia): desenvolveu algum som anormal apenas audível, Quando chegamos perto disso (como cozinha, cozinha, cozinha ..) na velocidade mais baixa. A dúvida estava afrouxando o bloqueio inferior do ventilador e o som é descartado de rolam"&amp;"entos de ventiladores, esse diagnóstico também fortalecido pela observação de que o som acima desapareceu, quando é feito de cabeça para baixo. Tampa de base aberta, tampas laterais abertas, a grade inferior foi movido para baixo, levantando a trava com c"&amp;"olunas e verificou -se que a porca de trava do botão estava em condição ligeiramente frouxa, conforme previsto. O som anormal e os problemas de vibração leve são resolvidos após o aperto da porca (com chave de chave tubular de 13 mm já disponível comigo),"&amp;" segurando o ventilador (a porca é do tipo auto -travamento) e montada para trás, mas a abertura das tampas laterais é um trabalho complicado e arriscado (Algumas fechaduras podem ser quebradas, use luvas de mão para proteger as mãos de bordas afiadas, el"&amp;"as podem abrir em movimento espasmódico). Eu fiz alguns bloqueios de grade superior do lado inferior do lado do corte (modificação) para que eu possa abrir os painéis facilmente no futuro. No entanto, outro purificador de ar Mi 2S está funcionando quase c"&amp;"ontinuamente, sem nenhum problema dos últimos 3 anos.Update: 02.07.22 Alto som anormal observado. Desta vez, quero enviá -lo para o Service Center, mas enquanto levanta algum material voou da grelha. Então, quando eu o corro de cabeça para baixo, muitos m"&amp;"ateriais estranhos saíram como alguns corpos de formigas voadoras, suas asas e um bebê lagarto. Agora, novamente, ele está funcionando normal., Auxlamia não há necessidade de recursos inteligentes para um filtro de ar. Na praticidade, apenas conectamos e "&amp;"usamos. Sim, a qualidade do ar está melhorando. Mas não reduz nenhum problema alérgico., Realmente gostei do produto, eu gosto de como ele mostra o AQI atual, tem um modo automático, modo noturno que é super útil com um bebê, o purificador de ar é 4/5 - é"&amp;" silencioso, Filtra bem e rapidamente. Aguará e observe a confiabilidade de longo prazo, além dos filtros de substituição, mas o vendedor enviou um item em uma caixa aberta, acabou sendo um produto usado. Filter diz 90% restante, o que significa que foi u"&amp;"sado em boa medida anterior. Não sei por que os itens de 'segunda mão' são vendidos como 'novos'?, Funciona bem desde 5 meses. Mais comentários serão atualizados mais cedo. Gosto porque o desempenho é bom e eficaz muito fácil de instalar, ele funciona bem"&amp;", mas o indicador de nível de poluição não é confiável e continua mudando o número muito rapidamente no intervalo de vide, então, à noite, você não pode usar noite modo")</f>
        <v>Usei -o para manter o ar dentro o mais limpo possível. Este modelo fornece ar limpo sobre um espaço de tamanho razoável se as janelas e portas forem mantidas fechadas., Ótimo produto com uma capacidade de reduzir a poeira em aproximadamente 3/4, por exemplo, Se a atmosfera PM2.5 for 300ppm, será reduzida para até 75ppm na sala, somente se a ventilação mínima for fornecida para cuidar do CO2 que geramos. No meu caso, descobri na minha área que o ambiente possui CO2 a ~ 410 ppm. Se abrirmos uma porta da janela apenas por 5 mm de limpeza, o CO2 estará sendo mantido de 500 a 600 ppm com 2 adultos dentro da sala, com base na velocidade e direção do vento. Essa folga de 5 mm de ajuste foi alcançada medindo com "medidor de medição de CO2 Stay Alone Cum PM 1.0, 2,5, 10 medidor de medição" mais um exemplo com o arranjo acima de ventilação, a máquina está em AION e ABIENT AIR PM2.5 em 198ppm, sala também em 198 ppm , a velocidade do ventilador atingiu o meio (som audível), demorou algum tempo para atingir 85ppm e depois demorou 1min de 85 ppm a 68 ppm, agora a velocidade do ventilador mudou para baixa velocidade no automóvel (o som é inaudível), esse ppm começa a aumentar gradualmente Para 85ppm em 1,5 minutos, agora a velocidade do ventilador aumenta para médio novamente e o ciclo se repete enquanto fora do PM 2.5 for 198pp. do filtro HEPA todos os meses, com base na poluição. O sensor pode precisar de limpeza a cada 3 meses para leituras precisas (se o sensor funcione, ele deve ser limpo primeiro e verificar antes de levar para qualquer centro de serviço). A vida útil especificada, se limparmos o elemento de filtro HEPA externamente com aspirador de pó regularmente. Não possui raios UV que produzem ozônio ou geradores de íons, que, se não forem projetados adequadamente (especificados para a alfândega não se preocupem) podem poluir o ar com ozônio. Contagem PM 2,5 metro, o que é muito preciso, além disso, altera a cor da exibição de acordo com as zonas de poluição para conhecer a condição do ar na sala (as leituras foram autenticadas com o medidor Stand Alone calibrado CO2, PM1.0, PM2.5 e PM10 ). Devemos mantê -lo no automóvel para facilitar a mudança de fluxo /velocidade com base no nível de poluição (os medidores de testa e umidade também são úteis) .Update 24.04.22 (ainda sob garantia): desenvolveu algum som anormal apenas audível, Quando chegamos perto disso (como cozinha, cozinha, cozinha ..) na velocidade mais baixa. A dúvida estava afrouxando o bloqueio inferior do ventilador e o som é descartado de rolamentos de ventiladores, esse diagnóstico também fortalecido pela observação de que o som acima desapareceu, quando é feito de cabeça para baixo. Tampa de base aberta, tampas laterais abertas, a grade inferior foi movido para baixo, levantando a trava com colunas e verificou -se que a porca de trava do botão estava em condição ligeiramente frouxa, conforme previsto. O som anormal e os problemas de vibração leve são resolvidos após o aperto da porca (com chave de chave tubular de 13 mm já disponível comigo), segurando o ventilador (a porca é do tipo auto -travamento) e montada para trás, mas a abertura das tampas laterais é um trabalho complicado e arriscado (Algumas fechaduras podem ser quebradas, use luvas de mão para proteger as mãos de bordas afiadas, elas podem abrir em movimento espasmódico). Eu fiz alguns bloqueios de grade superior do lado inferior do lado do corte (modificação) para que eu possa abrir os painéis facilmente no futuro. No entanto, outro purificador de ar Mi 2S está funcionando quase continuamente, sem nenhum problema dos últimos 3 anos.Update: 02.07.22 Alto som anormal observado. Desta vez, quero enviá -lo para o Service Center, mas enquanto levanta algum material voou da grelha. Então, quando eu o corro de cabeça para baixo, muitos materiais estranhos saíram como alguns corpos de formigas voadoras, suas asas e um bebê lagarto. Agora, novamente, ele está funcionando normal., Auxlamia não há necessidade de recursos inteligentes para um filtro de ar. Na praticidade, apenas conectamos e usamos. Sim, a qualidade do ar está melhorando. Mas não reduz nenhum problema alérgico., Realmente gostei do produto, eu gosto de como ele mostra o AQI atual, tem um modo automático, modo noturno que é super útil com um bebê, o purificador de ar é 4/5 - é silencioso, Filtra bem e rapidamente. Aguará e observe a confiabilidade de longo prazo, além dos filtros de substituição, mas o vendedor enviou um item em uma caixa aberta, acabou sendo um produto usado. Filter diz 90% restante, o que significa que foi usado em boa medida anterior. Não sei por que os itens de 'segunda mão' são vendidos como 'novos'?, Funciona bem desde 5 meses. Mais comentários serão atualizados mais cedo. Gosto porque o desempenho é bom e eficaz muito fácil de instalar, ele funciona bem, mas o indicador de nível de poluição não é confiável e continua mudando o número muito rapidamente no intervalo de vide, então, à noite, você não pode usar noite modo</v>
      </c>
    </row>
    <row r="1176">
      <c r="A1176" s="9" t="s">
        <v>4741</v>
      </c>
      <c r="B1176" s="29" t="str">
        <f>VLOOKUP(dados!A1176, reviews!A:G, 5, FALSE)</f>
        <v>Good,FITTING,Sealing of the product is faulty,5 Star ⭐,Best,Easy to install,Nice,Best filter</v>
      </c>
      <c r="C1176" s="29" t="str">
        <f>VLOOKUP(dados!A1176, reviews!A:G, 6, FALSE)</f>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⭐,Like,Need to change frequently,Good  quality,Good quality product</v>
      </c>
      <c r="D1176" s="29" t="str">
        <f>IFERROR(__xludf.DUMMYFUNCTION("GOOGLETRANSLATE(B1176, ""en"", ""pt-br"")"),"Bom, a montagem, a vedação do produto é com defeito, 5 estrelas ⭐, melhor, fácil de instalar, bom, melhor filtro")</f>
        <v>Bom, a montagem, a vedação do produto é com defeito, 5 estrelas ⭐, melhor, fácil de instalar, bom, melhor filtro</v>
      </c>
      <c r="E1176" s="29" t="str">
        <f>IFERROR(__xludf.DUMMYFUNCTION("GOOGLETRANSLATE(C1176, ""en"", ""pt-br"")"),"Tudo estava bom. Basta emitir que encontrei com a borracha. Que é usado para apertar isso. Mas eu substituí isso pelo meu antigo. Descanse tudo de bom., Está ligeiramente vazando do lado após a instalação. O fundo do seu deve seguir firmemente a superfíci"&amp;"e e selar corretamente., Qual é a lógica da fita selando a aba superior quando o cartucho pode ser retirado e substituído pela volta pela não sela. Flha inferior da caixa de papel? Em contraste, a caixa do cartucho de TI pura é selada na parte superior e "&amp;"na parte inferior. A Swach deve corrigir essa anomalia., 5 estrelas ⭐, como, precisa mudar com frequência, boa qualidade, produto de boa qualidade")</f>
        <v>Tudo estava bom. Basta emitir que encontrei com a borracha. Que é usado para apertar isso. Mas eu substituí isso pelo meu antigo. Descanse tudo de bom., Está ligeiramente vazando do lado após a instalação. O fundo do seu deve seguir firmemente a superfície e selar corretamente., Qual é a lógica da fita selando a aba superior quando o cartucho pode ser retirado e substituído pela volta pela não sela. Flha inferior da caixa de papel? Em contraste, a caixa do cartucho de TI pura é selada na parte superior e na parte inferior. A Swach deve corrigir essa anomalia., 5 estrelas ⭐, como, precisa mudar com frequência, boa qualidade, produto de boa qualidade</v>
      </c>
    </row>
    <row r="1177">
      <c r="A1177" s="9" t="s">
        <v>4747</v>
      </c>
      <c r="B1177" s="29" t="str">
        <f>VLOOKUP(dados!A1177, reviews!A:G, 5, FALSE)</f>
        <v>Fan is making sound. Whom do i contact.,Speed,Good quality,nice product,Fan wise excellent but little pricey,When it comes to electric appliances Havells never disappoints.,Not satisfied because the product has got dents,Good performance</v>
      </c>
      <c r="C1177" s="29" t="str">
        <f>VLOOKUP(dados!A1177, reviews!A:G, 6, FALSE)</f>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v>
      </c>
      <c r="D1177" s="29" t="str">
        <f>IFERROR(__xludf.DUMMYFUNCTION("GOOGLETRANSLATE(B1177, ""en"", ""pt-br"")"),"Fan está emitindo som. Com quem eu entro em contato., Velocidade, boa qualidade, bom produto, em termos de fãs excelentes, mas pouco caros, quando se trata de aparelhos elétricos Havells nunca decepciona., Não está satisfeito porque o produto tem dentes, "&amp;"bom desempenho")</f>
        <v>Fan está emitindo som. Com quem eu entro em contato., Velocidade, boa qualidade, bom produto, em termos de fãs excelentes, mas pouco caros, quando se trata de aparelhos elétricos Havells nunca decepciona., Não está satisfeito porque o produto tem dentes, bom desempenho</v>
      </c>
      <c r="E1177" s="29" t="str">
        <f>IFERROR(__xludf.DUMMYFUNCTION("GOOGLETRANSLATE(C1177, ""en"", ""pt-br"")"),"Eu pedi 2 fãs. Um dos fãs está emitindo um som. Com quem eu entro em contato, a velocidade é muito lenta, de boa qualidade e fã decente, o RPM e o ar é bom é bom que o Festiva e outros modelos, antes de tudo, explorei muitos ventiladores de teto. Mas quan"&amp;"do vi uma classificação alta e críticas positivas desse fã de Havells, desde então tive que comprar esse fã. A embalagem foi absolutamente incrível com a caixa de tábua de cartões grossos, sem chance de prejudicar. A entrega de ar também foi muito boa, co"&amp;"bre toda a sala com ruído zero e também parece premium. Obrigado pela Amazon, este produto veio com um dente no corpo. Descanse tudo bem. Gostei do produto, bom produto e bom desempenho, também a qualidade das peças é realmente boa ...")</f>
        <v>Eu pedi 2 fãs. Um dos fãs está emitindo um som. Com quem eu entro em contato, a velocidade é muito lenta, de boa qualidade e fã decente, o RPM e o ar é bom é bom que o Festiva e outros modelos, antes de tudo, explorei muitos ventiladores de teto. Mas quando vi uma classificação alta e críticas positivas desse fã de Havells, desde então tive que comprar esse fã. A embalagem foi absolutamente incrível com a caixa de tábua de cartões grossos, sem chance de prejudicar. A entrega de ar também foi muito boa, cobre toda a sala com ruído zero e também parece premium. Obrigado pela Amazon, este produto veio com um dente no corpo. Descanse tudo bem. Gostei do produto, bom produto e bom desempenho, também a qualidade das peças é realmente boa ...</v>
      </c>
    </row>
    <row r="1178">
      <c r="A1178" s="9" t="s">
        <v>4751</v>
      </c>
      <c r="B1178" s="29" t="str">
        <f>VLOOKUP(dados!A1178, reviews!A:G, 5, FALSE)</f>
        <v>Good for the price,Good product,Good Deal,Defective,It is great to store laundry and looks good too. Good quality,Nice product.,Yes,Ok for the price, lacks structural support</v>
      </c>
      <c r="C1178" s="29" t="str">
        <f>VLOOKUP(dados!A1178, reviews!A:G, 6, FALSE)</f>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v>
      </c>
      <c r="D1178" s="29" t="str">
        <f>IFERROR(__xludf.DUMMYFUNCTION("GOOGLETRANSLATE(B1178, ""en"", ""pt-br"")"),"Bom para o preço, bom produto, bom negócio, defeituoso, é ótimo armazenar roupas e ficar bem também. Boa qualidade, bom produto., Sim, ok para o preço, carece de suporte estrutural")</f>
        <v>Bom para o preço, bom produto, bom negócio, defeituoso, é ótimo armazenar roupas e ficar bem também. Boa qualidade, bom produto., Sim, ok para o preço, carece de suporte estrutural</v>
      </c>
      <c r="E1178" s="29" t="str">
        <f>IFERROR(__xludf.DUMMYFUNCTION("GOOGLETRANSLATE(C1178, ""en"", ""pt-br"")"),"Bom para usabilidade, seu valor pelo dinheiro. Conveniente para colocar vestidos de lavanderia em cesto., De acordo com o preço, o negócio é muito bom se você aumentar um preço e zip, então também posso comprar isso novamente, produto defeituoso. Imperfei"&amp;"tamente costurado. É um produto útil e de boa qualidade, mas as alças anexadas são assimétricas e costuradas de uma maneira que o torna inútil ... as alças foram colocadas incorretamente de modo que elas apresentam problemas ao levantar ou pendurar as sac"&amp;"olas de roupa. Das alças, é um bom produto., na, eu gostei., É um pouco pequeno ok bom 😊,")</f>
        <v>Bom para usabilidade, seu valor pelo dinheiro. Conveniente para colocar vestidos de lavanderia em cesto., De acordo com o preço, o negócio é muito bom se você aumentar um preço e zip, então também posso comprar isso novamente, produto defeituoso. Imperfeitamente costurado. É um produto útil e de boa qualidade, mas as alças anexadas são assimétricas e costuradas de uma maneira que o torna inútil ... as alças foram colocadas incorretamente de modo que elas apresentam problemas ao levantar ou pendurar as sacolas de roupa. Das alças, é um bom produto., na, eu gostei., É um pouco pequeno ok bom 😊,</v>
      </c>
    </row>
    <row r="1179">
      <c r="A1179" s="9" t="s">
        <v>4757</v>
      </c>
      <c r="B1179" s="29" t="str">
        <f>VLOOKUP(dados!A1179, reviews!A:G, 5, FALSE)</f>
        <v>Nice product, a must have,It works like magic 💫💫,Useful and beneficial,Good,Good and useful,Easy to use,Go for it,Easy to use but expensive</v>
      </c>
      <c r="C1179" s="29" t="str">
        <f>VLOOKUP(dados!A1179, reviews!A:G, 6, FALSE)</f>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v>
      </c>
      <c r="D1179" s="29" t="str">
        <f>IFERROR(__xludf.DUMMYFUNCTION("GOOGLETRANSLATE(B1179, ""en"", ""pt-br"")"),"Bom produto, deve ter, funciona como mágica 💫💫, útil e benéfico, bom, bom e útil, fácil de usar, vá em frente, fácil de usar, mas caro")</f>
        <v>Bom produto, deve ter, funciona como mágica 💫💫, útil e benéfico, bom, bom e útil, fácil de usar, vá em frente, fácil de usar, mas caro</v>
      </c>
      <c r="E1179" s="29" t="str">
        <f>IFERROR(__xludf.DUMMYFUNCTION("GOOGLETRANSLATE(C1179, ""en"", ""pt-br"")"),"É um produto bastante bom de usar em suas roupas. Faz com que pareçam frescos, eu amei o produto e o recomendo !!, é um produto incrível para remover fiapos de woollens, especialmente nós, é para roupas infantis que frequentemente vão para espaços em bran"&amp;"co com woollens, o produto é bom e fácil de usar, é bom Produto ... Bom para os pais tendo animais de estimação, é muito fácil de usar para limpar meu casaco, sofá e moletom também. Essas coisas tentaram e espero que funcionem com outras roupas também com"&amp;" muita facilidade., Este é um bom produto por um preço razoável em comparação com os caros rolos de fiapos disponíveis no mercado. Ele faz o trabalho, o manuseio é forte e robusto, a adesão é boa., É exagerada do que outros que você obtém no mercado local"&amp;".")</f>
        <v>É um produto bastante bom de usar em suas roupas. Faz com que pareçam frescos, eu amei o produto e o recomendo !!, é um produto incrível para remover fiapos de woollens, especialmente nós, é para roupas infantis que frequentemente vão para espaços em branco com woollens, o produto é bom e fácil de usar, é bom Produto ... Bom para os pais tendo animais de estimação, é muito fácil de usar para limpar meu casaco, sofá e moletom também. Essas coisas tentaram e espero que funcionem com outras roupas também com muita facilidade., Este é um bom produto por um preço razoável em comparação com os caros rolos de fiapos disponíveis no mercado. Ele faz o trabalho, o manuseio é forte e robusto, a adesão é boa., É exagerada do que outros que você obtém no mercado local.</v>
      </c>
    </row>
    <row r="1180">
      <c r="A1180" s="9" t="s">
        <v>4761</v>
      </c>
      <c r="B1180" s="29" t="str">
        <f>VLOOKUP(dados!A1180, reviews!A:G, 5, FALSE)</f>
        <v>Worth it,Good for travelers,Nice,It works but you need to add quite alot of milk,Great product at this price range,Great product but just for smoothies,Full value for money,Don't compare it with really mixer</v>
      </c>
      <c r="C1180" s="29" t="str">
        <f>VLOOKUP(dados!A1180, reviews!A:G, 6, FALSE)</f>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v>
      </c>
      <c r="D1180" s="29" t="str">
        <f>IFERROR(__xludf.DUMMYFUNCTION("GOOGLETRANSLATE(B1180, ""en"", ""pt-br"")"),"Vale a pena, bom para viajantes, bom, funciona, mas você precisa adicionar muito leite, ótimo produto nessa faixa de preço, ótimo produto, mas apenas para smoothies, valor total pelo dinheiro, não compare")</f>
        <v>Vale a pena, bom para viajantes, bom, funciona, mas você precisa adicionar muito leite, ótimo produto nessa faixa de preço, ótimo produto, mas apenas para smoothies, valor total pelo dinheiro, não compare</v>
      </c>
      <c r="E1180" s="29" t="str">
        <f>IFERROR(__xludf.DUMMYFUNCTION("GOOGLETRANSLATE(C1180, ""en"", ""pt-br"")"),"É muito fácil de usar, só precisamos lidar com isso cuidadosamente, ele combina bem, você só precisa cortar vegetais ou frutas em pedaços pequenos, meu primeiro uso antes de colocar para carregar em 4 horas. Mas ele funcionará bem agora. Veja quantos dias"&amp;" vai funcionar!, bom ,, é fácil de usar, criar qualidade agradável, melhor produto que eu o uso e o backup da bateria é bom demais, você pode usá -lo 6 tempo de uma vez totalmente carregado e recursos inteligentes,")</f>
        <v>É muito fácil de usar, só precisamos lidar com isso cuidadosamente, ele combina bem, você só precisa cortar vegetais ou frutas em pedaços pequenos, meu primeiro uso antes de colocar para carregar em 4 horas. Mas ele funcionará bem agora. Veja quantos dias vai funcionar!, bom ,, é fácil de usar, criar qualidade agradável, melhor produto que eu o uso e o backup da bateria é bom demais, você pode usá -lo 6 tempo de uma vez totalmente carregado e recursos inteligentes,</v>
      </c>
    </row>
    <row r="1181">
      <c r="A1181" s="9" t="s">
        <v>4765</v>
      </c>
      <c r="B1181" s="29" t="str">
        <f>VLOOKUP(dados!A1181, reviews!A:G, 5, FALSE)</f>
        <v>💥,Considering the price range, it’s a good one,Worthy,Good products,Good,Good as brand,Ok Product,Value for money,</v>
      </c>
      <c r="C1181" s="29" t="str">
        <f>VLOOKUP(dados!A1181, reviews!A:G, 6, FALSE)</f>
        <v>Nice,This fan is working fine, I’ve been using it since 1 month. The thing which Bajaj can improve is the noise level of both motor and while cutting the air(design of blades) but considering the price it’s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v>
      </c>
      <c r="D1181" s="29" t="str">
        <f>IFERROR(__xludf.DUMMYFUNCTION("GOOGLETRANSLATE(B1181, ""en"", ""pt-br"")"),"💥, considerando a faixa de preço, é bom, digno, bons produtos, bom, bom como marca, produto OK, valor para dinheiro,")</f>
        <v>💥, considerando a faixa de preço, é bom, digno, bons produtos, bom, bom como marca, produto OK, valor para dinheiro,</v>
      </c>
      <c r="E1181" s="29" t="str">
        <f>IFERROR(__xludf.DUMMYFUNCTION("GOOGLETRANSLATE(C1181, ""en"", ""pt-br"")"),"Legal, esse fã está funcionando bem, eu o uso desde 1 mês. O que o Bajaj pode melhorar é o nível de ruído do motor e, ao cortar o ar (design de lâminas), mas considerando o preço, é um negócio perfeito com design e qualidade de boa aparência., Baixo custo"&amp;", mas faz o trabalho., Nice , Bom, comprado recentemente para um quarto extra. O desempenho real pode ser medido apenas no verão., RPM é menor. A qualidade Bajaj não é mantida. Som de rolamento no início inicial e na baixa velocidade. A confiança em Bajaj"&amp;" desceu após esta compra. O fã do Bajaj comprado em 2004 ainda está trabalhando sem qualquer reclamação, apenas mudei o capacitor por Rs25. O preço é competitivo, valor ao dinheiro, melhor a essa taxa")</f>
        <v>Legal, esse fã está funcionando bem, eu o uso desde 1 mês. O que o Bajaj pode melhorar é o nível de ruído do motor e, ao cortar o ar (design de lâminas), mas considerando o preço, é um negócio perfeito com design e qualidade de boa aparência., Baixo custo, mas faz o trabalho., Nice , Bom, comprado recentemente para um quarto extra. O desempenho real pode ser medido apenas no verão., RPM é menor. A qualidade Bajaj não é mantida. Som de rolamento no início inicial e na baixa velocidade. A confiança em Bajaj desceu após esta compra. O fã do Bajaj comprado em 2004 ainda está trabalhando sem qualquer reclamação, apenas mudei o capacitor por Rs25. O preço é competitivo, valor ao dinheiro, melhor a essa taxa</v>
      </c>
    </row>
    <row r="1182">
      <c r="A1182" s="9" t="s">
        <v>4769</v>
      </c>
      <c r="B1182" s="29" t="str">
        <f>VLOOKUP(dados!A1182, reviews!A:G, 5, FALSE)</f>
        <v>Easy to use. Does its job..,Easy to carry now,Doing the job right,Good product initially,Good product for kitchen use,Great item user friendly,Good enough,Good quality</v>
      </c>
      <c r="C1182" s="29" t="str">
        <f>VLOOKUP(dados!A1182, reviews!A:G, 6, FALSE)</f>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it’s accuracy seeing this instability to tare.,Good product for kitchen item.accurate and easy to carry. Loved it,Great same day delivery of item received just now..Also very user friendly no issues in usage with batteries included all inside that,Good enough,Good quality thanks</v>
      </c>
      <c r="D1182" s="29" t="str">
        <f>IFERROR(__xludf.DUMMYFUNCTION("GOOGLETRANSLATE(B1182, ""en"", ""pt-br"")"),"Fácil de usar. Faz o seu trabalho .., fácil de transportar agora, fazendo o trabalho certo, bom produto inicialmente, bom produto para uso da cozinha, ótimo item amigável, bom o suficiente, boa qualidade")</f>
        <v>Fácil de usar. Faz o seu trabalho .., fácil de transportar agora, fazendo o trabalho certo, bom produto inicialmente, bom produto para uso da cozinha, ótimo item amigável, bom o suficiente, boa qualidade</v>
      </c>
      <c r="E1182" s="29" t="str">
        <f>IFERROR(__xludf.DUMMYFUNCTION("GOOGLETRANSLATE(C1182, ""en"", ""pt-br"")"),"https://m.media-amazon.com/images/w/webp_402378-t1/images/i/61jhaq4j0ql._sy88.jpg,i Como este produto, o produto é bom. Junto com a máquina, a célula foi enviada separadamente, que não eram úteis. Eu tive que comprá -las separadamente, quando a comprei fu"&amp;"ncionou muito bem. Peso leve e portátil tornam conveniente usar. Inicialmente, foi um ótimo produto. Não tenho certeza do que aconteceu depois de alguns meses, foi difícil de tar. Quando eu ligo e o visor mostra zero. Imediatamente depois, começa a se mov"&amp;"er para menos e leva muito tempo para voltar a zero. O que o torna irritante e inconveniente. Também não tenho certeza sobre a precisão de ver essa instabilidade para tare., Bom produto para o item da cozinha. É preciso e fácil de transportar. Adorei, óti"&amp;"ma entrega no mesmo dia de item recebida agora ... também muito amigável sem problemas em uso com baterias incluídas tudo dentro disso, bom o suficiente, boa qualidade, obrigado")</f>
        <v>https://m.media-amazon.com/images/w/webp_402378-t1/images/i/61jhaq4j0ql._sy88.jpg,i Como este produto, o produto é bom. Junto com a máquina, a célula foi enviada separadamente, que não eram úteis. Eu tive que comprá -las separadamente, quando a comprei funcionou muito bem. Peso leve e portátil tornam conveniente usar. Inicialmente, foi um ótimo produto. Não tenho certeza do que aconteceu depois de alguns meses, foi difícil de tar. Quando eu ligo e o visor mostra zero. Imediatamente depois, começa a se mover para menos e leva muito tempo para voltar a zero. O que o torna irritante e inconveniente. Também não tenho certeza sobre a precisão de ver essa instabilidade para tare., Bom produto para o item da cozinha. É preciso e fácil de transportar. Adorei, ótima entrega no mesmo dia de item recebida agora ... também muito amigável sem problemas em uso com baterias incluídas tudo dentro disso, bom o suficiente, boa qualidade, obrigado</v>
      </c>
    </row>
    <row r="1183">
      <c r="A1183" s="9" t="s">
        <v>4773</v>
      </c>
      <c r="B1183" s="29" t="str">
        <f>VLOOKUP(dados!A1183, reviews!A:G, 5, FALSE)</f>
        <v>Value to buy,Best quality,Nothing,It's Good,Perfect for making toasts,Great product.,Working fine as expected,Excellent</v>
      </c>
      <c r="C1183" s="29" t="str">
        <f>VLOOKUP(dados!A1183, reviews!A:G, 6, FALSE)</f>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v>
      </c>
      <c r="D1183" s="29" t="str">
        <f>IFERROR(__xludf.DUMMYFUNCTION("GOOGLETRANSLATE(B1183, ""en"", ""pt-br"")"),"Valor para comprar, melhor qualidade, nada, é bom, perfeito para fazer torradas, ótimo produto., Funcionando bem como esperado, excelente")</f>
        <v>Valor para comprar, melhor qualidade, nada, é bom, perfeito para fazer torradas, ótimo produto., Funcionando bem como esperado, excelente</v>
      </c>
      <c r="E1183" s="29" t="str">
        <f>IFERROR(__xludf.DUMMYFUNCTION("GOOGLETRANSLATE(C1183, ""en"", ""pt-br"")"),"Bom e fácil de usar, muito bom, bom., No geral, um bom produto para comprar. Apenas não entendendo qual a temperatura é melhor. Às vezes, queima o pão às 2, às vezes 2 dá o melhor assado e às vezes não assou o pão inteiro. Então, um pouco confuso com isso"&amp;"., É um dispositivo simples, funciona como deveria. Definir a temperatura e a limpeza são fáceis., Não se esqueça de pré -aquecer toda vez que a torradeira é usada. Depois disso, ajuste o controle conforme necessário - para torradas suave (1-3) ou para to"&amp;"rradas assadas crocantes., A qualidade da torrada é incrível, Nova York")</f>
        <v>Bom e fácil de usar, muito bom, bom., No geral, um bom produto para comprar. Apenas não entendendo qual a temperatura é melhor. Às vezes, queima o pão às 2, às vezes 2 dá o melhor assado e às vezes não assou o pão inteiro. Então, um pouco confuso com isso., É um dispositivo simples, funciona como deveria. Definir a temperatura e a limpeza são fáceis., Não se esqueça de pré -aquecer toda vez que a torradeira é usada. Depois disso, ajuste o controle conforme necessário - para torradas suave (1-3) ou para torradas assadas crocantes., A qualidade da torrada é incrível, Nova York</v>
      </c>
    </row>
    <row r="1184">
      <c r="A1184" s="9" t="s">
        <v>4777</v>
      </c>
      <c r="B1184" s="29" t="str">
        <f>VLOOKUP(dados!A1184, reviews!A:G, 5, FALSE)</f>
        <v>No visible change,Effective,Sensitivity, Simplicity and Support,Good product,Nice purifier,Minimal and Simple to use and great for people with allergies,Works well in Noida,Very easy to maintain</v>
      </c>
      <c r="C1184" s="29" t="str">
        <f>VLOOKUP(dados!A1184, reviews!A:G, 6, FALSE)</f>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v>
      </c>
      <c r="D1184" s="29" t="str">
        <f>IFERROR(__xludf.DUMMYFUNCTION("GOOGLETRANSLATE(B1184, ""en"", ""pt-br"")"),"Nenhuma mudança visível, eficaz, sensibilidade, simplicidade e suporte, bom produto, bom purificador, mínimo e simples de usar e ótimo para pessoas com alergias, funciona bem em Noida, muito fácil de manter")</f>
        <v>Nenhuma mudança visível, eficaz, sensibilidade, simplicidade e suporte, bom produto, bom purificador, mínimo e simples de usar e ótimo para pessoas com alergias, funciona bem em Noida, muito fácil de manter</v>
      </c>
      <c r="E1184" s="29" t="str">
        <f>IFERROR(__xludf.DUMMYFUNCTION("GOOGLETRANSLATE(C1184, ""en"", ""pt-br"")"),"As luzes embutidas nisso criam efeito psicológico à medida que mudaram de acordo com a qualidade do ar, mas, além disso, nenhuma mudança visível que eu testemunhei., Comprei -a depois de ler muitas críticas. É de forma quadrada, mas sem sentido e poderoso"&amp;" purificador de ar. Faça um fluxo de ar fácil de montar, fácil de limpar e bom. O modo silencioso será mais do que suficiente se for o PM do qual você está tentando se livrar. O purificador é tão eficaz que extrai a umidade também, por isso não se surpree"&amp;"nda se sentir uma garganta seca pela manhã. Eu o executo por algumas horas no modo silencioso e depois desliguei para evitar o efeito desumidificador. Vale o preço e o ótimo atendimento ao cliente. Estou extremamente feliz com esta compra. O purificador é"&amp;" muito sensível ao ar impuro e certifica -se de acionar a purificação do nível mais alto para reduzir o AQI em boa qualidade. O filtro HEPA tem uma vida mais longa do que a maioria dos outros produtos. Além disso, o indicador AQI termina no indicador LED "&amp;"mais preciso que a interface digital que vem com outros produtos. A instalação e o funcionamento é extremamente simples e podem ser feitos em 5 minutos. A melhor parte é o suporte que você recebe de Coway. No dia em que a entrega da Amazon deveria acontec"&amp;"er, recebi uma ligação do executivo de suporte que pretendia ajudar na instalação e coisas relacionadas. Também foi feita uma chamada de acompanhamento para descrever mais. O produto vem com garantia de 5 anos e dois anos adicionais foram fornecidos após "&amp;"o registro. Meu Flatmate também comprou o mesmo depois de ver a mina funcionando., Bom, apenas desvantagem que descobri é que não Mostre qualquer leitura para o nível de poluição. Depois de ativá-lo no modo automático, ele gira de vermelho para laranja e "&amp;"depois para verde dentro de 10 a 15 minutos, mas mostrar o nível de poluição teria sido mais convincente., Eu queria uma máquina sem sentido para o quarto das crianças, para Controle e alergias e poeira, especialmente durante a temporada de inverno / fuma"&amp;"ça aqui em Lucknow. Meus filhos estão felizes com a máquina, pois é muito fácil de usar e estou feliz, pois parece muito fácil de manter em comparação com as outras marcas / modelos. Rajnish deu uma boa demonstração rápida de como usá -lo e manter o dispo"&amp;"sitivo, e também como se registrar na garantia de 7 anos. Por enquanto, estou bastante satisfeito com o serviço e o produto., Recebi esse produto como segundo purificador em casa. Surpreendido ao ver o desempenho com aparência simplista e sem tripulação. "&amp;"Funciona bem. Eu acho que duas coisas podem ser aprimoradas - 1. Forneça uma alça para mover o produto e 2. opção de cor. Rest todas as reclamações. Para testar, abri as janelas e depois corri esse purificador e, na mesma sala, mantive meu Dyson para Moni"&amp;"tore o nível AQI. Dentro de 30 minutos, ele derrubou o nível AQI na sala que foi monitorado por Dyson. Feliz com a qualidade e altamente recomendado.,,")</f>
        <v>As luzes embutidas nisso criam efeito psicológico à medida que mudaram de acordo com a qualidade do ar, mas, além disso, nenhuma mudança visível que eu testemunhei., Comprei -a depois de ler muitas críticas. É de forma quadrada, mas sem sentido e poderoso purificador de ar. Faça um fluxo de ar fácil de montar, fácil de limpar e bom. O modo silencioso será mais do que suficiente se for o PM do qual você está tentando se livrar. O purificador é tão eficaz que extrai a umidade também, por isso não se surpreenda se sentir uma garganta seca pela manhã. Eu o executo por algumas horas no modo silencioso e depois desliguei para evitar o efeito desumidificador. Vale o preço e o ótimo atendimento ao cliente. Estou extremamente feliz com esta compra. O purificador é muito sensível ao ar impuro e certifica -se de acionar a purificação do nível mais alto para reduzir o AQI em boa qualidade. O filtro HEPA tem uma vida mais longa do que a maioria dos outros produtos. Além disso, o indicador AQI termina no indicador LED mais preciso que a interface digital que vem com outros produtos. A instalação e o funcionamento é extremamente simples e podem ser feitos em 5 minutos. A melhor parte é o suporte que você recebe de Coway. No dia em que a entrega da Amazon deveria acontecer, recebi uma ligação do executivo de suporte que pretendia ajudar na instalação e coisas relacionadas. Também foi feita uma chamada de acompanhamento para descrever mais. O produto vem com garantia de 5 anos e dois anos adicionais foram fornecidos após o registro. Meu Flatmate também comprou o mesmo depois de ver a mina funcionando., Bom, apenas desvantagem que descobri é que não Mostre qualquer leitura para o nível de poluição. Depois de ativá-lo no modo automático, ele gira de vermelho para laranja e depois para verde dentro de 10 a 15 minutos, mas mostrar o nível de poluição teria sido mais convincente., Eu queria uma máquina sem sentido para o quarto das crianças, para Controle e alergias e poeira, especialmente durante a temporada de inverno / fumaça aqui em Lucknow. Meus filhos estão felizes com a máquina, pois é muito fácil de usar e estou feliz, pois parece muito fácil de manter em comparação com as outras marcas / modelos. Rajnish deu uma boa demonstração rápida de como usá -lo e manter o dispositivo, e também como se registrar na garantia de 7 anos. Por enquanto, estou bastante satisfeito com o serviço e o produto., Recebi esse produto como segundo purificador em casa. Surpreendido ao ver o desempenho com aparência simplista e sem tripulação. Funciona bem. Eu acho que duas coisas podem ser aprimoradas - 1. Forneça uma alça para mover o produto e 2. opção de cor. Rest todas as reclamações. Para testar, abri as janelas e depois corri esse purificador e, na mesma sala, mantive meu Dyson para Monitore o nível AQI. Dentro de 30 minutos, ele derrubou o nível AQI na sala que foi monitorado por Dyson. Feliz com a qualidade e altamente recomendado.,,</v>
      </c>
    </row>
    <row r="1185">
      <c r="A1185" s="9" t="s">
        <v>4781</v>
      </c>
      <c r="B1185" s="29" t="str">
        <f>VLOOKUP(dados!A1185, reviews!A:G, 5, FALSE)</f>
        <v>Nice,Overall satisfied with the product,Good,Nice products,Slow filteration,Fit for 2 people,Mini filter,I have received delivery yesterday only and found a manufacturing defect i.e. leakage from the top</v>
      </c>
      <c r="C1185" s="29" t="str">
        <f>VLOOKUP(dados!A1185, reviews!A:G, 6, FALSE)</f>
        <v>Nice 👍,The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v>
      </c>
      <c r="D1185" s="29" t="str">
        <f>IFERROR(__xludf.DUMMYFUNCTION("GOOGLETRANSLATE(B1185, ""en"", ""pt-br"")"),"Nice, em geral, satisfeito com o produto, produtos bons e agradáveis, filtragem lenta, ajuste para 2 pessoas, mini filtro, recebi apenas a entrega ontem e encontrei um defeito de fabricação, ou seja, vazamento do topo")</f>
        <v>Nice, em geral, satisfeito com o produto, produtos bons e agradáveis, filtragem lenta, ajuste para 2 pessoas, mini filtro, recebi apenas a entrega ontem e encontrei um defeito de fabricação, ou seja, vazamento do topo</v>
      </c>
      <c r="E1185" s="29" t="str">
        <f>IFERROR(__xludf.DUMMYFUNCTION("GOOGLETRANSLATE(C1185, ""en"", ""pt-br"")"),"Bom 👍, a única coisa que eu gostei é seu trabalho muito bem e é realmente fácil de instalar ... mas eu esperava que fosse um pouco mais grande, mas o tamanho é pequeno, peças de reposição difíceis de comprar, barato e bom puro, o A velocidade de filtrage"&amp;"m é lenta. Não vá em frente se você é uma família., A instalação é um pouco complicada, mas pode ser feita. Essa variente é adequada para uma família de 2-3 pessoas. Leva tempo para derramar água no filtro .... Produto fino geral, este filtro é muito pequ"&amp;"eno para 1 pessoa,")</f>
        <v>Bom 👍, a única coisa que eu gostei é seu trabalho muito bem e é realmente fácil de instalar ... mas eu esperava que fosse um pouco mais grande, mas o tamanho é pequeno, peças de reposição difíceis de comprar, barato e bom puro, o A velocidade de filtragem é lenta. Não vá em frente se você é uma família., A instalação é um pouco complicada, mas pode ser feita. Essa variente é adequada para uma família de 2-3 pessoas. Leva tempo para derramar água no filtro .... Produto fino geral, este filtro é muito pequeno para 1 pessoa,</v>
      </c>
    </row>
    <row r="1186">
      <c r="A1186" s="9" t="s">
        <v>4785</v>
      </c>
      <c r="B1186" s="29" t="str">
        <f>VLOOKUP(dados!A1186, reviews!A:G, 5, FALSE)</f>
        <v>Satisfied product 👍,it was without manufacturer's pakcaging.had a big bent on metal . did not return because needed.,Highly recommended.,Very good,Writing review after 2 seasons,Very bad product,Excellent,Best product</v>
      </c>
      <c r="C1186" s="29" t="str">
        <f>VLOOKUP(dados!A1186, reviews!A:G, 6, FALSE)</f>
        <v>What I would like to advise all of you out there is, please do not judge a product on the basis of the reviews on here.It can be carried anywhere easily.Can be used on a standard 6A socket, no need of power plug.The heating element is also of good quality.Go For It without any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👍Very lightweight and convenient to use</v>
      </c>
      <c r="D1186" s="29" t="str">
        <f>IFERROR(__xludf.DUMMYFUNCTION("GOOGLETRANSLATE(B1186, ""en"", ""pt-br"")"),"Produto satisfeito 👍, estava sem pakcaging do fabricante. Had uma grande inclinação em metal. não voltou porque necessário., altamente recomendado., muito bom, resenha de escrita após 2 temporadas, produto muito ruim, excelente, melhor produto")</f>
        <v>Produto satisfeito 👍, estava sem pakcaging do fabricante. Had uma grande inclinação em metal. não voltou porque necessário., altamente recomendado., muito bom, resenha de escrita após 2 temporadas, produto muito ruim, excelente, melhor produto</v>
      </c>
      <c r="E1186" s="29" t="str">
        <f>IFERROR(__xludf.DUMMYFUNCTION("GOOGLETRANSLATE(C1186, ""en"", ""pt-br"")"),"O que eu gostaria de aconselhar todos vocês lá fora, por favor, não julgue um produto com base nas revisões aqui. Pode ser transportado em qualquer lugar facilmente. O elemento de aquecimento também é de boa qualidade. não retornou porque necessário. Kam "&amp;"H. Eu gosto, comprei isso para o meu dadi, pois nosso quarto está no último andar e está muito frio aqui. Está funcionando bem até agora e seu consumo de energia também é inferior a 1000W, eu apreciei menos uso de unidades deste aquecedor de 750W, produto"&amp;" muito ruim. A bobina é de má qualidade ... quebrou dentro de dois dias de uso, excelente quente com soquete de 5 amp. Obrigado Amazon, melhor produto nessa faixa de preço 👍 muito leve e conveniente para usar")</f>
        <v>O que eu gostaria de aconselhar todos vocês lá fora, por favor, não julgue um produto com base nas revisões aqui. Pode ser transportado em qualquer lugar facilmente. O elemento de aquecimento também é de boa qualidade. não retornou porque necessário. Kam H. Eu gosto, comprei isso para o meu dadi, pois nosso quarto está no último andar e está muito frio aqui. Está funcionando bem até agora e seu consumo de energia também é inferior a 1000W, eu apreciei menos uso de unidades deste aquecedor de 750W, produto muito ruim. A bobina é de má qualidade ... quebrou dentro de dois dias de uso, excelente quente com soquete de 5 amp. Obrigado Amazon, melhor produto nessa faixa de preço 👍 muito leve e conveniente para usar</v>
      </c>
    </row>
    <row r="1187">
      <c r="A1187" s="9" t="s">
        <v>4789</v>
      </c>
      <c r="B1187" s="29" t="str">
        <f>VLOOKUP(dados!A1187, reviews!A:G, 5, FALSE)</f>
        <v>Good Product,Good,This product is most satisfying product on Amazon,Bajaj Nam hi Kafi hai,Bahut acchi,It does what it's meant for.....,The juicer is useless but blender/grinder/mixer is fine,Good</v>
      </c>
      <c r="C1187" s="29" t="str">
        <f>VLOOKUP(dados!A1187, reviews!A:G, 6, FALSE)</f>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v>
      </c>
      <c r="D1187" s="29" t="str">
        <f>IFERROR(__xludf.DUMMYFUNCTION("GOOGLETRANSLATE(B1187, ""en"", ""pt-br"")"),"Bom produto, bom, este produto é o produto mais satisfatório na Amazon, bajaj nam oi kafi hai, bahut acchi, faz o que significa ....., o espremedor é inútil, mas o liquidificador/moedor/misturador está bem, bom")</f>
        <v>Bom produto, bom, este produto é o produto mais satisfatório na Amazon, bajaj nam oi kafi hai, bahut acchi, faz o que significa ....., o espremedor é inútil, mas o liquidificador/moedor/misturador está bem, bom</v>
      </c>
      <c r="E1187" s="29" t="str">
        <f>IFERROR(__xludf.DUMMYFUNCTION("GOOGLETRANSLATE(C1187, ""en"", ""pt-br"")"),"É bom ir em geral, bom produto, bom, eu gosto muito deste produto em comparação com outra marca, poderosa motor, https: //m.media-amazon.com/images/w/webp_402378-t2/images/i/71eteyoii8l. _Sy88.jpg, é um bom produto ... recomendado para comprar ... especif"&amp;"icamente o espremedor é bom ... o nível de ruído é normal (com comparação com outros produtos de marca a esse preço) ..., a parte espremedor parece mal projetada À medida que as frutas ficam presas e somente depois de meio copo de suco, você o atolou e te"&amp;"m que limpá -lo. Não pegue isso se você quiser um espremedor. facilmente. O espremedor parece um truque para vender isso em um valor mais alto., Muito bom")</f>
        <v>É bom ir em geral, bom produto, bom, eu gosto muito deste produto em comparação com outra marca, poderosa motor, https: //m.media-amazon.com/images/w/webp_402378-t2/images/i/71eteyoii8l. _Sy88.jpg, é um bom produto ... recomendado para comprar ... especificamente o espremedor é bom ... o nível de ruído é normal (com comparação com outros produtos de marca a esse preço) ..., a parte espremedor parece mal projetada À medida que as frutas ficam presas e somente depois de meio copo de suco, você o atolou e tem que limpá -lo. Não pegue isso se você quiser um espremedor. facilmente. O espremedor parece um truque para vender isso em um valor mais alto., Muito bom</v>
      </c>
    </row>
    <row r="1188">
      <c r="A1188" s="9" t="s">
        <v>4793</v>
      </c>
      <c r="B1188" s="29" t="str">
        <f>VLOOKUP(dados!A1188, reviews!A:G, 5, FALSE)</f>
        <v>Value for money,Nice product,Good,Product is dirty,Very usefull but small size.,Attractive!!,Best product,Superb comfort</v>
      </c>
      <c r="C1188" s="29" t="str">
        <f>VLOOKUP(dados!A1188, reviews!A:G, 6, FALSE)</f>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didn’t like is it does not stand and which irritates sometimes,Very easy to use and can be folded and can be stored anywhere.. Must have product</v>
      </c>
      <c r="D1188" s="29" t="str">
        <f>IFERROR(__xludf.DUMMYFUNCTION("GOOGLETRANSLATE(B1188, ""en"", ""pt-br"")"),"Valor ao dinheiro, bom produto, bom, produto é sujo, muito útil, mas tamanho pequeno., Atraente !!, melhor produto, conforto excelente")</f>
        <v>Valor ao dinheiro, bom produto, bom, produto é sujo, muito útil, mas tamanho pequeno., Atraente !!, melhor produto, conforto excelente</v>
      </c>
      <c r="E1188" s="29" t="str">
        <f>IFERROR(__xludf.DUMMYFUNCTION("GOOGLETRANSLATE(C1188, ""en"", ""pt-br"")"),"Bom produto considerando o preço. Adorei., Bom produto, bom, o produto está bem. Mas este é o meu produto substituído. Ainda está sujo por dentro na parte inferior. Parece um produto antigo. O primeiro produto também estava sujo e então eu substituí e ele"&amp;"s continuam me enviando produtos com sujeira!, É um produto muito bom. Mas se é de tamanho grande mais útil para fins de lavanderia, parece bom. Muito fácil de usar e pode ser dobrado e pode ser armazenado em qualquer lugar. Deve ter produto")</f>
        <v>Bom produto considerando o preço. Adorei., Bom produto, bom, o produto está bem. Mas este é o meu produto substituído. Ainda está sujo por dentro na parte inferior. Parece um produto antigo. O primeiro produto também estava sujo e então eu substituí e eles continuam me enviando produtos com sujeira!, É um produto muito bom. Mas se é de tamanho grande mais útil para fins de lavanderia, parece bom. Muito fácil de usar e pode ser dobrado e pode ser armazenado em qualquer lugar. Deve ter produto</v>
      </c>
    </row>
    <row r="1189">
      <c r="A1189" s="9" t="s">
        <v>4797</v>
      </c>
      <c r="B1189" s="29" t="str">
        <f>VLOOKUP(dados!A1189, reviews!A:G, 5, FALSE)</f>
        <v>Nice good,Easy to use,Good , however little costly,Good one,Its good.,Excellent egg boiler.,Product is so good bat the cabale length is short,Must buy</v>
      </c>
      <c r="C1189" s="29" t="str">
        <f>VLOOKUP(dados!A1189, reviews!A:G, 6, FALSE)</f>
        <v>Like it,Awesome product 😊,Follow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It’s really easy to use. I would definitely recommend it to everyone.,Good quality,Must buy value for money</v>
      </c>
      <c r="D1189" s="29" t="str">
        <f>IFERROR(__xludf.DUMMYFUNCTION("GOOGLETRANSLATE(B1189, ""en"", ""pt-br"")"),"Bom bom, fácil de usar, bom, por mais caro, bom, é bom., Excelente caldeira de ovos., O produto é tão bom que o comprimento da cabala é curto, deve comprar")</f>
        <v>Bom bom, fácil de usar, bom, por mais caro, bom, é bom., Excelente caldeira de ovos., O produto é tão bom que o comprimento da cabala é curto, deve comprar</v>
      </c>
      <c r="E1189" s="29" t="str">
        <f>IFERROR(__xludf.DUMMYFUNCTION("GOOGLETRANSLATE(C1189, ""en"", ""pt-br"")"),"Como, produto incrível 😊, siga as instruções para obter o ovo cozido sem complicações, desliga automaticamente quando a água for fervida. Teria sido melhor se eles der algum alarme após o desligamento. A qualidade é boa, fácil de usar, eu gosto do produt"&amp;"o que nunca experimentei este produto antes. É bom a partir de agora., Eu tenho usado esta caldeira de ovos nos últimos 2 meses. É realmente fácil de usar. Definitivamente, eu recomendaria a todos., De boa qualidade, deve comprar valor para dinheiro")</f>
        <v>Como, produto incrível 😊, siga as instruções para obter o ovo cozido sem complicações, desliga automaticamente quando a água for fervida. Teria sido melhor se eles der algum alarme após o desligamento. A qualidade é boa, fácil de usar, eu gosto do produto que nunca experimentei este produto antes. É bom a partir de agora., Eu tenho usado esta caldeira de ovos nos últimos 2 meses. É realmente fácil de usar. Definitivamente, eu recomendaria a todos., De boa qualidade, deve comprar valor para dinheiro</v>
      </c>
    </row>
    <row r="1190">
      <c r="A1190" s="9" t="s">
        <v>4801</v>
      </c>
      <c r="B1190" s="29" t="str">
        <f>VLOOKUP(dados!A1190, reviews!A:G, 5, FALSE)</f>
        <v>Good metal,Nice product,Good product at reasonable price.,Working fine even after 2 to 3 months of use.,Nicely working sine 1 week,Amazing product!!!,Nice product,Easy to use</v>
      </c>
      <c r="C1190" s="29" t="str">
        <f>VLOOKUP(dados!A1190, reviews!A:G, 6, FALSE)</f>
        <v>I like look like nd easy to opreate,Product is good,Nice product...in reasonable price.,This item does not have a 2 year warranty as shown on the image. Will have to register for it.,Best one,Amazing product!!,Product is good and value for money.,</v>
      </c>
      <c r="D1190" s="29" t="str">
        <f>IFERROR(__xludf.DUMMYFUNCTION("GOOGLETRANSLATE(B1190, ""en"", ""pt-br"")"),"Bom metal, bom produto, bom produto a um preço razoável., Funcionando bem mesmo após 2 a 3 meses de uso., Sine bem funcionando 1 semana, produto incrível !!!, bom produto, fácil de usar")</f>
        <v>Bom metal, bom produto, bom produto a um preço razoável., Funcionando bem mesmo após 2 a 3 meses de uso., Sine bem funcionando 1 semana, produto incrível !!!, bom produto, fácil de usar</v>
      </c>
      <c r="E1190" s="29" t="str">
        <f>IFERROR(__xludf.DUMMYFUNCTION("GOOGLETRANSLATE(C1190, ""en"", ""pt-br"")"),"Gosto de parecer e fáceis de operar, o produto é bom, bom produto ... com preço razoável., Este item não possui uma garantia de 2 anos, como mostrado na imagem. Terá que se registrar., Melhor, produto incrível !!, produto é bom e valor ao dinheiro.,")</f>
        <v>Gosto de parecer e fáceis de operar, o produto é bom, bom produto ... com preço razoável., Este item não possui uma garantia de 2 anos, como mostrado na imagem. Terá que se registrar., Melhor, produto incrível !!, produto é bom e valor ao dinheiro.,</v>
      </c>
    </row>
    <row r="1191">
      <c r="A1191" s="9" t="s">
        <v>4805</v>
      </c>
      <c r="B1191" s="29" t="str">
        <f>VLOOKUP(dados!A1191, reviews!A:G, 5, FALSE)</f>
        <v>Value for money,Just worth it ....,verry usefull product,Not bad,Value for money,Decent product,Good product, but the quality is not so good, easily breakable,Good</v>
      </c>
      <c r="C1191" s="29" t="str">
        <f>VLOOKUP(dados!A1191, reviews!A:G, 6, FALSE)</f>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v>
      </c>
      <c r="D1191" s="29" t="str">
        <f>IFERROR(__xludf.DUMMYFUNCTION("GOOGLETRANSLATE(B1191, ""en"", ""pt-br"")"),"Valor pelo dinheiro, apenas vale a pena ...., produto útil, não é ruim, valor ao dinheiro, produto decente, bom produto, mas a qualidade não é tão boa, facilmente quebrada, boa")</f>
        <v>Valor pelo dinheiro, apenas vale a pena ...., produto útil, não é ruim, valor ao dinheiro, produto decente, bom produto, mas a qualidade não é tão boa, facilmente quebrada, boa</v>
      </c>
      <c r="E1191" s="29" t="str">
        <f>IFERROR(__xludf.DUMMYFUNCTION("GOOGLETRANSLATE(C1191, ""en"", ""pt-br"")"),"A tinta externa ficou facilmente arranhada, produto agradável, produto útil, nada ruim, os sanduíches ficam muito nítidos. Funciona bem, exceto que o revestimento é frágil e algumas delas saíram quando usei um utensílio de metal enquanto ainda estava quen"&amp;"te. Exceto por esses problemas, o produto é 5/5., o produto pode ser mais resistente., Bom produto, mas a qualidade não é tão boa, facilmente quebrada ,, bom")</f>
        <v>A tinta externa ficou facilmente arranhada, produto agradável, produto útil, nada ruim, os sanduíches ficam muito nítidos. Funciona bem, exceto que o revestimento é frágil e algumas delas saíram quando usei um utensílio de metal enquanto ainda estava quente. Exceto por esses problemas, o produto é 5/5., o produto pode ser mais resistente., Bom produto, mas a qualidade não é tão boa, facilmente quebrada ,, bom</v>
      </c>
    </row>
    <row r="1192">
      <c r="A1192" s="9" t="s">
        <v>4809</v>
      </c>
      <c r="B1192" s="29" t="str">
        <f>VLOOKUP(dados!A1192, reviews!A:G, 5, FALSE)</f>
        <v>Working with some issues,Digital display faulty,Best in budget,Quick heating and good digital temperature display,Installation and Inlet Outlet Fees are 350+250,Good,Good performance,Geyser looks compact and easy to access</v>
      </c>
      <c r="C1192" s="29" t="str">
        <f>VLOOKUP(dados!A1192, reviews!A:G, 6, FALSE)</f>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v>
      </c>
      <c r="D1192" s="29" t="str">
        <f>IFERROR(__xludf.DUMMYFUNCTION("GOOGLETRANSLATE(B1192, ""en"", ""pt-br"")"),"Trabalhando com alguns problemas, a exibição digital com defeito, melhor em orçamento, aquecimento rápido e boa exibição de temperatura digital, instalação e taxas de saída são 350+250, bom, bom desempenho, o gêisene parece compacto e fácil de acessar")</f>
        <v>Trabalhando com alguns problemas, a exibição digital com defeito, melhor em orçamento, aquecimento rápido e boa exibição de temperatura digital, instalação e taxas de saída são 350+250, bom, bom desempenho, o gêisene parece compacto e fácil de acessar</v>
      </c>
      <c r="E1192" s="29" t="str">
        <f>IFERROR(__xludf.DUMMYFUNCTION("GOOGLETRANSLATE(C1192, ""en"", ""pt-br"")"),"Comprou o modelo de 10 litros e 3kW para aquecimento mais rápido. Demora cerca de 10 minutos para aquecer a água da temperatura ambiente até a maior configuração de temperatura. Enfrentou um problema neste aquecedor no dia muito confuso de instalação. O i"&amp;"ndicador de luz verde que indica o aquecimento em andamento parou de funcionar no primeiro dia. Chamado de técnico em VGuard e ele disse que há problema com o botão seletor de tensão. O VGuard deve procurar o controle de qualidade, pois outros usuários ta"&amp;"mbém relataram esse problema de indicador de luz verde. dando a uma estrela menos para esse problema. Caso contrário, essa água está funcionando bem. O sistema de aquecimento funcionou perfeitamente. No entanto, a tela digital estava com defeito. Havia um"&amp;"a opção de substituição disponível quando a compramos. Mas quando optamos pela substituição, o produto era o nosso estoque. Por isso, tivemos que devolvê-lo., Usando-o do último 1 mês agora sem problemas e funcionando muito bem, fácil de usar, aquecimento"&amp;" rápido geral Produto Nice a considerar na determinada faixa de preço, a instalação do mesmo dia fornece por V Guard através Contato do WhatsApp porque antes da entrega que reservei para instalação ... Preço de instalação 350+ 250 para o tubo de entrada d"&amp;"e aço, porque esse modelo não forneceu uma entrada ... no geral, minha experiência é incrível com este gyser, é necessário 30-45 min para Calor completo Meu mostrador está definido para 45 graus+, mas você pode usar a água quente após 10 min. de aquecimen"&amp;"to ... parece ser legal e simples ... Recomntei a todos vocês que procuram este produto 100%, bom, bom desempenho- gêise")</f>
        <v>Comprou o modelo de 10 litros e 3kW para aquecimento mais rápido. Demora cerca de 10 minutos para aquecer a água da temperatura ambiente até a maior configuração de temperatura. Enfrentou um problema neste aquecedor no dia muito confuso de instalação. O indicador de luz verde que indica o aquecimento em andamento parou de funcionar no primeiro dia. Chamado de técnico em VGuard e ele disse que há problema com o botão seletor de tensão. O VGuard deve procurar o controle de qualidade, pois outros usuários também relataram esse problema de indicador de luz verde. dando a uma estrela menos para esse problema. Caso contrário, essa água está funcionando bem. O sistema de aquecimento funcionou perfeitamente. No entanto, a tela digital estava com defeito. Havia uma opção de substituição disponível quando a compramos. Mas quando optamos pela substituição, o produto era o nosso estoque. Por isso, tivemos que devolvê-lo., Usando-o do último 1 mês agora sem problemas e funcionando muito bem, fácil de usar, aquecimento rápido geral Produto Nice a considerar na determinada faixa de preço, a instalação do mesmo dia fornece por V Guard através Contato do WhatsApp porque antes da entrega que reservei para instalação ... Preço de instalação 350+ 250 para o tubo de entrada de aço, porque esse modelo não forneceu uma entrada ... no geral, minha experiência é incrível com este gyser, é necessário 30-45 min para Calor completo Meu mostrador está definido para 45 graus+, mas você pode usar a água quente após 10 min. de aquecimento ... parece ser legal e simples ... Recomntei a todos vocês que procuram este produto 100%, bom, bom desempenho- gêise</v>
      </c>
    </row>
    <row r="1193">
      <c r="A1193" s="9" t="s">
        <v>4813</v>
      </c>
      <c r="B1193" s="29" t="str">
        <f>VLOOKUP(dados!A1193, reviews!A:G, 5, FALSE)</f>
        <v>Very User friendly sewing machine for beginners,Easy to use,Good portable sewing machine,Good for starting light stitching and quick works. Easy peddal switch is convenient.. satisfactory,Overall its a best product at this price,Quite simple to use,ok product,Nice</v>
      </c>
      <c r="C1193" s="29" t="str">
        <f>VLOOKUP(dados!A1193, reviews!A:G, 6, FALSE)</f>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v>
      </c>
      <c r="D1193" s="29" t="str">
        <f>IFERROR(__xludf.DUMMYFUNCTION("GOOGLETRANSLATE(B1193, ""en"", ""pt-br"")"),"Máquina de costura muito fácil de usar para iniciantes, fácil de usar, boa máquina de costura portátil, boa para iniciar a costura leve e trabalhos rápidos. O interruptor Peddal fácil é conveniente.")</f>
        <v>Máquina de costura muito fácil de usar para iniciantes, fácil de usar, boa máquina de costura portátil, boa para iniciar a costura leve e trabalhos rápidos. O interruptor Peddal fácil é conveniente.</v>
      </c>
      <c r="E1193" s="29" t="str">
        <f>IFERROR(__xludf.DUMMYFUNCTION("GOOGLETRANSLATE(C1193, ""en"", ""pt-br"")"),", Costura simples para propósito próprio., Você é pequeno portátil para H, mas roupas de grife me mushkil hoti h. Costura simples k liye achhi h ágar apke pass machine badi na ho aur orçamento b kam ho. ,, é muito fácil para iniciantes, realmente vale a p"&amp;"ena para iniciantes., Não funcionando corretamente. Esperando que isso pudesse consertá -lo ... a entrega estava atrasada .. estava fora para entrega, mas não recebeu no mesmo dia .... e o pacote já estava aberto., bom produto")</f>
        <v>, Costura simples para propósito próprio., Você é pequeno portátil para H, mas roupas de grife me mushkil hoti h. Costura simples k liye achhi h ágar apke pass machine badi na ho aur orçamento b kam ho. ,, é muito fácil para iniciantes, realmente vale a pena para iniciantes., Não funcionando corretamente. Esperando que isso pudesse consertá -lo ... a entrega estava atrasada .. estava fora para entrega, mas não recebeu no mesmo dia .... e o pacote já estava aberto., bom produto</v>
      </c>
    </row>
    <row r="1194">
      <c r="A1194" s="9" t="s">
        <v>4820</v>
      </c>
      <c r="B1194" s="29" t="str">
        <f>VLOOKUP(dados!A1194, reviews!A:G, 5, FALSE)</f>
        <v>Nice,Good product,Poor,its Good working this iron,Water comes out,Average,I collect damaged item so i return but not received or replacement,Not that good but ok at the price of 899.</v>
      </c>
      <c r="C1194" s="29" t="str">
        <f>VLOOKUP(dados!A1194, reviews!A:G, 6, FALSE)</f>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v>
      </c>
      <c r="D1194" s="29" t="str">
        <f>IFERROR(__xludf.DUMMYFUNCTION("GOOGLETRANSLATE(B1194, ""en"", ""pt-br"")"),"Bom, bom produto, pobre, é bom trabalhar com este ferro, a água sai, médio, eu coleciono itens danificados para que eu volto, mas não recebi ou substitua, não tão bom, mas ok ao preço de 899.")</f>
        <v>Bom, bom produto, pobre, é bom trabalhar com este ferro, a água sai, médio, eu coleciono itens danificados para que eu volto, mas não recebi ou substitua, não tão bom, mas ok ao preço de 899.</v>
      </c>
      <c r="E1194" s="29" t="str">
        <f>IFERROR(__xludf.DUMMYFUNCTION("GOOGLETRANSLATE(C1194, ""en"", ""pt-br"")"),"Produto agradável, todos os recursos são bons, mas sinto alguma aspereza no fundo enquanto passava a passar, comprei este ferro no 1sept, usei -o por uma vez em 2 meses. Ferro parou de funcionar após 2 meses. Não vale a pena, obrigado, a água sai, ao pass"&amp;"ar, a operação é complicada, não é fácil., Item danificado que recebi para que eu devolvo meu produto, mas não respondo que não é bom esse projeto pesado, o produto é apenas ok.")</f>
        <v>Produto agradável, todos os recursos são bons, mas sinto alguma aspereza no fundo enquanto passava a passar, comprei este ferro no 1sept, usei -o por uma vez em 2 meses. Ferro parou de funcionar após 2 meses. Não vale a pena, obrigado, a água sai, ao passar, a operação é complicada, não é fácil., Item danificado que recebi para que eu devolvo meu produto, mas não respondo que não é bom esse projeto pesado, o produto é apenas ok.</v>
      </c>
    </row>
    <row r="1195">
      <c r="A1195" s="9" t="s">
        <v>4824</v>
      </c>
      <c r="B1195" s="29" t="str">
        <f>VLOOKUP(dados!A1195, reviews!A:G, 5, FALSE)</f>
        <v>Compact and powerful but alot of plastic,Overall good,Good product.,Superb product,Effecient and affordable product,Wonderchef Mixer,Very helpful,Very Bad quality product</v>
      </c>
      <c r="C1195" s="29" t="str">
        <f>VLOOKUP(dados!A1195, reviews!A:G, 6, FALSE)</f>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v>
      </c>
      <c r="D1195" s="29" t="str">
        <f>IFERROR(__xludf.DUMMYFUNCTION("GOOGLETRANSLATE(B1195, ""en"", ""pt-br"")"),"Compacto e poderoso, mas muito de plástico, em geral, bom, bom produto., Produto excelente, produto eficaz e acessível, mixer Wonderchef, produto muito útil, de muito ruim qualidade")</f>
        <v>Compacto e poderoso, mas muito de plástico, em geral, bom, bom produto., Produto excelente, produto eficaz e acessível, mixer Wonderchef, produto muito útil, de muito ruim qualidade</v>
      </c>
      <c r="E1195" s="29" t="str">
        <f>IFERROR(__xludf.DUMMYFUNCTION("GOOGLETRANSLATE(C1195, ""en"", ""pt-br"")"),"Em primeiro lugar, recebi o frasco rachado, mas o produto substituiu no dia seguinte. Gosto do design novo e compacto do produto, fácil de limpar e montar, e o motor poderoso sem opção de velocidade. Chopper Clucte e Blender mistura maravilhosamente. As c"&amp;"oisas que eu mais não gosto é o ruído, seu material totalmente plástico (a única coisa que não é um olho de plástico para abrir são apenas as lâminas) e o extrator de suco que não é um extrator de suco. , Eu sempre quis um espremedor, e então encontrei is"&amp;"so. Funciona como uma mágica tão fácil e tão rápida. O liquidificador também é bom. Eu o uso quase todos os dias para meu suco e milk -shakes. O principal problema com isso é que ele não possui um regulador 😕 e também o interruptor ligado e desligado, es"&amp;"sa é a principal desvantagem. Sobre tudo que eu gostei. Nenhum outro problema é um bom produto., O produto é tão bom. Mas eu tenho o Craceke em Jar Chopper depois de usar apenas duas ou três vezes. Então me avise, posso trocá -lo apenas jarra de helicópte"&amp;"ro?, A qualidade da construção do produto é boa. Usar o produto é muito fácil e depois de usar a limpeza também é muito fácil ... a qualidade de construção é boa e os frascos são bons .. a primeira impressão do produto é, é muito elegante e fácil de usar "&amp;"e manusear ... é muito Bom para especiarias e chutney ... masala especialmente seca masala moagem foi muito boa ... É uma habilidade de fazer suco foi tão agradável ... é muito fácil de limpar .., comprei este misturador e uma combinação de liquidificador"&amp;" de suco. É muito útil e eficaz no uso. Retra todo o material seco e úmido muito bem. O espremedor dá suco fresco e remove todas as sementes sem dar gosto amargo. Esmaga o gelo também. O liquidificador faz todo tipo de shakes e smoothies. Ótimo para uso d"&amp;"iário., Podemos usar um produto facilmente bom para todos, eu o uso da rotina diária inmy,")</f>
        <v>Em primeiro lugar, recebi o frasco rachado, mas o produto substituiu no dia seguinte. Gosto do design novo e compacto do produto, fácil de limpar e montar, e o motor poderoso sem opção de velocidade. Chopper Clucte e Blender mistura maravilhosamente. As coisas que eu mais não gosto é o ruído, seu material totalmente plástico (a única coisa que não é um olho de plástico para abrir são apenas as lâminas) e o extrator de suco que não é um extrator de suco. , Eu sempre quis um espremedor, e então encontrei isso. Funciona como uma mágica tão fácil e tão rápida. O liquidificador também é bom. Eu o uso quase todos os dias para meu suco e milk -shakes. O principal problema com isso é que ele não possui um regulador 😕 e também o interruptor ligado e desligado, essa é a principal desvantagem. Sobre tudo que eu gostei. Nenhum outro problema é um bom produto., O produto é tão bom. Mas eu tenho o Craceke em Jar Chopper depois de usar apenas duas ou três vezes. Então me avise, posso trocá -lo apenas jarra de helicóptero?, A qualidade da construção do produto é boa. Usar o produto é muito fácil e depois de usar a limpeza também é muito fácil ... a qualidade de construção é boa e os frascos são bons .. a primeira impressão do produto é, é muito elegante e fácil de usar e manusear ... é muito Bom para especiarias e chutney ... masala especialmente seca masala moagem foi muito boa ... É uma habilidade de fazer suco foi tão agradável ... é muito fácil de limpar .., comprei este misturador e uma combinação de liquidificador de suco. É muito útil e eficaz no uso. Retra todo o material seco e úmido muito bem. O espremedor dá suco fresco e remove todas as sementes sem dar gosto amargo. Esmaga o gelo também. O liquidificador faz todo tipo de shakes e smoothies. Ótimo para uso diário., Podemos usar um produto facilmente bom para todos, eu o uso da rotina diária inmy,</v>
      </c>
    </row>
    <row r="1196">
      <c r="A1196" s="9" t="s">
        <v>4828</v>
      </c>
      <c r="B1196" s="29" t="str">
        <f>VLOOKUP(dados!A1196, reviews!A:G, 5, FALSE)</f>
        <v>Nice frother,Nice product I like this product,Best,Very low power and quality,Good quality,Waste of money,Awesome,Satisfied purchase</v>
      </c>
      <c r="C1196" s="29" t="str">
        <f>VLOOKUP(dados!A1196, reviews!A:G, 6, FALSE)</f>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v>
      </c>
      <c r="D1196" s="29" t="str">
        <f>IFERROR(__xludf.DUMMYFUNCTION("GOOGLETRANSLATE(B1196, ""en"", ""pt-br"")"),"Bom Frother, Nice Produto Gosto deste Produto, Melhor Potência e Qualidade muito baixa, boa qualidade, desperdício de dinheiro, compra incrível e satisfeita")</f>
        <v>Bom Frother, Nice Produto Gosto deste Produto, Melhor Potência e Qualidade muito baixa, boa qualidade, desperdício de dinheiro, compra incrível e satisfeita</v>
      </c>
      <c r="E1196" s="29" t="str">
        <f>IFERROR(__xludf.DUMMYFUNCTION("GOOGLETRANSLATE(C1196, ""en"", ""pt-br"")"),"Este é o meu primeiro café e eu simplesmente adorei. Ele preparou a espuma pronta para o café em apenas 1 minuto., É um produto muito bom. Manuseio fácil, é fácil de usar e fácil de limpar. Também leve e boa velocidade que é muito necessária para a espuma"&amp;". Vale a pena comprar., Pior produto, este produto é fácil de controlar e fácil de limpar, você pode usá -lo como café, capa de espuma, fabricante de chocolate quente. Melhor no mercado., Encomendei isso para meu próprio uso. É uma cafeteira muito incríve"&amp;"l, bem como misturador para leite. Produto muito confiável.")</f>
        <v>Este é o meu primeiro café e eu simplesmente adorei. Ele preparou a espuma pronta para o café em apenas 1 minuto., É um produto muito bom. Manuseio fácil, é fácil de usar e fácil de limpar. Também leve e boa velocidade que é muito necessária para a espuma. Vale a pena comprar., Pior produto, este produto é fácil de controlar e fácil de limpar, você pode usá -lo como café, capa de espuma, fabricante de chocolate quente. Melhor no mercado., Encomendei isso para meu próprio uso. É uma cafeteira muito incrível, bem como misturador para leite. Produto muito confiável.</v>
      </c>
    </row>
    <row r="1197">
      <c r="A1197" s="9" t="s">
        <v>4832</v>
      </c>
      <c r="B1197" s="29" t="str">
        <f>VLOOKUP(dados!A1197, reviews!A:G, 5, FALSE)</f>
        <v>Superb,Quite efficient,Go for it,Very nice,Noisy but works good.,Powerful grinding,Satisfied for the time being.,Solid purchase</v>
      </c>
      <c r="C1197" s="29" t="str">
        <f>VLOOKUP(dados!A1197, reviews!A:G, 6, FALSE)</f>
        <v>Good mixer under 3500,Noise level is slightly high, but quite efficient,Product is ultimate 👌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v>
      </c>
      <c r="D1197" s="29" t="str">
        <f>IFERROR(__xludf.DUMMYFUNCTION("GOOGLETRANSLATE(B1197, ""en"", ""pt-br"")"),"Excelente, bastante eficiente, vá em frente, muito bom, barulhento, mas funciona bem.")</f>
        <v>Excelente, bastante eficiente, vá em frente, muito bom, barulhento, mas funciona bem.</v>
      </c>
      <c r="E1197" s="29" t="str">
        <f>IFERROR(__xludf.DUMMYFUNCTION("GOOGLETRANSLATE(C1197, ""en"", ""pt-br"")"),"Bom misturador abaixo de 3500, o nível de ruído é um pouco alto, mas o produto é definitivo para o melhor. Mas funciona bem. Teria amado se tivesse uma tigela extra para aquela lâmina extra. Agitado para mudar a lâmina em outra tigela para usar a lâmina e"&amp;"xtra. [Sugestão: um frasco invertido também seria bom.] O espremedor tem o sistema de travamento solto, todos os outros têm bons sistemas de travamento. Algum plástico da malha foi cortado ao usá -lo, que precisa de melhor alinhamento. Geralmente vale a c"&amp;"ompra. Mesmo com o excesso de ruído. Além disso, o aperto do parafuso para trocar as lâminas quebrou após 3-5 alterações de lâminas. Mas isso não é grande coisa. Teria sido melhor ter um aperto durável de nozes. Recomendar comprar esses acessórios de boa "&amp;"qualidade e poderoso motor de 750 watts. Não menos que o Bosh Grinder por menos preço. Eu havia comprado 1 kW ativo anteriormente na Amazon, mas o item que está desequilibrado foi devolvido para substituição. A peça de substituição recebida tem o mesmo de"&amp;"feito que foi devolvido para sempre. Então, tendo em vista as revisões que fui para este item e até agora seu desempenho é satisfatório, embora algumas das revisões tenham sido desencorajadoras. Se você quer energia e taxas razoáveis, vá em frente., Item "&amp;"muito bom")</f>
        <v>Bom misturador abaixo de 3500, o nível de ruído é um pouco alto, mas o produto é definitivo para o melhor. Mas funciona bem. Teria amado se tivesse uma tigela extra para aquela lâmina extra. Agitado para mudar a lâmina em outra tigela para usar a lâmina extra. [Sugestão: um frasco invertido também seria bom.] O espremedor tem o sistema de travamento solto, todos os outros têm bons sistemas de travamento. Algum plástico da malha foi cortado ao usá -lo, que precisa de melhor alinhamento. Geralmente vale a compra. Mesmo com o excesso de ruído. Além disso, o aperto do parafuso para trocar as lâminas quebrou após 3-5 alterações de lâminas. Mas isso não é grande coisa. Teria sido melhor ter um aperto durável de nozes. Recomendar comprar esses acessórios de boa qualidade e poderoso motor de 750 watts. Não menos que o Bosh Grinder por menos preço. Eu havia comprado 1 kW ativo anteriormente na Amazon, mas o item que está desequilibrado foi devolvido para substituição. A peça de substituição recebida tem o mesmo defeito que foi devolvido para sempre. Então, tendo em vista as revisões que fui para este item e até agora seu desempenho é satisfatório, embora algumas das revisões tenham sido desencorajadoras. Se você quer energia e taxas razoáveis, vá em frente., Item muito bom</v>
      </c>
    </row>
    <row r="1198">
      <c r="A1198" s="9" t="s">
        <v>4836</v>
      </c>
      <c r="B1198" s="29" t="str">
        <f>VLOOKUP(dados!A1198, reviews!A:G, 5, FALSE)</f>
        <v>Over Expensive product,Handy,better to buy normal iron box,Inefficient and time-consuming.,Water tank is too small,Wrinkle free and easy to handle,works very well,Just ok</v>
      </c>
      <c r="C1198" s="29" t="str">
        <f>VLOOKUP(dados!A1198, reviews!A:G, 6, FALSE)</f>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v>
      </c>
      <c r="D1198" s="29" t="str">
        <f>IFERROR(__xludf.DUMMYFUNCTION("GOOGLETRANSLATE(B1198, ""en"", ""pt-br"")"),"Sobre o produto caro, prático, melhor para comprar caixa de ferro normal, ineficiente e demorado., O tanque de água é muito pequeno, sem rugas e fácil de manusear, funciona muito bem, apenas ok")</f>
        <v>Sobre o produto caro, prático, melhor para comprar caixa de ferro normal, ineficiente e demorado., O tanque de água é muito pequeno, sem rugas e fácil de manusear, funciona muito bem, apenas ok</v>
      </c>
      <c r="E1198" s="29" t="str">
        <f>IFERROR(__xludf.DUMMYFUNCTION("GOOGLETRANSLATE(C1198, ""en"", ""pt-br"")"),"O produto é muito útil, mas a capacidade da água é muito baixa! Decepcionada com os preços do produto, considerando seu tempo de potência e uso. Você não pode passar mais de duas roupas antes do reabastecimento da água. Como a área da boca não é muito, vo"&amp;"cê precisará movê -la tantas vezes lentamente em todo o pano. A quantidade de câmera é boa, mas o design é tal que você pode ' T Pressione-o dificilmente no pano durante a ferro. Então, no geral, lembre-se de que é apenas para comprar que é apenas para em"&amp;"ergência e viagem para desabrutar roupas já passadas., Bom produto. Faz o que diz. Embora o tanque de água possa ter sido maior., É melhor comprar caixa de ferro normal, leva muito tempo e não é muito fácil de usar. Você precisará usar o ferro convenciona"&amp;"l, mesmo depois de usar este vapor na maioria das roupas. Funciona apenas para os tecidos sintéticos. É melhor manter o ferro convencional. Hiii O tanque de água é muito pequeno e só pode usar para uma camisa ou camiseta, então por favor se concentre niss"&amp;"o também, absolutamente bom. Fácil de manusear e movimento flexível. Levei menos de 5 minutos para irritar kurti.advice para os usuários - siga as instruções com cuidado, tenha alguma paciência e funciona muito bem. , O produto é bom, infelizmente veio co"&amp;"m um manual. Eu tive que descobrir o nosso onde estava o tanque de água e usá -lo. Caso contrário, o produto funciona bem., O armazenamento de água muito baixo é o que me afastou. Caso contrário, está tudo bem. Faz o trabalho. Mas às vezes precisam reabas"&amp;"tecer a água mesmo para uma única peça de roupa")</f>
        <v>O produto é muito útil, mas a capacidade da água é muito baixa! Decepcionada com os preços do produto, considerando seu tempo de potência e uso. Você não pode passar mais de duas roupas antes do reabastecimento da água. Como a área da boca não é muito, você precisará movê -la tantas vezes lentamente em todo o pano. A quantidade de câmera é boa, mas o design é tal que você pode ' T Pressione-o dificilmente no pano durante a ferro. Então, no geral, lembre-se de que é apenas para comprar que é apenas para emergência e viagem para desabrutar roupas já passadas., Bom produto. Faz o que diz. Embora o tanque de água possa ter sido maior., É melhor comprar caixa de ferro normal, leva muito tempo e não é muito fácil de usar. Você precisará usar o ferro convencional, mesmo depois de usar este vapor na maioria das roupas. Funciona apenas para os tecidos sintéticos. É melhor manter o ferro convencional. Hiii O tanque de água é muito pequeno e só pode usar para uma camisa ou camiseta, então por favor se concentre nisso também, absolutamente bom. Fácil de manusear e movimento flexível. Levei menos de 5 minutos para irritar kurti.advice para os usuários - siga as instruções com cuidado, tenha alguma paciência e funciona muito bem. , O produto é bom, infelizmente veio com um manual. Eu tive que descobrir o nosso onde estava o tanque de água e usá -lo. Caso contrário, o produto funciona bem., O armazenamento de água muito baixo é o que me afastou. Caso contrário, está tudo bem. Faz o trabalho. Mas às vezes precisam reabastecer a água mesmo para uma única peça de roupa</v>
      </c>
    </row>
    <row r="1199">
      <c r="A1199" s="9" t="s">
        <v>4840</v>
      </c>
      <c r="B1199" s="29" t="str">
        <f>VLOOKUP(dados!A1199, reviews!A:G, 5, FALSE)</f>
        <v>Bht hi achi hai aur usefull b..thanx amazon....mgr aap delivery charges khatam karen, plzzzzzzp.,Good quality products,Good quality product,Go for it,Extremely useful and great quality!,Good 👍,It is what is told quality is also very good,Value for money</v>
      </c>
      <c r="C1199" s="29" t="str">
        <f>VLOOKUP(dados!A1199, reviews!A:G, 6, FALSE)</f>
        <v>Very usefull , lekin size mai zara choti h, otherwise fine,Durable and quality products. Essential for multi purpose use.,Product quality is good,Good quality product in such price. Fine spray. Cute little funnel and stickers were also there.Thumbs up 👍🏼,These spray bottles are made of high quality plastic and the spray is also very effective.I found this product very helpful and easy to use, highly recommended!!Regards,Manish.,It is very useful... 👍,Plastic quality is very good,Nice bottles.....good plastic material</v>
      </c>
      <c r="D1199" s="29" t="str">
        <f>IFERROR(__xludf.DUMMYFUNCTION("GOOGLETRANSLATE(B1199, ""en"", ""pt-br"")"),"Bht oi achi hai aur útil b..thanx Amazon .... MGR AAP ENCERRO DE ENCONTRO KHATAM KAREN, PLZZZZZP., Produtos de boa qualidade, produto de boa qualidade, vá em frente, extremamente útil e de ótima qualidade!, Bom 👍, é o que é o que é informado que a qualid"&amp;"ade também é muito boa, valor ao dinheiro")</f>
        <v>Bht oi achi hai aur útil b..thanx Amazon .... MGR AAP ENCERRO DE ENCONTRO KHATAM KAREN, PLZZZZZP., Produtos de boa qualidade, produto de boa qualidade, vá em frente, extremamente útil e de ótima qualidade!, Bom 👍, é o que é o que é informado que a qualidade também é muito boa, valor ao dinheiro</v>
      </c>
      <c r="E1199" s="29" t="str">
        <f>IFERROR(__xludf.DUMMYFUNCTION("GOOGLETRANSLATE(C1199, ""en"", ""pt-br"")"),"Muito útil, Lekin Size Mai Zara Choti H, caso contrário, produtos duráveis ​​e de qualidade. Essencial para o uso de vários fins., A qualidade do produto é boa, produtos de boa qualidade com esse preço. Spray fino. Funil e adesivos bonitos também estavam "&amp;"lá. , É muito útil ... 👍, a qualidade de plástico é muito boa, garrafas agradáveis ​​..... bom material de plástico")</f>
        <v>Muito útil, Lekin Size Mai Zara Choti H, caso contrário, produtos duráveis ​​e de qualidade. Essencial para o uso de vários fins., A qualidade do produto é boa, produtos de boa qualidade com esse preço. Spray fino. Funil e adesivos bonitos também estavam lá. , É muito útil ... 👍, a qualidade de plástico é muito boa, garrafas agradáveis ​​..... bom material de plástico</v>
      </c>
    </row>
    <row r="1200">
      <c r="A1200" s="9" t="s">
        <v>4847</v>
      </c>
      <c r="B1200" s="29" t="str">
        <f>VLOOKUP(dados!A1200, reviews!A:G, 5, FALSE)</f>
        <v>little bit good,Not Bad,sleek,good,Good product,Nice fan,Simple but effective,अभी यूज करते हुए जड टाइम नहीं हुआ है</v>
      </c>
      <c r="C1200" s="29" t="str">
        <f>VLOOKUP(dados!A1200, reviews!A:G, 6, FALSE)</f>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v>
      </c>
      <c r="D1200" s="29" t="str">
        <f>IFERROR(__xludf.DUMMYFUNCTION("GOOGLETRANSLATE(B1200, ""en"", ""pt-br"")"),"Um pouco bom, nada mal, elegante, bom, bom produto, bom fã, simples, mas eficaz, अभी क करते हुए ट टाइम नहीं हुआ है है")</f>
        <v>Um pouco bom, nada mal, elegante, bom, bom produto, bom fã, simples, mas eficaz, अभी क करते हुए ट टाइम नहीं हुआ है है</v>
      </c>
      <c r="E1200" s="29" t="str">
        <f>IFERROR(__xludf.DUMMYFUNCTION("GOOGLETRANSLATE(C1200, ""en"", ""pt-br"")"),"Não é um Easy descobrir este produto, neste produto que realiza a poluição sonora pesada em 4 thpped, nada ruim nesse preço, o ventilador funciona bem em alta velocidade. No entanto, em baixa velocidade, faz um ruído de moagem., 3 mangaya tha, 1 mai bhut "&amp;"awaj ara tha purane, baki 2 sahi h, troca mai aca bhjna bhai, bom produto, bom fã ... mas algo provavelmente no ventilador. Como pode usar o cartão Warrnty? E me .., faz o trabalho com eficiência é tudo.,")</f>
        <v>Não é um Easy descobrir este produto, neste produto que realiza a poluição sonora pesada em 4 thpped, nada ruim nesse preço, o ventilador funciona bem em alta velocidade. No entanto, em baixa velocidade, faz um ruído de moagem., 3 mangaya tha, 1 mai bhut awaj ara tha purane, baki 2 sahi h, troca mai aca bhjna bhai, bom produto, bom fã ... mas algo provavelmente no ventilador. Como pode usar o cartão Warrnty? E me .., faz o trabalho com eficiência é tudo.,</v>
      </c>
    </row>
    <row r="1201">
      <c r="A1201" s="9" t="s">
        <v>4851</v>
      </c>
      <c r="B1201" s="29" t="str">
        <f>VLOOKUP(dados!A1201, reviews!A:G, 5, FALSE)</f>
        <v>Good,Return value of money spent,Small size.,Good bag, bad straps,Diameter and Steadiness,Value for money,The quality of material and stitching is good, but it is not sturdy.,Good but a little costly for what it is.</v>
      </c>
      <c r="C1201" s="29" t="str">
        <f>VLOOKUP(dados!A1201, reviews!A:G, 6, FALSE)</f>
        <v>Like,Return value of spent money,Doesn't look like waterproof material.N small in size,The bag has two stitched fabric straps on either side that act as handles. These straps are not stitched properly and will break easily.,It’s diameter is not so large as seen in photo, and also it doesn’t have wire supports to stand on its own. If you’re purchasing such product look for one which have spherical wire support,Good quality... value for money..,The quality of material and stitching is good, but it is not sturdy.,Good but a little costly for what it is.</v>
      </c>
      <c r="D1201" s="29" t="str">
        <f>IFERROR(__xludf.DUMMYFUNCTION("GOOGLETRANSLATE(B1201, ""en"", ""pt-br"")"),"Bom, valor de retorno do dinheiro gasto, tamanho pequeno., Boa bolsa, tiras ruins, diâmetro e firmeza, valor ao dinheiro, a qualidade do material e a costura é boa, mas não é robusta., Bom, mas um pouco caro para o que é é.")</f>
        <v>Bom, valor de retorno do dinheiro gasto, tamanho pequeno., Boa bolsa, tiras ruins, diâmetro e firmeza, valor ao dinheiro, a qualidade do material e a costura é boa, mas não é robusta., Bom, mas um pouco caro para o que é é.</v>
      </c>
      <c r="E1201" s="29" t="str">
        <f>IFERROR(__xludf.DUMMYFUNCTION("GOOGLETRANSLATE(C1201, ""en"", ""pt-br"")"),"Assim, o valor de retorno do dinheiro gasto, não parece um material à prova d'água. Não de tamanho pequeno, a bolsa possui duas tiras de tecido costurado de ambos os lados que atuam como alças. Essas tiras não são costuradas corretamente e quebram com fac"&amp;"ilidade., Seu diâmetro não é tão grande como visto na foto, e também não possui suportes de arame para permanecer por conta própria. Se você está comprando esse produto, procure um que tenha suporte esférico de arame, boa qualidade ... valor por dinheiro "&amp;".., a qualidade do material e a costura é boa, mas não é robusta., Bom, mas um pouco caro para o que isso é.")</f>
        <v>Assim, o valor de retorno do dinheiro gasto, não parece um material à prova d'água. Não de tamanho pequeno, a bolsa possui duas tiras de tecido costurado de ambos os lados que atuam como alças. Essas tiras não são costuradas corretamente e quebram com facilidade., Seu diâmetro não é tão grande como visto na foto, e também não possui suportes de arame para permanecer por conta própria. Se você está comprando esse produto, procure um que tenha suporte esférico de arame, boa qualidade ... valor por dinheiro .., a qualidade do material e a costura é boa, mas não é robusta., Bom, mas um pouco caro para o que isso é.</v>
      </c>
    </row>
    <row r="1202">
      <c r="A1202" s="9" t="s">
        <v>4855</v>
      </c>
      <c r="B1202" s="29" t="str">
        <f>VLOOKUP(dados!A1202, reviews!A:G, 5, FALSE)</f>
        <v>Tools,Good product,Small yet powerful,Pretty good for the price,Good quality,More than price worthy,MUST BUY IT,Great product!</v>
      </c>
      <c r="C1202" s="29" t="str">
        <f>VLOOKUP(dados!A1202, reviews!A:G, 6, FALSE)</f>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it,It’s one of the most Convenient product and multiple use. It’s durable and easy to use. I really like this product. 10/10.Must buy it.,Great product! Value for money. Go for it!</v>
      </c>
      <c r="D1202" s="29" t="str">
        <f>IFERROR(__xludf.DUMMYFUNCTION("GOOGLETRANSLATE(B1202, ""en"", ""pt-br"")"),"Ferramentas, bom produto, pequeno, porém poderoso, muito bom para o preço, boa qualidade, mais do que digno de preço, deve comprá -lo, ótimo produto!")</f>
        <v>Ferramentas, bom produto, pequeno, porém poderoso, muito bom para o preço, boa qualidade, mais do que digno de preço, deve comprá -lo, ótimo produto!</v>
      </c>
      <c r="E1202" s="29" t="str">
        <f>IFERROR(__xludf.DUMMYFUNCTION("GOOGLETRANSLATE(C1202, ""en"", ""pt-br"")"),"Ok, Badhiya H .., os anexos poderiam ter sido um pouco mais longos, este batedor é menos da metade do preço das marcas regulares, mas parece fazer bem o trabalho. Não é certo sobre o uso pesado, mas extremamente útil para mexer ovos, gelo Creme, merengue "&amp;"ou batedores de bolo leve. Este é exatamente o mesmo batedor que parece estar disponível em muitos nomes neste site, com preços que variam entre 430 a 599 (a partir de dezembro de 2022), por isso, se comprar o preço mais barato, como eu fiz . Não vem com "&amp;"garantia, mas eu me arrisquei e parece ter valido a pena., Ko, o usa há meses e ainda funciona sem problemas. É muito fácil de usar e limpar e é eficaz. Vá em frente, é um dos produtos mais convenientes e uso múltiplo. É durável e fácil de usar. Eu realme"&amp;"nte gosto deste produto. 10/10. Buy It., Ótimo produto! Custo-benefício. Vá em frente!")</f>
        <v>Ok, Badhiya H .., os anexos poderiam ter sido um pouco mais longos, este batedor é menos da metade do preço das marcas regulares, mas parece fazer bem o trabalho. Não é certo sobre o uso pesado, mas extremamente útil para mexer ovos, gelo Creme, merengue ou batedores de bolo leve. Este é exatamente o mesmo batedor que parece estar disponível em muitos nomes neste site, com preços que variam entre 430 a 599 (a partir de dezembro de 2022), por isso, se comprar o preço mais barato, como eu fiz . Não vem com garantia, mas eu me arrisquei e parece ter valido a pena., Ko, o usa há meses e ainda funciona sem problemas. É muito fácil de usar e limpar e é eficaz. Vá em frente, é um dos produtos mais convenientes e uso múltiplo. É durável e fácil de usar. Eu realmente gosto deste produto. 10/10. Buy It., Ótimo produto! Custo-benefício. Vá em frente!</v>
      </c>
    </row>
    <row r="1203">
      <c r="A1203" s="9" t="s">
        <v>4861</v>
      </c>
      <c r="B1203" s="29" t="str">
        <f>VLOOKUP(dados!A1203, reviews!A:G, 5, FALSE)</f>
        <v>Oratech Best Coffee Frother,Great,My review about Oratech Coffee Frother for milk,Good product,Easy to use 👍,Good product,best product,Easy to use</v>
      </c>
      <c r="C1203" s="29" t="str">
        <f>VLOOKUP(dados!A1203, reviews!A:G, 6, FALSE)</f>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too.👍😊😊,Best milk frother for coffeeIt is easy to use.,Every coffee lover must try this electric coffee frother</v>
      </c>
      <c r="D1203" s="29" t="str">
        <f>IFERROR(__xludf.DUMMYFUNCTION("GOOGLETRANSLATE(B1203, ""en"", ""pt-br"")"),"Oratech Best Coffee Frother, ótimo, minha resenha sobre Oratech Coffee Frother para leite, bom produto, fácil de usar 👍, bom produto, melhor produto, fácil de usar")</f>
        <v>Oratech Best Coffee Frother, ótimo, minha resenha sobre Oratech Coffee Frother para leite, bom produto, fácil de usar 👍, bom produto, melhor produto, fácil de usar</v>
      </c>
      <c r="E1203" s="29" t="str">
        <f>IFERROR(__xludf.DUMMYFUNCTION("GOOGLETRANSLATE(C1203, ""en"", ""pt-br"")"),"No geral, eu amo esse cafeteiro oratech e o usei muuuuito muitas vezes desde que a comprava. Eu o uso principalmente para fazer café chicoteado, mas também o usei para misturar proteínas em pó no leite e no leite / creme para café. É incrível eficaz para "&amp;"substâncias líquidas exclusivamente como leite e creme; Eu percebi isso depois de atrapalhar meu creme uma manhã a ponto de pura espuma lol. Depois disso, lembrei -me e sei que apenas fazê -lo por um curto período de tempo. Super fácil de usar, versátil n"&amp;"o que ele pode ser usado (no que diz respeito aos líquidos), e ele parece realmente fofo na seção de fabricação de café do meu balcão. O estande é um enormeee Plus, eu definitivamente não compraria uma opção alternativa sem uma. Faz o trabalho para o café"&amp;" chicoteado. Eu também uso este produto para misturar meu pó matcha e meu açafrão-cinnamon-ginger-coconut em pó Lattes . Este caça retira todos os caroços e solavancos. Como a mistura resultante é suave, não desperdiça os ingredientes como mexer com uma c"&amp;"olher. Então, tão bom! Isso tornou meus favoritos ainda mais práticos e deliciosos. Não encontrei nada sobre este produto que não gosto. Eu recomendaria este produto para outras pessoas e já o fiz. Pegue! Você ficará satisfeito. É o melhor batedor de café"&amp;"., Eu realmente gostei deste cafeteiro. Com sua ajuda, estou fazendo o cappuccino com facilidade em casa. Fácil de limpar também., Este cafeteiro de oratech facilita e divertido o jogo de café. Depois de usá -lo por uma semana. Estou compartilhando seus p"&amp;"rós e conspros: 1. O leite espumante para o café é mais fácil e divertido com o batedor de café Oratech.2. A qualidade do material é boa. É portátil para que você possa usá -lo em qualquer lugar. É pequeno para que você possa mantê -lo em qualquer lugar. "&amp;"O líquido pesado espumante é difícil. Meu sentimento geral sobre este produto é que você é um amante de café e deseja fazer café espumoso. É melhor para você., Produto de melhor qualidade. Fácil de usar e fácil de limpar. Melhor caça de café e fácil de fa"&amp;"zer café. Adorei este produto., Este produto é fácil de usar, durável e ajuda a se misturar rapidamente., Um produto tão bom e gosta de tornar o café e também. amante do café deve experimentar este cafeteiro elétrico")</f>
        <v>No geral, eu amo esse cafeteiro oratech e o usei muuuuito muitas vezes desde que a comprava. Eu o uso principalmente para fazer café chicoteado, mas também o usei para misturar proteínas em pó no leite e no leite / creme para café. É incrível eficaz para substâncias líquidas exclusivamente como leite e creme; Eu percebi isso depois de atrapalhar meu creme uma manhã a ponto de pura espuma lol. Depois disso, lembrei -me e sei que apenas fazê -lo por um curto período de tempo. Super fácil de usar, versátil no que ele pode ser usado (no que diz respeito aos líquidos), e ele parece realmente fofo na seção de fabricação de café do meu balcão. O estande é um enormeee Plus, eu definitivamente não compraria uma opção alternativa sem uma. Faz o trabalho para o café chicoteado. Eu também uso este produto para misturar meu pó matcha e meu açafrão-cinnamon-ginger-coconut em pó Lattes . Este caça retira todos os caroços e solavancos. Como a mistura resultante é suave, não desperdiça os ingredientes como mexer com uma colher. Então, tão bom! Isso tornou meus favoritos ainda mais práticos e deliciosos. Não encontrei nada sobre este produto que não gosto. Eu recomendaria este produto para outras pessoas e já o fiz. Pegue! Você ficará satisfeito. É o melhor batedor de café., Eu realmente gostei deste cafeteiro. Com sua ajuda, estou fazendo o cappuccino com facilidade em casa. Fácil de limpar também., Este cafeteiro de oratech facilita e divertido o jogo de café. Depois de usá -lo por uma semana. Estou compartilhando seus prós e conspros: 1. O leite espumante para o café é mais fácil e divertido com o batedor de café Oratech.2. A qualidade do material é boa. É portátil para que você possa usá -lo em qualquer lugar. É pequeno para que você possa mantê -lo em qualquer lugar. O líquido pesado espumante é difícil. Meu sentimento geral sobre este produto é que você é um amante de café e deseja fazer café espumoso. É melhor para você., Produto de melhor qualidade. Fácil de usar e fácil de limpar. Melhor caça de café e fácil de fazer café. Adorei este produto., Este produto é fácil de usar, durável e ajuda a se misturar rapidamente., Um produto tão bom e gosta de tornar o café e também. amante do café deve experimentar este cafeteiro elétrico</v>
      </c>
    </row>
    <row r="1204">
      <c r="A1204" s="9" t="s">
        <v>4865</v>
      </c>
      <c r="B1204" s="29" t="str">
        <f>VLOOKUP(dados!A1204, reviews!A:G, 5, FALSE)</f>
        <v>Nice product in this range,After 3 month of using ,,observed decorative ,less noise upto medium speed ,overall OK .,Best product,need to improve on noise,Good fan,Good,Noisy,Value for money spent</v>
      </c>
      <c r="C1204" s="29" t="str">
        <f>VLOOKUP(dados!A1204, reviews!A:G, 6, FALSE)</f>
        <v>https://m.media-amazon.com/images/W/WEBP_402378-T2/images/I/7147iYDvBTL._SY88.jpg,decorative ,less noise upto medium speed ,overall OK .,Nice and silent fan 👌,while running on low speed, heavy noise is coming, havells need to improve..,Good fan,Does the work,,Air delivery satisfactory but chrome color not matched.</v>
      </c>
      <c r="D1204" s="29" t="str">
        <f>IFERROR(__xludf.DUMMYFUNCTION("GOOGLETRANSLATE(B1204, ""en"", ""pt-br"")"),"Bom produto nesse intervalo, após 3 meses de uso ,,")</f>
        <v>Bom produto nesse intervalo, após 3 meses de uso ,,</v>
      </c>
      <c r="E1204" s="29" t="str">
        <f>IFERROR(__xludf.DUMMYFUNCTION("GOOGLETRANSLATE(C1204, ""en"", ""pt-br"")"),"https://m.media-amazon.com/images/w/webp_402378-t2/images/i/7147iydvbtl._sy88.jpg,Decorativo, menos ruído até velocidade média, ok geral. Em baixa velocidade e ruído pesado está chegando, os Havells precisam melhorar .., um bom ventilador, faz o trabalho,"&amp;" a entrega de ar satisfatória, mas a cor cromada não corresponde.")</f>
        <v>https://m.media-amazon.com/images/w/webp_402378-t2/images/i/7147iydvbtl._sy88.jpg,Decorativo, menos ruído até velocidade média, ok geral. Em baixa velocidade e ruído pesado está chegando, os Havells precisam melhorar .., um bom ventilador, faz o trabalho, a entrega de ar satisfatória, mas a cor cromada não corresponde.</v>
      </c>
    </row>
    <row r="1205">
      <c r="A1205" s="9" t="s">
        <v>4869</v>
      </c>
      <c r="B1205" s="29" t="str">
        <f>VLOOKUP(dados!A1205, reviews!A:G, 5, FALSE)</f>
        <v>Worth the money,It’s goog,Nice &amp; Easy to use product,Not good,Wonder Product!,Good product,Right product at right price,Value for money</v>
      </c>
      <c r="C1205" s="29" t="str">
        <f>VLOOKUP(dados!A1205, reviews!A:G, 6, FALSE)</f>
        <v>It’s easy to use and is okay I guess, doesn’t clean the lint completely but enough to not be spotted from the viewers point of view,It’s good,Nice &amp; Easy to use product,It’s very bad and within 2 -6 use it’s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v>
      </c>
      <c r="D1205" s="29" t="str">
        <f>IFERROR(__xludf.DUMMYFUNCTION("GOOGLETRANSLATE(B1205, ""en"", ""pt-br"")"),"Vale a pena o dinheiro, é Goog, bom e fácil de usar o produto, não bom, produto maravilhoso!, Bom produto, produto certo pelo preço certo, valor para o dinheiro")</f>
        <v>Vale a pena o dinheiro, é Goog, bom e fácil de usar o produto, não bom, produto maravilhoso!, Bom produto, produto certo pelo preço certo, valor para o dinheiro</v>
      </c>
      <c r="E1205" s="29" t="str">
        <f>IFERROR(__xludf.DUMMYFUNCTION("GOOGLETRANSLATE(C1205, ""en"", ""pt-br"")"),"É fácil de usar e está bem, eu acho, não limpa o fiapo completamente, mas o suficiente para não ser visto do ponto de vista dos espectadores, é bom, agradável e fácil de usar o produto, é muito ruim e, dentro de 2 -6 Não está funcionando, se você encontro"&amp;"u este produto, por favor, não desapareça sem obtê -lo. É um produto maravilhoso. Você tem que usá -lo para saber o quão bom é! Se eu pudesse dar 10 estrelas, com certeza teria., Tudo é bom, exceto a tampa que coleta fibras das roupas, se encaixa firmemen"&amp;"te. No geral, um bom produto. Um investimento único, melhor que os removedores de fiapos de rolos., O produto está funcionando como esperado e o manuseio também é fácil. É bom ter o produto, pois algumas roupas desenvolvem fiapos e parecem muito fáceis. D"&amp;"epois de usar este produto, o Cloth parece novo., Tive o removedor de fiapos operado pela bateria mais cedo, mas isso é conectado, portanto, a energia é ótima o tempo todo. Bom tamanho do ventilador e ótimo corte de lâmina. (Lâmina extra também no kit) us"&amp;"ou apenas duas vezes para que a durabilidade não possa ser revisada. Manusear etc é bom. Vale a pena totalmente.")</f>
        <v>É fácil de usar e está bem, eu acho, não limpa o fiapo completamente, mas o suficiente para não ser visto do ponto de vista dos espectadores, é bom, agradável e fácil de usar o produto, é muito ruim e, dentro de 2 -6 Não está funcionando, se você encontrou este produto, por favor, não desapareça sem obtê -lo. É um produto maravilhoso. Você tem que usá -lo para saber o quão bom é! Se eu pudesse dar 10 estrelas, com certeza teria., Tudo é bom, exceto a tampa que coleta fibras das roupas, se encaixa firmemente. No geral, um bom produto. Um investimento único, melhor que os removedores de fiapos de rolos., O produto está funcionando como esperado e o manuseio também é fácil. É bom ter o produto, pois algumas roupas desenvolvem fiapos e parecem muito fáceis. Depois de usar este produto, o Cloth parece novo., Tive o removedor de fiapos operado pela bateria mais cedo, mas isso é conectado, portanto, a energia é ótima o tempo todo. Bom tamanho do ventilador e ótimo corte de lâmina. (Lâmina extra também no kit) usou apenas duas vezes para que a durabilidade não possa ser revisada. Manusear etc é bom. Vale a pena totalmente.</v>
      </c>
    </row>
    <row r="1206">
      <c r="A1206" s="9" t="s">
        <v>4873</v>
      </c>
      <c r="B1206" s="29" t="str">
        <f>VLOOKUP(dados!A1206, reviews!A:G, 5, FALSE)</f>
        <v>Nice,👍,Very easy and useful, but too expensive compared to remaining company products,Grt,reviews,Good product.,Very Handy product,Warranty registration needs to be user friendly</v>
      </c>
      <c r="C1206" s="29" t="str">
        <f>VLOOKUP(dados!A1206, reviews!A:G, 6, FALSE)</f>
        <v>Easy to use.,Worked so well..you can go for it💯,Easy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v>
      </c>
      <c r="D1206" s="29" t="str">
        <f>IFERROR(__xludf.DUMMYFUNCTION("GOOGLETRANSLATE(B1206, ""en"", ""pt-br"")"),"Nice, 👍, muito fácil e útil, mas muito caro em comparação com os produtos restantes da empresa, GRT, críticas, bom produto., Produto muito útil, o registro de garantia precisa ser amigável")</f>
        <v>Nice, 👍, muito fácil e útil, mas muito caro em comparação com os produtos restantes da empresa, GRT, críticas, bom produto., Produto muito útil, o registro de garantia precisa ser amigável</v>
      </c>
      <c r="E1206" s="29" t="str">
        <f>IFERROR(__xludf.DUMMYFUNCTION("GOOGLETRANSLATE(C1206, ""en"", ""pt-br"")"),"Fácil de usar., Trabalhou tão bem ... você pode ir para isso, fácil de usar e economiza tempo no cozimento. É bom comprar bom se o custo estiver abaixo de 600., o ótimo produto, o produto é bom funcionando corretamente e os serviços de suporte ao cliente "&amp;"são muito bons, especialmente o comportamento do executivo de atendimento ao cliente, é o melhor, valor para dinheiro! bom! duradouro., bom para uso rápido e pequeno, o registro de garantia precisa ser fácil de usar.")</f>
        <v>Fácil de usar., Trabalhou tão bem ... você pode ir para isso, fácil de usar e economiza tempo no cozimento. É bom comprar bom se o custo estiver abaixo de 600., o ótimo produto, o produto é bom funcionando corretamente e os serviços de suporte ao cliente são muito bons, especialmente o comportamento do executivo de atendimento ao cliente, é o melhor, valor para dinheiro! bom! duradouro., bom para uso rápido e pequeno, o registro de garantia precisa ser fácil de usar.</v>
      </c>
    </row>
    <row r="1207">
      <c r="A1207" s="9" t="s">
        <v>4877</v>
      </c>
      <c r="B1207" s="29" t="str">
        <f>VLOOKUP(dados!A1207, reviews!A:G, 5, FALSE)</f>
        <v>Good,Good product,Good,Good one from a renowned brand!!,Working fine..,Excellent to go for this Product,Product super,Nice product 👍</v>
      </c>
      <c r="C1207" s="29" t="str">
        <f>VLOOKUP(dados!A1207, reviews!A:G, 6, FALSE)</f>
        <v>Rate required to reduce,Good product,Good,A good budget grinder from a renowned brand,Everything is fine with the product., doing it's best in this price range..,Looks Stunning and works good as expected,Okay good,But very bit slow but very nice</v>
      </c>
      <c r="D1207" s="29" t="str">
        <f>IFERROR(__xludf.DUMMYFUNCTION("GOOGLETRANSLATE(B1207, ""en"", ""pt-br"")"),"Bom, bom produto, bom, bom de uma marca de renome !!, funcionando bem .., excelente para ir para este produto, produto super, bom produto 👍")</f>
        <v>Bom, bom produto, bom, bom de uma marca de renome !!, funcionando bem .., excelente para ir para este produto, produto super, bom produto 👍</v>
      </c>
      <c r="E1207" s="29" t="str">
        <f>IFERROR(__xludf.DUMMYFUNCTION("GOOGLETRANSLATE(C1207, ""en"", ""pt-br"")"),"Taxa necessária para reduzir, bom produto, bom, um bom moedor de orçamento de uma marca de renome, está tudo bem com o produto., Fazendo o melhor nessa faixa de preço., Parece impressionante e funciona bem como esperado, ok bom, mas muito um pouco lento, "&amp;"mas muito bom")</f>
        <v>Taxa necessária para reduzir, bom produto, bom, um bom moedor de orçamento de uma marca de renome, está tudo bem com o produto., Fazendo o melhor nessa faixa de preço., Parece impressionante e funciona bem como esperado, ok bom, mas muito um pouco lento, mas muito bom</v>
      </c>
    </row>
    <row r="1208">
      <c r="A1208" s="9" t="s">
        <v>4884</v>
      </c>
      <c r="B1208" s="29" t="str">
        <f>VLOOKUP(dados!A1208, reviews!A:G, 5, FALSE)</f>
        <v>Excellent OTG and even excellent price range👌👌👍👍👍,Good product,Very Good Product at its Price Range,Great to use and makes tasty food,Awesome,Packaging was good, received the product at the right time.,Value for money,Worth</v>
      </c>
      <c r="C1208" s="29" t="str">
        <f>VLOOKUP(dados!A1208, reviews!A:G, 6, FALSE)</f>
        <v>Excellent Heat distribution, perfectly cooks, heats nd grills, great for cakes, pizzas, roasting..plus great price range👊🏼👊🏼👍👍👍,Very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v>
      </c>
      <c r="D1208" s="29" t="str">
        <f>IFERROR(__xludf.DUMMYFUNCTION("GOOGLETRANSLATE(B1208, ""en"", ""pt-br"")"),"Excelente OTG e até excelente faixa de preço👌👌👍👍👍, bom produto, produto muito bom em sua faixa de preço, ótimo para usar e produz comida saborosa, incrível, a embalagem foi boa, recebeu o produto na hora certa., Valor para o dinheiro ,Valor")</f>
        <v>Excelente OTG e até excelente faixa de preço👌👌👍👍👍, bom produto, produto muito bom em sua faixa de preço, ótimo para usar e produz comida saborosa, incrível, a embalagem foi boa, recebeu o produto na hora certa., Valor para o dinheiro ,Valor</v>
      </c>
      <c r="E1208" s="29" t="str">
        <f>IFERROR(__xludf.DUMMYFUNCTION("GOOGLETRANSLATE(C1208, ""en"", ""pt-br"")"),"Excelente distribuição de calor, cozinha perfeitamente, aquece e grades, ótimas para bolos, pizzas, torrefação ... mais uma ótima faixa de preço👊🏼👊🏼👍👍👍, produtos muito bons, controles simples e fácil de usar. Em um momento, 3 a 4 polegadas de seis "&amp;"polegadas podem ser mantidas. Rotisserie Funciona bem com frango de 1,5 a 2 kg facilmente. Como não há bandeja de migalhas, Wondershef 40L Crumb perfeitamente se encaixa. Que está disponível na Amazon. A embalagem não era boa, sem embrulho de bolha e apen"&amp;"as poucas peças de termoco, devido a que alguns dentes estavam lá. Como gostamos do produto e não queremos esperar novamente, a Agaro forneceu um produto muito bom à faixa de preço decente. A Amazon entregou o produto em um pacote muito agradável e seguro"&amp;". Pacote inteiro não teve nem uma única marca. O OTG é muito fácil de usar e muito útil para os amantes de alimentos. No entanto, senti necessidade de melhorias em duas coisas (1) é muito difícil definir o tempo exato e a temperatura no NOB manual e (2) o"&amp;" tamanho do plugue de energia é pequeno e difícil de ajustar apertado no plugue de 15 amp., Não vá Em seu tamanho pequeno ... faz bolos e pão maravilhosos., Embora a qualidade geral seja boa., O forno é ótimo para fazer bolos e grelhar também, excelente p"&amp;"roduto. Tenho mais do que eu espero")</f>
        <v>Excelente distribuição de calor, cozinha perfeitamente, aquece e grades, ótimas para bolos, pizzas, torrefação ... mais uma ótima faixa de preço👊🏼👊🏼👍👍👍, produtos muito bons, controles simples e fácil de usar. Em um momento, 3 a 4 polegadas de seis polegadas podem ser mantidas. Rotisserie Funciona bem com frango de 1,5 a 2 kg facilmente. Como não há bandeja de migalhas, Wondershef 40L Crumb perfeitamente se encaixa. Que está disponível na Amazon. A embalagem não era boa, sem embrulho de bolha e apenas poucas peças de termoco, devido a que alguns dentes estavam lá. Como gostamos do produto e não queremos esperar novamente, a Agaro forneceu um produto muito bom à faixa de preço decente. A Amazon entregou o produto em um pacote muito agradável e seguro. Pacote inteiro não teve nem uma única marca. O OTG é muito fácil de usar e muito útil para os amantes de alimentos. No entanto, senti necessidade de melhorias em duas coisas (1) é muito difícil definir o tempo exato e a temperatura no NOB manual e (2) o tamanho do plugue de energia é pequeno e difícil de ajustar apertado no plugue de 15 amp., Não vá Em seu tamanho pequeno ... faz bolos e pão maravilhosos., Embora a qualidade geral seja boa., O forno é ótimo para fazer bolos e grelhar também, excelente produto. Tenho mais do que eu espero</v>
      </c>
    </row>
    <row r="1209">
      <c r="A1209" s="9" t="s">
        <v>4890</v>
      </c>
      <c r="B1209" s="29" t="str">
        <f>VLOOKUP(dados!A1209, reviews!A:G, 5, FALSE)</f>
        <v>Does the stated purpose,Good,Good,Steam Iron,Light weight and easy to use iron,Functional &amp; hard to Use,Overall a good product,Using it for a month. So far it is working well.</v>
      </c>
      <c r="C1209" s="29" t="str">
        <f>VLOOKUP(dados!A1209, reviews!A:G, 6, FALSE)</f>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v>
      </c>
      <c r="D1209" s="29" t="str">
        <f>IFERROR(__xludf.DUMMYFUNCTION("GOOGLETRANSLATE(B1209, ""en"", ""pt-br"")"),"O objetivo declarado, bom, bom, ferro a vapor, leve e fácil de usar ferro, funcional e difícil de usar, em geral, um bom produto, usando -o por um mês. Até agora está funcionando bem.")</f>
        <v>O objetivo declarado, bom, bom, ferro a vapor, leve e fácil de usar ferro, funcional e difícil de usar, em geral, um bom produto, usando -o por um mês. Até agora está funcionando bem.</v>
      </c>
      <c r="E1209" s="29" t="str">
        <f>IFERROR(__xludf.DUMMYFUNCTION("GOOGLETRANSLATE(C1209, ""en"", ""pt-br"")"),"O trabalho, bom, excelente, tudo bem., Philips um produto digno de confiança. Muito fácil de usar e ferro leve, ótimo produto. Tem muitos recursos. Mas usá -los é complicado. Tentei usar o vapor e pulverizar por algumas semanas e desisti. Eu gostaria que "&amp;"o proprietário do produto tivesse focado um pouco mais no fácil uso. Não faz sentido ter uma grande funcionalidade, se o usuário final não puder usá-la facilmente. No geral, é bom, mas depois de um mês dentro do fio estar desconectado, parou de funcionar,"&amp;" levou mais 2 dias para consertá-lo por perto por eletricista. , Usando -o por um mês. Até agora está funcionando bem. Aquece rapidamente, como a qualidade do produto e as funções a vapor.")</f>
        <v>O trabalho, bom, excelente, tudo bem., Philips um produto digno de confiança. Muito fácil de usar e ferro leve, ótimo produto. Tem muitos recursos. Mas usá -los é complicado. Tentei usar o vapor e pulverizar por algumas semanas e desisti. Eu gostaria que o proprietário do produto tivesse focado um pouco mais no fácil uso. Não faz sentido ter uma grande funcionalidade, se o usuário final não puder usá-la facilmente. No geral, é bom, mas depois de um mês dentro do fio estar desconectado, parou de funcionar, levou mais 2 dias para consertá-lo por perto por eletricista. , Usando -o por um mês. Até agora está funcionando bem. Aquece rapidamente, como a qualidade do produto e as funções a vapor.</v>
      </c>
    </row>
    <row r="1210">
      <c r="A1210" s="9" t="s">
        <v>4894</v>
      </c>
      <c r="B1210" s="29" t="str">
        <f>VLOOKUP(dados!A1210, reviews!A:G, 5, FALSE)</f>
        <v>Good heater but digital temperature display is missed,Use intelligently for maximum outcome,Good product,13 fin oil heater has only 11 fins, wrongly advertised to fool public,Excellent product,Wonderful Product thandi me Garmi ka Ehsaas,Very nice,Nice product</v>
      </c>
      <c r="C1210" s="29" t="str">
        <f>VLOOKUP(dados!A1210, reviews!A:G, 6, FALSE)</f>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v>
      </c>
      <c r="D1210" s="29" t="str">
        <f>IFERROR(__xludf.DUMMYFUNCTION("GOOGLETRANSLATE(B1210, ""en"", ""pt-br"")"),"Bom aquecedor, mas a exibição de temperatura digital é perdida, use de forma inteligente para obter o resultado máximo, bom produto, 13 fin aquecedor de petróleo tem apenas 11 barbatanas, anunciadas incorretamente para enganar o produto público, excelente"&amp;", produto maravilhoso THANDI ME Garmi ka ehsaas, muito bom e bom produto")</f>
        <v>Bom aquecedor, mas a exibição de temperatura digital é perdida, use de forma inteligente para obter o resultado máximo, bom produto, 13 fin aquecedor de petróleo tem apenas 11 barbatanas, anunciadas incorretamente para enganar o produto público, excelente, produto maravilhoso THANDI ME Garmi ka ehsaas, muito bom e bom produto</v>
      </c>
      <c r="E1210" s="29" t="str">
        <f>IFERROR(__xludf.DUMMYFUNCTION("GOOGLETRANSLATE(C1210, ""en"", ""pt-br"")"),"O produto é entregue na 1ª semana de fevereiro de 2021, que é quase o fim do inverno. botão de um interruptor. (Algumas outras marcas têm duas opções de entrada/desativação separadas para dois elementos de aquecimento para obter diferentes níveis de aquec"&amp;"imento. Essa operação é um pouco difícil de explicar a uma pessoa idosa por telefone) Melhoria necessária: Mecanismo de configuração de temperatura- Digital A tela é mal perdida! Atualmente, não há mecanismo para saber a temperatura que está sendo definid"&amp;"a girando o botão de configuração de temperatura. Você simplesmente precisa adivinhar inicialmente e depois esperar e fazer tentativa e erro à medida que a temperatura começa a aumentar lentamente. É um processo lento e você não pode obter a temperatura c"&amp;"erta de uma só vez, a exibição digital da configuração de temperatura pode ser adicionada. Esse é um problema geral- não encontrei exibição digital em nenhuma marca. Isso pode facilmente se tornar um recurso diferenciador. Isso será particularmente muito "&amp;"útil para idosos. No momento de hoje, quando a eletrônica está em toda parte, perdendo a implementação do controle digital da temperatura parece ser uma pura falta de iniciativa. Sugestão Quick: tamanho um pouco maior é melhor Com aquecedores à base de ól"&amp;"eo., Funciona bem para mim em Himachal. Consume eletricidade, mas u getsilenceno os olhos secos que compõem o ambiente, se você valoriza seu conforto. Apenas 11 barbatanas para um aquecedor de petróleo de 13 barbatanas., Bom produto, https: //m.media-amaz"&amp;"on.com/images/i/61rppgjbjfl._sy88.jpg.superb, bom valor pelo dinheiro")</f>
        <v>O produto é entregue na 1ª semana de fevereiro de 2021, que é quase o fim do inverno. botão de um interruptor. (Algumas outras marcas têm duas opções de entrada/desativação separadas para dois elementos de aquecimento para obter diferentes níveis de aquecimento. Essa operação é um pouco difícil de explicar a uma pessoa idosa por telefone) Melhoria necessária: Mecanismo de configuração de temperatura- Digital A tela é mal perdida! Atualmente, não há mecanismo para saber a temperatura que está sendo definida girando o botão de configuração de temperatura. Você simplesmente precisa adivinhar inicialmente e depois esperar e fazer tentativa e erro à medida que a temperatura começa a aumentar lentamente. É um processo lento e você não pode obter a temperatura certa de uma só vez, a exibição digital da configuração de temperatura pode ser adicionada. Esse é um problema geral- não encontrei exibição digital em nenhuma marca. Isso pode facilmente se tornar um recurso diferenciador. Isso será particularmente muito útil para idosos. No momento de hoje, quando a eletrônica está em toda parte, perdendo a implementação do controle digital da temperatura parece ser uma pura falta de iniciativa. Sugestão Quick: tamanho um pouco maior é melhor Com aquecedores à base de óleo., Funciona bem para mim em Himachal. Consume eletricidade, mas u getsilenceno os olhos secos que compõem o ambiente, se você valoriza seu conforto. Apenas 11 barbatanas para um aquecedor de petróleo de 13 barbatanas., Bom produto, https: //m.media-amazon.com/images/i/61rppgjbjfl._sy88.jpg.superb, bom valor pelo dinheiro</v>
      </c>
    </row>
    <row r="1211">
      <c r="A1211" s="9" t="s">
        <v>4898</v>
      </c>
      <c r="B1211" s="29" t="str">
        <f>VLOOKUP(dados!A1211, reviews!A:G, 5, FALSE)</f>
        <v>Good one,Punchuality,Good product,Good quality,పర్వాలేదు,perfect for use,Good,👍</v>
      </c>
      <c r="C1211" s="29" t="str">
        <f>VLOOKUP(dados!A1211, reviews!A:G, 6, FALSE)</f>
        <v>Good product. Weight is reduced a bit,Damage product deliveredTwo times,works fine even after 4 months as of now going good,Fine  good to use,లైట్ వెయిట్,perfect for use,Good,👍 👍 👍 👍 👍</v>
      </c>
      <c r="D1211" s="29" t="str">
        <f>IFERROR(__xludf.DUMMYFUNCTION("GOOGLETRANSLATE(B1211, ""en"", ""pt-br"")"),"Bom, soco, bom produto, boa qualidade, పర్వాలేదు, perfeito para uso, bom, 👍")</f>
        <v>Bom, soco, bom produto, boa qualidade, పర్వాలేదు, perfeito para uso, bom, 👍</v>
      </c>
      <c r="E1211" s="29" t="str">
        <f>IFERROR(__xludf.DUMMYFUNCTION("GOOGLETRANSLATE(C1211, ""en"", ""pt-br"")"),"Bom produto. O peso é reduzido um pouco, o produto de dano entregue, entrega e duas vezes, funciona bem, mesmo após 4 meses, a partir de agora, bem, bem para usar, లైట్ వెయిట్, perfeito para uso, bom, 👍 👍 👍 👍 👍 👍")</f>
        <v>Bom produto. O peso é reduzido um pouco, o produto de dano entregue, entrega e duas vezes, funciona bem, mesmo após 4 meses, a partir de agora, bem, bem para usar, లైట్ వెయిట్, perfeito para uso, bom, 👍 👍 👍 👍 👍 👍</v>
      </c>
    </row>
    <row r="1212">
      <c r="A1212" s="9" t="s">
        <v>4902</v>
      </c>
      <c r="B1212" s="29" t="str">
        <f>VLOOKUP(dados!A1212, reviews!A:G, 5, FALSE)</f>
        <v>Decent product.,Aquasure from Aquaguard is a good product. I liked this product.,Product is good but the service is worst till i experienced  .,Poor service,MVP,Good,Ok,Nice product</v>
      </c>
      <c r="C1212" s="29" t="str">
        <f>VLOOKUP(dados!A1212, reviews!A:G, 6, FALSE)</f>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didn’t install propery, due to which water was not being purified for last one month. Poor service from eureka forbes,Most Value for Price from Aquaguard,Good,Ok,Tap leakage issue</v>
      </c>
      <c r="D1212" s="29" t="str">
        <f>IFERROR(__xludf.DUMMYFUNCTION("GOOGLETRANSLATE(B1212, ""en"", ""pt-br"")"),"Produto decente., Aquasure da Aquaguard é um bom produto. Eu gostei deste produto., O produto é bom, mas o serviço é pior até que eu experimentei., Mobre serviço, MVP, bom, ok, bom produto")</f>
        <v>Produto decente., Aquasure da Aquaguard é um bom produto. Eu gostei deste produto., O produto é bom, mas o serviço é pior até que eu experimentei., Mobre serviço, MVP, bom, ok, bom produto</v>
      </c>
      <c r="E1212" s="29" t="str">
        <f>IFERROR(__xludf.DUMMYFUNCTION("GOOGLETRANSLATE(C1212, ""en"", ""pt-br"")"),"Este produto é bom, seu único suporte e serviço ao cliente que são patéticos. Se não fosse por isso, este produto teria uma classificação muito boa. Recebi uma peça um pouco defeituosa, onde os indicadores não estão funcionando. Inicialmente, levantei um "&amp;"problema sobre isso, mas não houve apoio imediato para isso. Como o Filter estava funcionando bem e não precisávamos de indicadores, não nos demos ao fim de acompanhar. Depois de vários dias, o cara do serviço veio e consertou. Primeira vez que o cara do "&amp;"serviço veio, não havia ninguém. Então ele voltou e consertou. Para apoio imediato, é melhor entrar em contato com o revendedor ou serviço autorizado local, pois passar pelo suporte oficial atrasa o processo. Portanto, considerando tudo isso que sinto que"&amp;" o produto é decente., Os serviços gratuitos são limitados. Se alterarmos o filtro durante os serviços gratuitos, seremos cobrados. O filtro não é gratuito durante os serviços gratuitos., O produto é bom, mas o serviço é pior até que eu experimentei. Se v"&amp;"ocê está em áreas rurais e seu planejamento para comprar isso do que eu diria não preferir, porque liguei para o mínimo 20 tempos para os cuidados de Custer, eles sempre dizendo que enviarão a pessoa do serviço, mas mesmo ninguém está chamando você para r"&amp;"esponder. me ligou e pediu alguns detalhes depois que ela disse e perguntei a ela pelo menos me dar o número da pessoa da minha área. Pegue meu produto e fui a Guntur para repará -lo. Anteriormente, fiz um serviço com os militares da empresa, ele colocou "&amp;"um limite no bico da bomba de água, então parou de funcionar e tudo danificado. Eles me disseram que você precisa substituir a bomba que custou cerca de 3000. Eu mudei e decidi não ligar para a pessoa do serviço e escrever uma resenha na Amazon para que a"&amp;"s pessoas saibam sobre o centro de serviço. O Guy de instalação não instalou propriedades, devido à qual a água não estava sendo purificada no último mês. Serviço ruim da Eureka Forbes, o maior valor para o preço de Aquaguard, bom, ok, toque de vazamento")</f>
        <v>Este produto é bom, seu único suporte e serviço ao cliente que são patéticos. Se não fosse por isso, este produto teria uma classificação muito boa. Recebi uma peça um pouco defeituosa, onde os indicadores não estão funcionando. Inicialmente, levantei um problema sobre isso, mas não houve apoio imediato para isso. Como o Filter estava funcionando bem e não precisávamos de indicadores, não nos demos ao fim de acompanhar. Depois de vários dias, o cara do serviço veio e consertou. Primeira vez que o cara do serviço veio, não havia ninguém. Então ele voltou e consertou. Para apoio imediato, é melhor entrar em contato com o revendedor ou serviço autorizado local, pois passar pelo suporte oficial atrasa o processo. Portanto, considerando tudo isso que sinto que o produto é decente., Os serviços gratuitos são limitados. Se alterarmos o filtro durante os serviços gratuitos, seremos cobrados. O filtro não é gratuito durante os serviços gratuitos., O produto é bom, mas o serviço é pior até que eu experimentei. Se você está em áreas rurais e seu planejamento para comprar isso do que eu diria não preferir, porque liguei para o mínimo 20 tempos para os cuidados de Custer, eles sempre dizendo que enviarão a pessoa do serviço, mas mesmo ninguém está chamando você para responder. me ligou e pediu alguns detalhes depois que ela disse e perguntei a ela pelo menos me dar o número da pessoa da minha área. Pegue meu produto e fui a Guntur para repará -lo. Anteriormente, fiz um serviço com os militares da empresa, ele colocou um limite no bico da bomba de água, então parou de funcionar e tudo danificado. Eles me disseram que você precisa substituir a bomba que custou cerca de 3000. Eu mudei e decidi não ligar para a pessoa do serviço e escrever uma resenha na Amazon para que as pessoas saibam sobre o centro de serviço. O Guy de instalação não instalou propriedades, devido à qual a água não estava sendo purificada no último mês. Serviço ruim da Eureka Forbes, o maior valor para o preço de Aquaguard, bom, ok, toque de vazamento</v>
      </c>
    </row>
    <row r="1213">
      <c r="A1213" s="9" t="s">
        <v>4906</v>
      </c>
      <c r="B1213" s="29" t="str">
        <f>VLOOKUP(dados!A1213, reviews!A:G, 5, FALSE)</f>
        <v>Don't buy this,Good product in this price range..,Good one,DO NOT BUY THIS PRODUCT,Great 👌👍,Such a beautiful product,Fantastic,Useless product. Poor quality material used. Could not give satisfaction of a singal Rupee.</v>
      </c>
      <c r="C1213" s="29" t="str">
        <f>VLOOKUP(dados!A1213, reviews!A:G, 6, FALSE)</f>
        <v>Good,Easy to clean and use really a good one..,I try to grain orange yes it’s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v>
      </c>
      <c r="D1213" s="29" t="str">
        <f>IFERROR(__xludf.DUMMYFUNCTION("GOOGLETRANSLATE(B1213, ""en"", ""pt-br"")"),"Não compre isso, bom produto nessa faixa de preço., Bom, não compre este produto, ótimo 👌👍, um produto tão bonito, produtos fantásticos e inúteis. Material de baixa qualidade usado. Não foi possível dar satisfação a uma rupia singal.")</f>
        <v>Não compre isso, bom produto nessa faixa de preço., Bom, não compre este produto, ótimo 👌👍, um produto tão bonito, produtos fantásticos e inúteis. Material de baixa qualidade usado. Não foi possível dar satisfação a uma rupia singal.</v>
      </c>
      <c r="E1213" s="29" t="str">
        <f>IFERROR(__xludf.DUMMYFUNCTION("GOOGLETRANSLATE(C1213, ""en"", ""pt-br"")"),"Bom, fácil de limpar e usar realmente um bom .., eu tento granular laranja, sim, é bem o grão, eu gosto do produto, o liquidificador sendo cobrado por 3 horas quando a luz se tornar azul. Depois disso, não correu 30 segundos para o Banana Shake, embora nã"&amp;"o tenha cortado a banana corretamente., Gosto deste produto. Vou usar este produto para fazer shake de frutas., Amigável de usar, fácil limpo, fácil de transportar, este produto é o melhor uso para o bebê e o Essey usar, posso comprar isso, produto de bai"&amp;"xa qualidade. O motor do espremedor não tem energia para suco de estacas de um 🍎.")</f>
        <v>Bom, fácil de limpar e usar realmente um bom .., eu tento granular laranja, sim, é bem o grão, eu gosto do produto, o liquidificador sendo cobrado por 3 horas quando a luz se tornar azul. Depois disso, não correu 30 segundos para o Banana Shake, embora não tenha cortado a banana corretamente., Gosto deste produto. Vou usar este produto para fazer shake de frutas., Amigável de usar, fácil limpo, fácil de transportar, este produto é o melhor uso para o bebê e o Essey usar, posso comprar isso, produto de baixa qualidade. O motor do espremedor não tem energia para suco de estacas de um 🍎.</v>
      </c>
    </row>
    <row r="1214">
      <c r="A1214" s="9" t="s">
        <v>4910</v>
      </c>
      <c r="B1214" s="29" t="str">
        <f>VLOOKUP(dados!A1214, reviews!A:G, 5, FALSE)</f>
        <v>Good,Nice,Good product 👌,Get's the job done.,Kent 16068 Zoom vacuum cleaner is very good to use and easy to clean and charge as well.,Less durable,Preety easy to use,Awesome product</v>
      </c>
      <c r="C1214" s="29" t="str">
        <f>VLOOKUP(dados!A1214, reviews!A:G, 6, FALSE)</f>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✓2.dust ✓3.tiles ✓4. Light weight ✓Over all decent product. Go for it,10/10</v>
      </c>
      <c r="D1214" s="29" t="str">
        <f>IFERROR(__xludf.DUMMYFUNCTION("GOOGLETRANSLATE(B1214, ""en"", ""pt-br"")"),"Bom, bom, bom produto 👌, Get é o trabalho.")</f>
        <v>Bom, bom, bom produto 👌, Get é o trabalho.</v>
      </c>
      <c r="E1214" s="29" t="str">
        <f>IFERROR(__xludf.DUMMYFUNCTION("GOOGLETRANSLATE(C1214, ""en"", ""pt-br"")"),"Atendeu às expectativas, bom e bom produto ... como não tem fio, posso usá -lo em qualquer lugar facilmente. Já se passaram três meses que o uso ... sem problemas até agora., Deduzi 1 estrela devido ao tubo principal um pouco amassado e o tempo de trabalh"&amp;"o poderia ter sido um pouco mais em vez de 27 minutos., NA, produto maravilhoso para usar. Mas tenha algum negativo. Revisões sobre durabilidade. Carregamento fácil. Mas sendo reparado com frequência. É apenas um ano após a compra, mas o poder de sucção f"&amp;"oi reduzido duas vezes quando estou usando o Vaccum Cleaner há algum tempo, o trabalho de sucção decente, as ferramentas são ótimas ajuda1.COBWEBS ✓2.Dust ✓3.Tiles. ✓4. Peso leve ✓ Over todo o produto decente. Vá em frente, 10/10")</f>
        <v>Atendeu às expectativas, bom e bom produto ... como não tem fio, posso usá -lo em qualquer lugar facilmente. Já se passaram três meses que o uso ... sem problemas até agora., Deduzi 1 estrela devido ao tubo principal um pouco amassado e o tempo de trabalho poderia ter sido um pouco mais em vez de 27 minutos., NA, produto maravilhoso para usar. Mas tenha algum negativo. Revisões sobre durabilidade. Carregamento fácil. Mas sendo reparado com frequência. É apenas um ano após a compra, mas o poder de sucção foi reduzido duas vezes quando estou usando o Vaccum Cleaner há algum tempo, o trabalho de sucção decente, as ferramentas são ótimas ajuda1.COBWEBS ✓2.Dust ✓3.Tiles. ✓4. Peso leve ✓ Over todo o produto decente. Vá em frente, 10/10</v>
      </c>
    </row>
    <row r="1215">
      <c r="A1215" s="9" t="s">
        <v>4914</v>
      </c>
      <c r="B1215" s="29" t="str">
        <f>VLOOKUP(dados!A1215, reviews!A:G, 5, FALSE)</f>
        <v>Have bought 5 different sealing machines online by far this is the best,Hi,Good Value for money,Suited well for my purpose,Good,Great product. Made in india.really like it,Easy to use and economical,Very good</v>
      </c>
      <c r="C1215" s="29" t="str">
        <f>VLOOKUP(dados!A1215, reviews!A:G, 6, FALSE)</f>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v>
      </c>
      <c r="D1215" s="29" t="str">
        <f>IFERROR(__xludf.DUMMYFUNCTION("GOOGLETRANSLATE(B1215, ""en"", ""pt-br"")"),"Comprei 5 máquinas de vedação diferentes on -line de longe, este é o melhor, oi, boa relação custo / benefício, adequado para o meu propósito, bom e ótimo produto. Feito na Índia. Realmente parecido, fácil de usar e econômico, muito bom")</f>
        <v>Comprei 5 máquinas de vedação diferentes on -line de longe, este é o melhor, oi, boa relação custo / benefício, adequado para o meu propósito, bom e ótimo produto. Feito na Índia. Realmente parecido, fácil de usar e econômico, muito bom</v>
      </c>
      <c r="E1215" s="29" t="str">
        <f>IFERROR(__xludf.DUMMYFUNCTION("GOOGLETRANSLATE(C1215, ""en"", ""pt-br"")"),"Comprei 5 máquinas de vedação diferentes on -line, este é o melhor. E eles têm um ótimo apoio., Oi, a máquina funciona muito bem. O suporte é excelente. Tive um problema depois de usá -lo por mais de 10 meses, o suporte foi ótimo, o problema foi resolvido"&amp;" imediatamente., Recupere o produto dois dias atrás. Meu requisito era para um plástico incomum, era um pouco cético em relação à adequação ... mas com a ajuda do ajuste do timer, eu poderia muito bem selar o plástico. Parece resistente também, a durabili"&amp;"dade só será conhecida com o tempo., Nice, comprado alguns dias atrás, é realmente um ótimo valor para o dinheiro. Bom suporte ao cliente, bom produto para o preço 1329, muito bom e fácil de usar")</f>
        <v>Comprei 5 máquinas de vedação diferentes on -line, este é o melhor. E eles têm um ótimo apoio., Oi, a máquina funciona muito bem. O suporte é excelente. Tive um problema depois de usá -lo por mais de 10 meses, o suporte foi ótimo, o problema foi resolvido imediatamente., Recupere o produto dois dias atrás. Meu requisito era para um plástico incomum, era um pouco cético em relação à adequação ... mas com a ajuda do ajuste do timer, eu poderia muito bem selar o plástico. Parece resistente também, a durabilidade só será conhecida com o tempo., Nice, comprado alguns dias atrás, é realmente um ótimo valor para o dinheiro. Bom suporte ao cliente, bom produto para o preço 1329, muito bom e fácil de usar</v>
      </c>
    </row>
    <row r="1216">
      <c r="A1216" s="9" t="s">
        <v>4918</v>
      </c>
      <c r="B1216" s="29" t="str">
        <f>VLOOKUP(dados!A1216, reviews!A:G, 5, FALSE)</f>
        <v>Good,Seems to be good,Good,Fake replacement.they didn't come to receive the product.with out replacement.,Nice,Product is pretty good quality but taflon coating is not durable,It's work worthy,Amazing and good quality</v>
      </c>
      <c r="C1216" s="29" t="str">
        <f>VLOOKUP(dados!A1216, reviews!A:G, 6, FALSE)</f>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v>
      </c>
      <c r="D1216" s="29" t="str">
        <f>IFERROR(__xludf.DUMMYFUNCTION("GOOGLETRANSLATE(B1216, ""en"", ""pt-br"")"),"Bom, parece ser bom, bom e falso substituto. Eles não vieram receber o produto. Com substituição.")</f>
        <v>Bom, parece ser bom, bom e falso substituto. Eles não vieram receber o produto. Com substituição.</v>
      </c>
      <c r="E1216" s="29" t="str">
        <f>IFERROR(__xludf.DUMMYFUNCTION("GOOGLETRANSLATE(C1216, ""en"", ""pt-br"")"),"Novo atavanc, parece ser razoável quente e pesado em peso. é peso normal. Funciona normal., Não estou carregando, mas este ferro parece incrível e bom e corrigido")</f>
        <v>Novo atavanc, parece ser razoável quente e pesado em peso. é peso normal. Funciona normal., Não estou carregando, mas este ferro parece incrível e bom e corrigido</v>
      </c>
    </row>
    <row r="1217">
      <c r="A1217" s="9" t="s">
        <v>4922</v>
      </c>
      <c r="B1217" s="29" t="str">
        <f>VLOOKUP(dados!A1217, reviews!A:G, 5, FALSE)</f>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v>
      </c>
      <c r="C1217" s="29" t="str">
        <f>VLOOKUP(dados!A1217, reviews!A:G, 6, FALSE)</f>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v>
      </c>
      <c r="D1217" s="29" t="str">
        <f>IFERROR(__xludf.DUMMYFUNCTION("GOOGLETRANSLATE(B1217, ""en"", ""pt-br"")"),"Uma chaleira elétrica acessível com aparência elegante, aparência elegante, acabamento de vidro incrível, começa a aquecer rapidamente, ótimo produto, depois de três meses ele parou de funcionar, não um produto de qualidade e um atendimento ao cliente fal"&amp;"so, ok ok, mude para inalsa após borosil, chaleira fantástica, Torna a vida tão fácil e conveniente.")</f>
        <v>Uma chaleira elétrica acessível com aparência elegante, aparência elegante, acabamento de vidro incrível, começa a aquecer rapidamente, ótimo produto, depois de três meses ele parou de funcionar, não um produto de qualidade e um atendimento ao cliente falso, ok ok, mude para inalsa após borosil, chaleira fantástica, Torna a vida tão fácil e conveniente.</v>
      </c>
      <c r="E1217" s="29" t="str">
        <f>IFERROR(__xludf.DUMMYFUNCTION("GOOGLETRANSLATE(C1217, ""en"", ""pt-br"")"),"Gostei do design e do construído de chaleira. O preço também é acessível., Fácil de usar, produto muito útil para o inverno, 1,8 LTR Qty é suficiente para 4_5 membros., Este é um excelente produto e amigável. Usei -o há 4 anos e ainda continua., Agora que"&amp;"ro que minha chaleira seja reparada ou troca, se necessário, após três meses, pare de aquecer ... ou você pode dizer que pare de trabalhar. Obrigado, depois de um mês de uso, o plástico inferior emite um cheiro de carbonização, afetando o sabor da água. D"&amp;"urante o aplicativo deles, registrei uma reclamação. O cavalheiro que está em contato comigo está pedindo uma fatura que eu não poderia fornecer no prazo devido ao aplicativo móvel da Amazon não suportou o download. Recebi uma ligação do atendimento ao cl"&amp;"iente sobre o cancelamento do tíquete de serviço. Mais tarde, entrei em contato com o engenheiro de serviço que ele disse que nada funcionou. Ele ordenou que a peça que alguém visitasse para substituir. Sem ação. Eu levantei outro ingresso ainda em status"&amp;" aberto sem nenhum esforço. Posso abordar a linha de apoio ao consumidor nacional para ação., Fácil de limpar, mas nem todos podem usar. Tipo de pesado., O preço é razoável ... a capacidade da água é suficiente e a ebulição é usada rápida pela primeira ve"&amp;"z a chaleira elétrica INALSA, atualizará a revisão após um mês de uso. Melhor produto, produto de alta qualidade que é tão conveniente de usar. O design é tão agradável e apresentável que pode ser usado para servir diretamente aos hóspedes em casa ou no e"&amp;"scritório.")</f>
        <v>Gostei do design e do construído de chaleira. O preço também é acessível., Fácil de usar, produto muito útil para o inverno, 1,8 LTR Qty é suficiente para 4_5 membros., Este é um excelente produto e amigável. Usei -o há 4 anos e ainda continua., Agora quero que minha chaleira seja reparada ou troca, se necessário, após três meses, pare de aquecer ... ou você pode dizer que pare de trabalhar. Obrigado, depois de um mês de uso, o plástico inferior emite um cheiro de carbonização, afetando o sabor da água. Durante o aplicativo deles, registrei uma reclamação. O cavalheiro que está em contato comigo está pedindo uma fatura que eu não poderia fornecer no prazo devido ao aplicativo móvel da Amazon não suportou o download. Recebi uma ligação do atendimento ao cliente sobre o cancelamento do tíquete de serviço. Mais tarde, entrei em contato com o engenheiro de serviço que ele disse que nada funcionou. Ele ordenou que a peça que alguém visitasse para substituir. Sem ação. Eu levantei outro ingresso ainda em status aberto sem nenhum esforço. Posso abordar a linha de apoio ao consumidor nacional para ação., Fácil de limpar, mas nem todos podem usar. Tipo de pesado., O preço é razoável ... a capacidade da água é suficiente e a ebulição é usada rápida pela primeira vez a chaleira elétrica INALSA, atualizará a revisão após um mês de uso. Melhor produto, produto de alta qualidade que é tão conveniente de usar. O design é tão agradável e apresentável que pode ser usado para servir diretamente aos hóspedes em casa ou no escritório.</v>
      </c>
    </row>
    <row r="1218">
      <c r="A1218" s="9" t="s">
        <v>4926</v>
      </c>
      <c r="B1218" s="29" t="str">
        <f>VLOOKUP(dados!A1218, reviews!A:G, 5, FALSE)</f>
        <v>Superb,Very helpful and great quality,Exactly what it says on the tin,A must product for pet parents,Must purchase if u have pet...,Totally worth it,Good product,Easy to use and usefull prody</v>
      </c>
      <c r="C1218" s="29" t="str">
        <f>VLOOKUP(dados!A1218, reviews!A:G, 6, FALSE)</f>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it….,If you have dog or cat in your home this product is must!! It is really usefull,  It works on almost all type of clothes and it can be used on bedsheets curtain or on sofa.. I ordered set of 4 and it has 90 layers on each so its budget friendly as well, go for itt!!!!</v>
      </c>
      <c r="D1218" s="29" t="str">
        <f>IFERROR(__xludf.DUMMYFUNCTION("GOOGLETRANSLATE(B1218, ""en"", ""pt-br"")"),"Excelente, muito útil e de ótima qualidade, exatamente o que diz na lata, um produto obrigatório para os pais de estimação, deve comprar se você tiver um animal de estimação ..., vale totalmente a pena, bom produto, fácil de usar e útil Prody")</f>
        <v>Excelente, muito útil e de ótima qualidade, exatamente o que diz na lata, um produto obrigatório para os pais de estimação, deve comprar se você tiver um animal de estimação ..., vale totalmente a pena, bom produto, fácil de usar e útil Prody</v>
      </c>
      <c r="E1218" s="29" t="str">
        <f>IFERROR(__xludf.DUMMYFUNCTION("GOOGLETRANSLATE(C1218, ""en"", ""pt-br"")"),"Valor ao dinheiro, a qualidade das fitas é como o esperado e são realmente boas. Custo-benefício. Esta é a melhor taxa que eu pude encontrar aqui para um rolo de fiapos., Achei que esse rolo de fiapos era muito bom. A adesão é ótima. Precisava disso princ"&amp;"ipalmente para limpar os cabelos de jaquetas e tal e funciona muito bem. Tira todo o cabelo e fica sem danificar o material da jaqueta. A alça é resistente, embora o bit rotativo invade um pouco, mas nada que impacte adversamente o uso. Em suma, definitiv"&amp;"amente recomendaria!, É fácil de usar e valor para o produto ... pode ser armazenado e usado facilmente ..., é muito fácil de usar e de boa qualidade do produto 👌, eu o vi pela primeira vez no YouTube , então pensei em tentar e vale totalmente a pena. Fi"&amp;"cou surpreso, você recebe 4 deles com 90 folhas cada. Eu o uso não apenas para fiapos, mas também para remover as partículas de poeira do Tony da minha área de trabalho e mousepad. Deve ter tey se você não usou rolo de fiapos antes., Produto incrível de b"&amp;"oa qualidade vá em frente…., Se você tem cachorro ou gato em sua casa, este produto é necessário !! É realmente útil, funciona em quase todos os tipos de roupas e pode ser usado em cortina de lençóis ou no sofá. Encomendei o conjunto de 4 e possui 90 cama"&amp;"das em cada um, para que seu orçamento também seja amigável, vá para ITT !! !!")</f>
        <v>Valor ao dinheiro, a qualidade das fitas é como o esperado e são realmente boas. Custo-benefício. Esta é a melhor taxa que eu pude encontrar aqui para um rolo de fiapos., Achei que esse rolo de fiapos era muito bom. A adesão é ótima. Precisava disso principalmente para limpar os cabelos de jaquetas e tal e funciona muito bem. Tira todo o cabelo e fica sem danificar o material da jaqueta. A alça é resistente, embora o bit rotativo invade um pouco, mas nada que impacte adversamente o uso. Em suma, definitivamente recomendaria!, É fácil de usar e valor para o produto ... pode ser armazenado e usado facilmente ..., é muito fácil de usar e de boa qualidade do produto 👌, eu o vi pela primeira vez no YouTube , então pensei em tentar e vale totalmente a pena. Ficou surpreso, você recebe 4 deles com 90 folhas cada. Eu o uso não apenas para fiapos, mas também para remover as partículas de poeira do Tony da minha área de trabalho e mousepad. Deve ter tey se você não usou rolo de fiapos antes., Produto incrível de boa qualidade vá em frente…., Se você tem cachorro ou gato em sua casa, este produto é necessário !! É realmente útil, funciona em quase todos os tipos de roupas e pode ser usado em cortina de lençóis ou no sofá. Encomendei o conjunto de 4 e possui 90 camadas em cada um, para que seu orçamento também seja amigável, vá para ITT !! !!</v>
      </c>
    </row>
    <row r="1219">
      <c r="A1219" s="9" t="s">
        <v>4930</v>
      </c>
      <c r="B1219" s="29" t="str">
        <f>VLOOKUP(dados!A1219, reviews!A:G, 5, FALSE)</f>
        <v>Good Performing Air Purifier at a Decent Price,Value for money,Nothing earth shaking about this product!,It is good,Great product.,The product is working nicely and worth buying product.,Writing after 1.5 years pros cons solution and trics do read my reviews and vote,Works but no use</v>
      </c>
      <c r="C1219" s="29" t="str">
        <f>VLOOKUP(dados!A1219, reviews!A:G, 6, FALSE)</f>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v>
      </c>
      <c r="D1219" s="29" t="str">
        <f>IFERROR(__xludf.DUMMYFUNCTION("GOOGLETRANSLATE(B1219, ""en"", ""pt-br"")"),"Purificador de ar de bom desempenho a um preço decente, valor ao dinheiro, nada tremendo a terra sobre este produto!, É bom, ótimo produto., O produto está funcionando bem e vale a pena comprar o produto., Escrevendo após 1,5 anos de solução de prós e tri"&amp;"cs fazem Leia meus comentários e voto, obras, mas sem uso")</f>
        <v>Purificador de ar de bom desempenho a um preço decente, valor ao dinheiro, nada tremendo a terra sobre este produto!, É bom, ótimo produto., O produto está funcionando bem e vale a pena comprar o produto., Escrevendo após 1,5 anos de solução de prós e trics fazem Leia meus comentários e voto, obras, mas sem uso</v>
      </c>
      <c r="E1219" s="29" t="str">
        <f>IFERROR(__xludf.DUMMYFUNCTION("GOOGLETRANSLATE(C1219, ""en"", ""pt-br"")"),"Aqui está uma tentativa de uma revisão deste produto depois de usá-lo por um ano. Eu o instalei no quarto, cerca de 300 pés quadrados tão bem no espaço da sala Max anunciada. Ao usar o purificador, a sala é mantida fechada para minimizar a adição da polui"&amp;"ção. Qualidade da construção: -O purificador é resistente em sua construção e esteticamente agradável. Possui uma grande grelha frontal que atua como a entrada de ar e uma parte traseira arqueada que tem uma grade maior para a tomada de ar filtrada. O arc"&amp;"o ajuda o ar a ser liberado verticalmente para cima e, portanto, não aumenta o resfriamento direto para quem está sentado na frente. Isso ajuda os filtros a usar no inverno, que é a estação principal em que é necessário. A parte superior do filtro possui "&amp;"um painel escuro com botões sensíveis ao toque e uma tela de LED circular de tamanho decente. Os 4 botões são - potência, modo noturno, velocidade do ventilador e trava filho. Assim, ao Unboxing, o mesmo deve ser configurado para uso. A configuração é bem"&amp;" direta. As principais unidades de filtro podem ser liberadas e os filtros individuais alinhados em ordem no espaço central. A ordem de instalação do filtro é a seguinte filtro -&gt; Hepa. (O mesmo tem indicação na parte superior para corrigir a instalação. "&amp;"Você também pode manter a marca Phillips no canto superior esquerdo) segundo -&gt; filtro de carbono ativo. (O mesmo tem indicação na parte superior para corrigir a instalação. Você também pode seguir para manter a marca Phillips no canto superior esquerdo) "&amp;"terceiro -&gt; pré -filtro. Este realmente preenche o lugar e é usado para filtrar a poeira / impurezas maiores, para que não entupize os outros filtros principais. Defina como diferentes modos. Um deles é o modo automático que automatiza o purificador que t"&amp;"rabalha graças ao sensor de qualidade do ar embutido. O nível de poluição sentido regula a velocidade do ventilador de acordo. 4 níveis são programados e são indicados na pequena tela de LED circular por meio de anéis circulares de cores diferentes - azul"&amp;" (min), violeta, rosa, vermelho (máximo). O nível vermelho colocaria o ventilador na velocidade máxima e o azul desligaria o filtro automaticamente. Eles são a velocidade 1 - indicada por 1 na velocidade da tela 2 - indicada por 2 na velocidade da tela 3 "&amp;"- indicada por 3 no modo Screen -Automatic - indicado por A no modo ScreenAllergen - isso pode ser adicionado apenas ao topo do modo automático. Ele essencialmente aumenta um pouco a velocidade em todos os diferentes níveis de cores. Isso é para se adequa"&amp;"r às pessoas sensíveis à medida que isso melhora a taxa de filtração do ar. Modo Turbo - indicado por T na tela. Isso coloca o ventilador na velocidade máxima possíveis que possam praticamente o principal funcionamento do purificador de ar. Além disso, o "&amp;"filtro possui um modo noturno automático/forçado. O purificador detecta automaticamente a iluminação na sala e, uma vez que detecta baixa a nenhuma luz, ele é automaticamente para o modo noturno. O mesmo pode ser forçado pressionando o botão do modo notur"&amp;"no o purificador. O que isso faz é que, se o filtro estiver no modo automático, a velocidade do ventilador será reduzida em todos os níveis, a fim de minimizar o ruído. o caso de uso que eu tenho. Nos dias regulares de poluição no inverno, é capaz de mant"&amp;"er a qualidade do ar no controle, mesmo quando trabalha no modo automático, é capaz de descer dos níveis vermelhos para o azul. Localizando um desligado intermitentemente, de acordo com os níveis de qualidade do ar. Nos dias drásticos de poluição, ele tem"&amp;" dificuldade em gerenciar a qualidade do ar no modo automático e tenho que forçá -lo no modo turbo a obter a qualidade do ar no controle. Se não houver muita mudança de ar, estiver acontecendo na sala em todo o filtro, é capaz de levar a qualidade do ar a"&amp;" um nível muito aceitável. O indicador de qualidade do ar é um ótimo valor adicionado ao produto. Muito que está faltando em concorrentes com preços semelhantes. Estou um pouco decepcionado com o modo noturno que trabalha, pois compensa a qualidade do ar "&amp;"sobre o ruído. Acredito que a tarefa de purificadores é garantir que a qualidade do ar na sala seja o melhor possível. Ao reduzir a velocidade do ventilador para reduzir o ruído, funciona bem nos dias normais de poluição, mas é totalmente inútil em qualqu"&amp;"er coisa um pouco pior (quando eu não quero usar o modo turbo ainda) a durabilidade dos filtros foi decente. Eu usei tudo através dos invernos no ano passado e intermitentemente no verão deste ano, mas ainda estou para obter uma indicação para alterar o H"&amp;"EPA ou o filtro de carbono. Sim, isso me lembra que o purificador de ar detectará e indicaria automaticamente quando um filtro precisa ser substituído exibindo um código de erro na tela. Até faz isso para o pré-filtro que não precisa ser substituído, mas "&amp;"apenas limpo/lavado. Que recebi 3-4 vezes no ano passado. No geral, eu ainda recomendo fortemente este produto- bom desempenho com um preço decente que foi reduzido uma boa quantia desde o lançamento., Bom produto, o produto não se destaca notavelmente, M"&amp;"as provavelmente faz o trabalho que deveria. Agora é tarde demais para devolver este produto e tentar outra marca., Em todo o bom produto. No entanto, para experimentar a substituição do filtro e, consequentemente, o custo recorrente., O produto está func"&amp;"ionando bem e vale a pena comprar o produto., Escrevendo após quase 1,5 anos todos os prós e tudo é bom, apenas um problema é que eu moro no filtro de Délhi e Hepa custará Você, por volta de 2000, e levou apenas 6-8 meses, tornou-se totalmente preto algun"&amp;"s conselhos1. Não corra perto da cozinha, ele pegará todos os poros de carbono que serão bloqueados. Se você mora em Délhi, verifique depois de cada mês limpar com limpeza de vaccume.3. Sele suas portas A maioria das sujeiras e mosquitos vêm a partir daí,"&amp;" apenas as janelas abertas que também as selaram e coloque -as anti -pó e rede de mosquito nelas.4. Execute -o o dia todo, como quando você vira se, após 1 hora, seu quarto ficará tão sujo quanto a UT. Você pode limpar apenas o filtro pré -filtro não limp"&amp;"a o filtro de carbono e HEPA.6. Ser e indiano, se o seu filtro HEPA se tornar preto, obtenha um pouco de água, coloque um pouco de detergente e mergulhe-o dentro de todo o pó e o carbono sairá e o usará novamente, haha ​​seu papel, mas é tão difícil que v"&amp;"ocê pode lavá-lo 4-5 vezes mantê-lo sob sol luz por 4-5 horas. Às vezes, você recebe o erro de limpar todos os três filtros com vaccume ou pincel (cuidadoso durante a limpeza com o pincel de que a poeira é perigosa pode causar problemas, portanto, use más"&amp;"cara) após a limpeza segure seu dedo na trava da criança para redefinir e começará a funcionar8. BHAI DELHI M POLUÇÃO BHOT H SO FAMÍLIA K mentira mensalmente 300rs Padta H Filtro Mãe esposa Bachy Pura Din Gher Phty H, então é uma compra obrigatória para p"&amp;"rotegê -los. Atualizar a velocidade do ventilador ficou lenta 10. Consumo de energia- No 1º- 23 watts, 2º a 33 watts, 3º 40 watts, max 50 watts O melhor é mantê-lo no modo automático quando o quarto será o consumo de energia limpo será reduzido para 23wat"&amp;"t e a noite inteira funcionará no modo eficiente de energia11. Não deixou a porta ou a janela do quarto aberta, continuará sendo a sala vermelha deve estar fechada, o quarto ainda está empoeirado e não muito funcional")</f>
        <v>Aqui está uma tentativa de uma revisão deste produto depois de usá-lo por um ano. Eu o instalei no quarto, cerca de 300 pés quadrados tão bem no espaço da sala Max anunciada. Ao usar o purificador, a sala é mantida fechada para minimizar a adição da poluição. Qualidade da construção: -O purificador é resistente em sua construção e esteticamente agradável. Possui uma grande grelha frontal que atua como a entrada de ar e uma parte traseira arqueada que tem uma grade maior para a tomada de ar filtrada. O arco ajuda o ar a ser liberado verticalmente para cima e, portanto, não aumenta o resfriamento direto para quem está sentado na frente. Isso ajuda os filtros a usar no inverno, que é a estação principal em que é necessário. A parte superior do filtro possui um painel escuro com botões sensíveis ao toque e uma tela de LED circular de tamanho decente. Os 4 botões são - potência, modo noturno, velocidade do ventilador e trava filho. Assim, ao Unboxing, o mesmo deve ser configurado para uso. A configuração é bem direta. As principais unidades de filtro podem ser liberadas e os filtros individuais alinhados em ordem no espaço central. A ordem de instalação do filtro é a seguinte filtro -&gt; Hepa. (O mesmo tem indicação na parte superior para corrigir a instalação. Você também pode manter a marca Phillips no canto superior esquerdo) segundo -&gt; filtro de carbono ativo. (O mesmo tem indicação na parte superior para corrigir a instalação. Você também pode seguir para manter a marca Phillips no canto superior esquerdo) terceiro -&gt; pré -filtro. Este realmente preenche o lugar e é usado para filtrar a poeira / impurezas maiores, para que não entupize os outros filtros principais. Defina como diferentes modos. Um deles é o modo automático que automatiza o purificador que trabalha graças ao sensor de qualidade do ar embutido. O nível de poluição sentido regula a velocidade do ventilador de acordo. 4 níveis são programados e são indicados na pequena tela de LED circular por meio de anéis circulares de cores diferentes - azul (min), violeta, rosa, vermelho (máximo). O nível vermelho colocaria o ventilador na velocidade máxima e o azul desligaria o filtro automaticamente. Eles são a velocidade 1 - indicada por 1 na velocidade da tela 2 - indicada por 2 na velocidade da tela 3 - indicada por 3 no modo Screen -Automatic - indicado por A no modo ScreenAllergen - isso pode ser adicionado apenas ao topo do modo automático. Ele essencialmente aumenta um pouco a velocidade em todos os diferentes níveis de cores. Isso é para se adequar às pessoas sensíveis à medida que isso melhora a taxa de filtração do ar. Modo Turbo - indicado por T na tela. Isso coloca o ventilador na velocidade máxima possíveis que possam praticamente o principal funcionamento do purificador de ar. Além disso, o filtro possui um modo noturno automático/forçado. O purificador detecta automaticamente a iluminação na sala e, uma vez que detecta baixa a nenhuma luz, ele é automaticamente para o modo noturno. O mesmo pode ser forçado pressionando o botão do modo noturno o purificador. O que isso faz é que, se o filtro estiver no modo automático, a velocidade do ventilador será reduzida em todos os níveis, a fim de minimizar o ruído. o caso de uso que eu tenho. Nos dias regulares de poluição no inverno, é capaz de manter a qualidade do ar no controle, mesmo quando trabalha no modo automático, é capaz de descer dos níveis vermelhos para o azul. Localizando um desligado intermitentemente, de acordo com os níveis de qualidade do ar. Nos dias drásticos de poluição, ele tem dificuldade em gerenciar a qualidade do ar no modo automático e tenho que forçá -lo no modo turbo a obter a qualidade do ar no controle. Se não houver muita mudança de ar, estiver acontecendo na sala em todo o filtro, é capaz de levar a qualidade do ar a um nível muito aceitável. O indicador de qualidade do ar é um ótimo valor adicionado ao produto. Muito que está faltando em concorrentes com preços semelhantes. Estou um pouco decepcionado com o modo noturno que trabalha, pois compensa a qualidade do ar sobre o ruído. Acredito que a tarefa de purificadores é garantir que a qualidade do ar na sala seja o melhor possível. Ao reduzir a velocidade do ventilador para reduzir o ruído, funciona bem nos dias normais de poluição, mas é totalmente inútil em qualquer coisa um pouco pior (quando eu não quero usar o modo turbo ainda) a durabilidade dos filtros foi decente. Eu usei tudo através dos invernos no ano passado e intermitentemente no verão deste ano, mas ainda estou para obter uma indicação para alterar o HEPA ou o filtro de carbono. Sim, isso me lembra que o purificador de ar detectará e indicaria automaticamente quando um filtro precisa ser substituído exibindo um código de erro na tela. Até faz isso para o pré-filtro que não precisa ser substituído, mas apenas limpo/lavado. Que recebi 3-4 vezes no ano passado. No geral, eu ainda recomendo fortemente este produto- bom desempenho com um preço decente que foi reduzido uma boa quantia desde o lançamento., Bom produto, o produto não se destaca notavelmente, Mas provavelmente faz o trabalho que deveria. Agora é tarde demais para devolver este produto e tentar outra marca., Em todo o bom produto. No entanto, para experimentar a substituição do filtro e, consequentemente, o custo recorrente., O produto está funcionando bem e vale a pena comprar o produto., Escrevendo após quase 1,5 anos todos os prós e tudo é bom, apenas um problema é que eu moro no filtro de Délhi e Hepa custará Você, por volta de 2000, e levou apenas 6-8 meses, tornou-se totalmente preto alguns conselhos1. Não corra perto da cozinha, ele pegará todos os poros de carbono que serão bloqueados. Se você mora em Délhi, verifique depois de cada mês limpar com limpeza de vaccume.3. Sele suas portas A maioria das sujeiras e mosquitos vêm a partir daí, apenas as janelas abertas que também as selaram e coloque -as anti -pó e rede de mosquito nelas.4. Execute -o o dia todo, como quando você vira se, após 1 hora, seu quarto ficará tão sujo quanto a UT. Você pode limpar apenas o filtro pré -filtro não limpa o filtro de carbono e HEPA.6. Ser e indiano, se o seu filtro HEPA se tornar preto, obtenha um pouco de água, coloque um pouco de detergente e mergulhe-o dentro de todo o pó e o carbono sairá e o usará novamente, haha ​​seu papel, mas é tão difícil que você pode lavá-lo 4-5 vezes mantê-lo sob sol luz por 4-5 horas. Às vezes, você recebe o erro de limpar todos os três filtros com vaccume ou pincel (cuidadoso durante a limpeza com o pincel de que a poeira é perigosa pode causar problemas, portanto, use máscara) após a limpeza segure seu dedo na trava da criança para redefinir e começará a funcionar8. BHAI DELHI M POLUÇÃO BHOT H SO FAMÍLIA K mentira mensalmente 300rs Padta H Filtro Mãe esposa Bachy Pura Din Gher Phty H, então é uma compra obrigatória para protegê -los. Atualizar a velocidade do ventilador ficou lenta 10. Consumo de energia- No 1º- 23 watts, 2º a 33 watts, 3º 40 watts, max 50 watts O melhor é mantê-lo no modo automático quando o quarto será o consumo de energia limpo será reduzido para 23watt e a noite inteira funcionará no modo eficiente de energia11. Não deixou a porta ou a janela do quarto aberta, continuará sendo a sala vermelha deve estar fechada, o quarto ainda está empoeirado e não muito funcional</v>
      </c>
    </row>
    <row r="1220">
      <c r="A1220" s="9" t="s">
        <v>4934</v>
      </c>
      <c r="B1220" s="29" t="str">
        <f>VLOOKUP(dados!A1220, reviews!A:G, 5, FALSE)</f>
        <v>Very beautiful heater but costly and less useful,Decent with some flaws,Good product.... Easy to handle...,I won't recommend it!!,Value for Money Product,Good Product,Low quality heater,Everything as per the description.</v>
      </c>
      <c r="C1220" s="29" t="str">
        <f>VLOOKUP(dados!A1220, reviews!A:G, 6, FALSE)</f>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v>
      </c>
      <c r="D1220" s="29" t="str">
        <f>IFERROR(__xludf.DUMMYFUNCTION("GOOGLETRANSLATE(B1220, ""en"", ""pt-br"")"),"Aquecedor muito bonito, mas caro e menos útil, decente com algumas falhas, bom produto ... fácil de lidar ..., não vou recomendar !!, valor para o produto, bom produto, bom produto, aquecedor de baixa qualidade, tudo como de acordo com a descrição.")</f>
        <v>Aquecedor muito bonito, mas caro e menos útil, decente com algumas falhas, bom produto ... fácil de lidar ..., não vou recomendar !!, valor para o produto, bom produto, bom produto, aquecedor de baixa qualidade, tudo como de acordo com a descrição.</v>
      </c>
      <c r="E1220" s="29" t="str">
        <f>IFERROR(__xludf.DUMMYFUNCTION("GOOGLETRANSLATE(C1220, ""en"", ""pt-br"")"),"É muito bonito e parece importado bom para colocar em um local na mesa de escritório etc. e não deve ser movido. É muito leve cai tão facilmente. O cabo de arame é muito curto. O aquecimento é bom. Não é forte e resistente, mas feito de um corpo de plásti"&amp;"co que quebrará se cair., Mais de uma semana, estou usando este produto.Pros: compacto, fácil de usar, portátil, boa qualidade construída. Controle manual sobre o Switch Saftey, leva tempo para aquecer uma pequena sala, pequeno comprimento do cabo. CONCLU"&amp;"SÃO: Se você estiver procurando por um aquecedor compacto Gud, poderá comprá -lo. Qualidade .. eu estou usando no meu quarto. Leva 15 a 20 minutos para reduzir a temperatura ambiente ... Vou recomendar este produto., O único positivo sobre este dispositiv"&amp;"o é o seu preço. Caso contrário, tudo o que tem é negativo. O aquecedor é muito leve, mas isso é um porque negativo, é leve demais para confiar nele para funcionar com segurança. Um dispositivo que trabalha a uma temperatura tão alta requer algum peso par"&amp;"a ter estabilidade, para que tenda confiante de que não derruba. A fabricação deu um interruptor seguro na parte inferior do dispositivo, mas o dispositivo permanece em alta temperatura por algum tempo, mesmo depois de desligar. O material do corpo materi"&amp;"al parece muito barato e não dá confiança de que duraria muito, embora o aquecimento do PTC O elemento pode durar muito. Não há nada para impedir a entrada de poeira e fibra no aquecedor, que pode levar a um incêndio a longo prazo se as fibras se acumular"&amp;"em por dentro. O interruptor na parte traseira para desligar e ativar também parece ser da qualidade mais barata. Não há controle de temperatura neste aquecedor .... então, quando você o inicia, ele será executado continuamente para que não possa ser usad"&amp;"o como aquecedor noturno em seu quarto. Então, eu sugiro, seria melhor optar por aquecedores um pouco caros que têm controle de temperatura e melhor qualidade., Como o serviço de entrega da Amazon é incrível recebeu este produto em 2 dias. , Estrutura de "&amp;"metal e acabamento liso de plástico, peso leve para transportar e portátil. A melhor parte que eu gostei, nunca levou tempo para aquecer, basta ligar e começar a soprar calor e aquece facilmente a sala com minutos. Mas a mente nua é preciso 220V Power. Tu"&amp;"do o que posso dizer é que é o melhor produto nesse preço. Você não se arrependerá de comprá -lo. O aquecedor é eficaz, fácil de usar e muito compacto. O trabalho é bom, eu gosto muito., AVA aquecedor de qualidade muito baixa sem qualquer controle de temp"&amp;"eratura. Ele queimou meu quadro de distribuição. Ele continua desenhando corrente sem controle., Ótimo produto para o preço, considerando que ele possui elemento cerâmico.")</f>
        <v>É muito bonito e parece importado bom para colocar em um local na mesa de escritório etc. e não deve ser movido. É muito leve cai tão facilmente. O cabo de arame é muito curto. O aquecimento é bom. Não é forte e resistente, mas feito de um corpo de plástico que quebrará se cair., Mais de uma semana, estou usando este produto.Pros: compacto, fácil de usar, portátil, boa qualidade construída. Controle manual sobre o Switch Saftey, leva tempo para aquecer uma pequena sala, pequeno comprimento do cabo. CONCLUSÃO: Se você estiver procurando por um aquecedor compacto Gud, poderá comprá -lo. Qualidade .. eu estou usando no meu quarto. Leva 15 a 20 minutos para reduzir a temperatura ambiente ... Vou recomendar este produto., O único positivo sobre este dispositivo é o seu preço. Caso contrário, tudo o que tem é negativo. O aquecedor é muito leve, mas isso é um porque negativo, é leve demais para confiar nele para funcionar com segurança. Um dispositivo que trabalha a uma temperatura tão alta requer algum peso para ter estabilidade, para que tenda confiante de que não derruba. A fabricação deu um interruptor seguro na parte inferior do dispositivo, mas o dispositivo permanece em alta temperatura por algum tempo, mesmo depois de desligar. O material do corpo material parece muito barato e não dá confiança de que duraria muito, embora o aquecimento do PTC O elemento pode durar muito. Não há nada para impedir a entrada de poeira e fibra no aquecedor, que pode levar a um incêndio a longo prazo se as fibras se acumularem por dentro. O interruptor na parte traseira para desligar e ativar também parece ser da qualidade mais barata. Não há controle de temperatura neste aquecedor .... então, quando você o inicia, ele será executado continuamente para que não possa ser usado como aquecedor noturno em seu quarto. Então, eu sugiro, seria melhor optar por aquecedores um pouco caros que têm controle de temperatura e melhor qualidade., Como o serviço de entrega da Amazon é incrível recebeu este produto em 2 dias. , Estrutura de metal e acabamento liso de plástico, peso leve para transportar e portátil. A melhor parte que eu gostei, nunca levou tempo para aquecer, basta ligar e começar a soprar calor e aquece facilmente a sala com minutos. Mas a mente nua é preciso 220V Power. Tudo o que posso dizer é que é o melhor produto nesse preço. Você não se arrependerá de comprá -lo. O aquecedor é eficaz, fácil de usar e muito compacto. O trabalho é bom, eu gosto muito., AVA aquecedor de qualidade muito baixa sem qualquer controle de temperatura. Ele queimou meu quadro de distribuição. Ele continua desenhando corrente sem controle., Ótimo produto para o preço, considerando que ele possui elemento cerâmico.</v>
      </c>
    </row>
    <row r="1221">
      <c r="A1221" s="9" t="s">
        <v>4938</v>
      </c>
      <c r="B1221" s="29" t="str">
        <f>VLOOKUP(dados!A1221, reviews!A:G, 5, FALSE)</f>
        <v>Nice,Heavy weight and good product.,Value for money,Looks good one but returned,I like it and good product,Super build quality,Nothing,Best iron box</v>
      </c>
      <c r="C1221" s="29" t="str">
        <f>VLOOKUP(dados!A1221, reviews!A:G, 6, FALSE)</f>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v>
      </c>
      <c r="D1221" s="29" t="str">
        <f>IFERROR(__xludf.DUMMYFUNCTION("GOOGLETRANSLATE(B1221, ""en"", ""pt-br"")"),"Bom, peso pesado e bom produto., Valor para o dinheiro, parece bom, mas voltou, eu gosto e bom produto, super qualidade de construção, nada, melhor caixa de ferro")</f>
        <v>Bom, peso pesado e bom produto., Valor para o dinheiro, parece bom, mas voltou, eu gosto e bom produto, super qualidade de construção, nada, melhor caixa de ferro</v>
      </c>
      <c r="E1221" s="29" t="str">
        <f>IFERROR(__xludf.DUMMYFUNCTION("GOOGLETRANSLATE(C1221, ""en"", ""pt-br"")"),"Valor pelo dinheiro, desempenho bem, revisão após 1 mês. Bom produto. 4 estrelas., Fácil de usar, conforto para lidar com um bom produto, eu recebi esse ferro seco hoje e parece muito bom e acho que deve ser o ideal para prensagem a seco e peso é bastante"&amp;" pesado de 1,8 kg e é grande, mas Weght pode ser um problema para as mulheres da semana. Infelizmente, porém, eu tenho que devolvê -lo, pois muitos raciais estão lá em prato não pegajoso e isso seguirá um mais danificado lá no futuro. UT Aqui, quero infor"&amp;"mar que muitas pessoas já tiveram esses arranhões e o devolveram. Portanto, tenha muito cuidado para verificar antes de usá -lo, eu gosto mais geral.")</f>
        <v>Valor pelo dinheiro, desempenho bem, revisão após 1 mês. Bom produto. 4 estrelas., Fácil de usar, conforto para lidar com um bom produto, eu recebi esse ferro seco hoje e parece muito bom e acho que deve ser o ideal para prensagem a seco e peso é bastante pesado de 1,8 kg e é grande, mas Weght pode ser um problema para as mulheres da semana. Infelizmente, porém, eu tenho que devolvê -lo, pois muitos raciais estão lá em prato não pegajoso e isso seguirá um mais danificado lá no futuro. UT Aqui, quero informar que muitas pessoas já tiveram esses arranhões e o devolveram. Portanto, tenha muito cuidado para verificar antes de usá -lo, eu gosto mais geral.</v>
      </c>
    </row>
    <row r="1222">
      <c r="A1222" s="9" t="s">
        <v>4942</v>
      </c>
      <c r="B1222" s="29" t="str">
        <f>VLOOKUP(dados!A1222, reviews!A:G, 5, FALSE)</f>
        <v>Very easy and handy to use,Good to have for boiled eggs.,Superb,Effortless,Wanderful,Good,Not good,Can consider for purchase</v>
      </c>
      <c r="C1222" s="29" t="str">
        <f>VLOOKUP(dados!A1222, reviews!A:G, 6, FALSE)</f>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egg.It’s power cord is very short so it’s very difficult to connect.,Review,Ok,Better by a 300 wala,Overall it's good. We can get hard, medium or soft boiled eggs. Cleaning is an issue. Sometimes it gets very dirty and it looks like it is corroded.</v>
      </c>
      <c r="D1222" s="29" t="str">
        <f>IFERROR(__xludf.DUMMYFUNCTION("GOOGLETRANSLATE(B1222, ""en"", ""pt-br"")"),"Muito fácil e útil de usar, bom para ter para ovos cozidos., Soberbo, sem esforço, Wanderful, bom, não bom, pode considerar para a compra")</f>
        <v>Muito fácil e útil de usar, bom para ter para ovos cozidos., Soberbo, sem esforço, Wanderful, bom, não bom, pode considerar para a compra</v>
      </c>
      <c r="E1222" s="29" t="str">
        <f>IFERROR(__xludf.DUMMYFUNCTION("GOOGLETRANSLATE(C1222, ""en"", ""pt-br"")"),"É um bom produto com funcionalidade fácil de usar e fácil de limpar. Pode acomodar e ferver 7 ovos por vez, quando a água é evaporada totalmente, ele corta automaticamente a fonte de alimentação e desliga a luz. O fundo do recipiente de água pode ser usad"&amp;"o para fazer um buraco nos ovos e, portanto, os ovos podem ser descascados facilmente após ferver corretamente. Também podemos definir o nível da água e quanto para ferver os ovos. De acordo com o nível de água que colocamos, os ovos são fervidos. Se colo"&amp;"carmos menos água, os ovos serão fervidos menos e vice -versa. No geral, um produto agradável e útil, fácil de usar e facilmente portátil. Vem com uma qualidade de construção forte e boa. Buy para amantes de ginástica e comedores de ovos cozidos frequente"&amp;"s. Esta caldeira de ovo de ovo de wipro facilitou minha vida. O cordão é curto, mas gerenciável., Nada, é fácil de usar. Mas é útil apenas para ferver o cabo de alimentação. é bom. Podemos obter ovos duros, médios ou macios. Limpeza é um problema. Às veze"&amp;"s fica muito sujo e parece que está corroído.")</f>
        <v>É um bom produto com funcionalidade fácil de usar e fácil de limpar. Pode acomodar e ferver 7 ovos por vez, quando a água é evaporada totalmente, ele corta automaticamente a fonte de alimentação e desliga a luz. O fundo do recipiente de água pode ser usado para fazer um buraco nos ovos e, portanto, os ovos podem ser descascados facilmente após ferver corretamente. Também podemos definir o nível da água e quanto para ferver os ovos. De acordo com o nível de água que colocamos, os ovos são fervidos. Se colocarmos menos água, os ovos serão fervidos menos e vice -versa. No geral, um produto agradável e útil, fácil de usar e facilmente portátil. Vem com uma qualidade de construção forte e boa. Buy para amantes de ginástica e comedores de ovos cozidos frequentes. Esta caldeira de ovo de ovo de wipro facilitou minha vida. O cordão é curto, mas gerenciável., Nada, é fácil de usar. Mas é útil apenas para ferver o cabo de alimentação. é bom. Podemos obter ovos duros, médios ou macios. Limpeza é um problema. Às vezes fica muito sujo e parece que está corroído.</v>
      </c>
    </row>
    <row r="1223">
      <c r="A1223" s="9" t="s">
        <v>4946</v>
      </c>
      <c r="B1223" s="29" t="str">
        <f>VLOOKUP(dados!A1223, reviews!A:G, 5, FALSE)</f>
        <v>Beyond expected,Good,Perfect Juicer - Very User Friendly in usage,User friendly and convenient to use for fresh juice,Excellent Little Juicer! Fast and Easy to Clean. Produces Very Good Quality Juice,Premium juicer,Good however...,Most effective and convinient juicer i Ever had</v>
      </c>
      <c r="C1223" s="29" t="str">
        <f>VLOOKUP(dados!A1223, reviews!A:G, 6, FALSE)</f>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v>
      </c>
      <c r="D1223" s="29" t="str">
        <f>IFERROR(__xludf.DUMMYFUNCTION("GOOGLETRANSLATE(B1223, ""en"", ""pt-br"")"),"Além do espremedor, bom, bom e perfeito - muito amigável em uso, amigável e conveniente para usar para suco fresco, excelente espremedor! Rápido e fácil de limpar. Produz suco de muito boa qualidade, espremedor premium, bom, no entanto ..., mais eficaz e "&amp;"convincente espremedor que já tive")</f>
        <v>Além do espremedor, bom, bom e perfeito - muito amigável em uso, amigável e conveniente para usar para suco fresco, excelente espremedor! Rápido e fácil de limpar. Produz suco de muito boa qualidade, espremedor premium, bom, no entanto ..., mais eficaz e convincente espremedor que já tive</v>
      </c>
      <c r="E1223" s="29" t="str">
        <f>IFERROR(__xludf.DUMMYFUNCTION("GOOGLETRANSLATE(C1223, ""en"", ""pt-br"")"),"Primeiro de tudo, eu queria comprar um espremedor para ter suco instantaneamente .. então eu revi muitos liquidificadores de suco e finalmente comprei este Philips HR1832 .. Eu fiz cenoura .. Apple ... Orange .. Promogan .. Etc ... tudo Eu tive e tive suc"&amp;"o fantástico ... polpa de frutas e resíduos todos coletados em uma bandeja e é fácil lavar. Obrigado por este liquidificador de suco instantâneo., bom negócio, acho esse espremedor incrível; De ponta a ponta, leva cerca de 10 a 15 minutos para extrair o s"&amp;"uco, limpar e embalar de volta. É fácil usar!, O produto é muito bom e amigável. Exatamente como demonstrado em vídeo, eu costumava ter espremedor muitas luas atrás, mas era um modelo barato e nunca produzia o suco que eu queria e não podia pagar os mega "&amp;"elegantes que suciam frutas e vegetais para dentro e polegada de sua vida Então, fiquei empolgado por poder começar a usar este novo. Primeiro, este é um bom design compacto. Realmente não ocupa muito espaço e tem pequenos otários na base para mantê -lo n"&amp;"o lugar na superfície da cozinha. O espremedor é simples de desmontar e montar, as instruções não são realmente necessárias, embora existam algumas fotos básicas fornecido na caixa. O bico de espremedor onde você coloca suas frutas e vegetais é muito pequ"&amp;"eno. Eu preciso cortar minhas maçãs em quartos para encaixá -las e, embora isso não seja uma falha enorme, é uma pena, pois você não precisaria que seja muito maior para colocá -las. Até agora, minhas tentativas de suco foram bem -sucedidas - Maçãs, framb"&amp;"oesas, uvas, pepinos e cenouras produziram uma quantidade razoável de suco de excelente degustação. Eu também, involuntariamente, coloquei uma manga picada lá sem perceber que é uma das frutas ricas em amido que aparentemente não funciona - parecia funcio"&amp;"nar bem para mim. Eu posso ver como uma banana ou abacate pode não funcionar, mas a manga produziu suco para que você queira experimentar. A polpa deixada no final ainda está bastante úmida e eu descobri que poderia facilmente espremer líquido, mas não é "&amp;"de forma alguma pingar e eu diria que um trabalho decente foi feito. Eu sei que resta muita bondade na polpa; portanto, se você quiser usar isso, basta limpar a fruta antes de superar e remover qualquer coisa que não desejaria na polpa. Dessa forma, depoi"&amp;"s de terminar o suco, você pode simplesmente retirar a bondade de polpia e fazer o que quiser. Existem realmente duas áreas principais para julgar um espremedor na qualidade do suco.#1 Alguns espremedores produzem uma quantidade maior de suco por item de "&amp;"alimento. Você pode dizer pela polpa mais seca que é extraída.#2 Alguns espremedores produzem suco mais espumoso e suco de temperatura mais quente - 2 sinais de menor qualidade, porque o ar e o calor são evidências da oxidação de nutrientes. Um espremedor"&amp;" giratório mais rápido (centrífugo) geralmente produz mais calor e espuma, e é por isso que o espremedor de estilo de mastigação (mais lento, ação de mascar) cria um suco de melhor qualidade. e um excelente trabalho com alto suco de espuma e baixa tempera"&amp;"tura. A ação lenta de mastigação é excelente e a par de outros espremedores. Para ficar mais descritivo, eu gosto de executar a polpa dos Philips através do espremedor 1 vez para obter suco extra. Executando a segunda vez e eu quase não tenho suco. Uma co"&amp;"rrida extra da polpa é suficiente. As especificações para esta reivindicação de espremedor que você pode limpá -la em menos de 1 minuto. Eu acho que isso é um pouco otimista, mas isso disse que não está muito longe. Todas as peças de plástico enxaguam fac"&amp;"ilmente e rapidamente com água morna e a única parte que exige um pouco mais de esforço é a peneira e ralador de metal. Isso tem pequenos buracos para ajudar a separar o suco e a polpa e, portanto, fica entupido com as coisas. Dito isto, descobri que o us"&amp;"o de uma esponja de sabão e esfregando suavemente com o lado verde faz o truque rapidamente. Certamente não leva muita graxa de cotovelo e eu achei muito fácil de limpar - ao contrário do meu espremedor anterior, onde você precisava esfregar por meia hora"&amp;" e ainda estava encontrando bits na próxima vez que o usar. Acho espremedor decente para o usuário cotidiano. Sim, poderia produzir um pouco mais de líquido a partir das coisas que sucos, mas certamente não é ruim e as coisas que produz são, em geral, cla"&amp;"ramente a partir de bits. O bico anti-gotejamento não é bem anti-drip e você precisa cuidar de suco no êmbolo de frutas quando você coloca pedaços enquanto eu o pego muito rapidamente e jogou gotas de suco fresco em todo o lugar. Pelo preço atual, eu diri"&amp;"a que vale a pena., Espremedor premium de alta qualidade, com baixo ruído e excelente capacidade de espremer o suco de max (80 a 90%) de frutas e vegetais. A aparência é excelente e muito acima do que outras opções estão disponíveis, eu uso isso há um mês"&amp;". É fácil de usar e limpar e montar. Mas às vezes vi que a polpa também está entrando o suco e, às vezes, faz um som diferente enquanto está triturando. Sinto que a cenoura e os pedaços de beterraba devem ser cortados um pouco menores e não como uma fatia"&amp;", porque se eu cortar como uma fatia/planície, uma fatia de cenoura ficou presa dentro do Blades e a máquina emitiram um som diferente e não estava dando mais suco, mas eu podia ver a polpa. Faça suco de cenoura e betoot e leva de 15 a 20 minutos para cor"&amp;"tar, moer e limpar. muito fácil de usar e muito fácil de montar.")</f>
        <v>Primeiro de tudo, eu queria comprar um espremedor para ter suco instantaneamente .. então eu revi muitos liquidificadores de suco e finalmente comprei este Philips HR1832 .. Eu fiz cenoura .. Apple ... Orange .. Promogan .. Etc ... tudo Eu tive e tive suco fantástico ... polpa de frutas e resíduos todos coletados em uma bandeja e é fácil lavar. Obrigado por este liquidificador de suco instantâneo., bom negócio, acho esse espremedor incrível; De ponta a ponta, leva cerca de 10 a 15 minutos para extrair o suco, limpar e embalar de volta. É fácil usar!, O produto é muito bom e amigável. Exatamente como demonstrado em vídeo, eu costumava ter espremedor muitas luas atrás, mas era um modelo barato e nunca produzia o suco que eu queria e não podia pagar os mega elegantes que suciam frutas e vegetais para dentro e polegada de sua vida Então, fiquei empolgado por poder começar a usar este novo. Primeiro, este é um bom design compacto. Realmente não ocupa muito espaço e tem pequenos otários na base para mantê -lo no lugar na superfície da cozinha. O espremedor é simples de desmontar e montar, as instruções não são realmente necessárias, embora existam algumas fotos básicas fornecido na caixa. O bico de espremedor onde você coloca suas frutas e vegetais é muito pequeno. Eu preciso cortar minhas maçãs em quartos para encaixá -las e, embora isso não seja uma falha enorme, é uma pena, pois você não precisaria que seja muito maior para colocá -las. Até agora, minhas tentativas de suco foram bem -sucedidas - Maçãs, framboesas, uvas, pepinos e cenouras produziram uma quantidade razoável de suco de excelente degustação. Eu também, involuntariamente, coloquei uma manga picada lá sem perceber que é uma das frutas ricas em amido que aparentemente não funciona - parecia funcionar bem para mim. Eu posso ver como uma banana ou abacate pode não funcionar, mas a manga produziu suco para que você queira experimentar. A polpa deixada no final ainda está bastante úmida e eu descobri que poderia facilmente espremer líquido, mas não é de forma alguma pingar e eu diria que um trabalho decente foi feito. Eu sei que resta muita bondade na polpa; portanto, se você quiser usar isso, basta limpar a fruta antes de superar e remover qualquer coisa que não desejaria na polpa. Dessa forma, depois de terminar o suco, você pode simplesmente retirar a bondade de polpia e fazer o que quiser. Existem realmente duas áreas principais para julgar um espremedor na qualidade do suco.#1 Alguns espremedores produzem uma quantidade maior de suco por item de alimento. Você pode dizer pela polpa mais seca que é extraída.#2 Alguns espremedores produzem suco mais espumoso e suco de temperatura mais quente - 2 sinais de menor qualidade, porque o ar e o calor são evidências da oxidação de nutrientes. Um espremedor giratório mais rápido (centrífugo) geralmente produz mais calor e espuma, e é por isso que o espremedor de estilo de mastigação (mais lento, ação de mascar) cria um suco de melhor qualidade. e um excelente trabalho com alto suco de espuma e baixa temperatura. A ação lenta de mastigação é excelente e a par de outros espremedores. Para ficar mais descritivo, eu gosto de executar a polpa dos Philips através do espremedor 1 vez para obter suco extra. Executando a segunda vez e eu quase não tenho suco. Uma corrida extra da polpa é suficiente. As especificações para esta reivindicação de espremedor que você pode limpá -la em menos de 1 minuto. Eu acho que isso é um pouco otimista, mas isso disse que não está muito longe. Todas as peças de plástico enxaguam facilmente e rapidamente com água morna e a única parte que exige um pouco mais de esforço é a peneira e ralador de metal. Isso tem pequenos buracos para ajudar a separar o suco e a polpa e, portanto, fica entupido com as coisas. Dito isto, descobri que o uso de uma esponja de sabão e esfregando suavemente com o lado verde faz o truque rapidamente. Certamente não leva muita graxa de cotovelo e eu achei muito fácil de limpar - ao contrário do meu espremedor anterior, onde você precisava esfregar por meia hora e ainda estava encontrando bits na próxima vez que o usar. Acho espremedor decente para o usuário cotidiano. Sim, poderia produzir um pouco mais de líquido a partir das coisas que sucos, mas certamente não é ruim e as coisas que produz são, em geral, claramente a partir de bits. O bico anti-gotejamento não é bem anti-drip e você precisa cuidar de suco no êmbolo de frutas quando você coloca pedaços enquanto eu o pego muito rapidamente e jogou gotas de suco fresco em todo o lugar. Pelo preço atual, eu diria que vale a pena., Espremedor premium de alta qualidade, com baixo ruído e excelente capacidade de espremer o suco de max (80 a 90%) de frutas e vegetais. A aparência é excelente e muito acima do que outras opções estão disponíveis, eu uso isso há um mês. É fácil de usar e limpar e montar. Mas às vezes vi que a polpa também está entrando o suco e, às vezes, faz um som diferente enquanto está triturando. Sinto que a cenoura e os pedaços de beterraba devem ser cortados um pouco menores e não como uma fatia, porque se eu cortar como uma fatia/planície, uma fatia de cenoura ficou presa dentro do Blades e a máquina emitiram um som diferente e não estava dando mais suco, mas eu podia ver a polpa. Faça suco de cenoura e betoot e leva de 15 a 20 minutos para cortar, moer e limpar. muito fácil de usar e muito fácil de montar.</v>
      </c>
    </row>
    <row r="1224">
      <c r="A1224" s="9" t="s">
        <v>4952</v>
      </c>
      <c r="B1224" s="29" t="str">
        <f>VLOOKUP(dados!A1224, reviews!A:G, 5, FALSE)</f>
        <v>Good quality scale but I got defective piece,Nice product....,Product is very good 👍,About product,Must buy,Great device for kitchen</v>
      </c>
      <c r="C1224" s="29" t="str">
        <f>VLOOKUP(dados!A1224, reviews!A:G, 6, FALSE)</f>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v>
      </c>
      <c r="D1224" s="29" t="str">
        <f>IFERROR(__xludf.DUMMYFUNCTION("GOOGLETRANSLATE(B1224, ""en"", ""pt-br"")"),"Escala de boa qualidade, mas obtive uma peça defeituosa, bom produto ...., o produto é muito bom 👍, sobre o produto, deve comprar, ótimo dispositivo para cozinha")</f>
        <v>Escala de boa qualidade, mas obtive uma peça defeituosa, bom produto ...., o produto é muito bom 👍, sobre o produto, deve comprar, ótimo dispositivo para cozinha</v>
      </c>
      <c r="E1224" s="29" t="str">
        <f>IFERROR(__xludf.DUMMYFUNCTION("GOOGLETRANSLATE(C1224, ""en"", ""pt-br"")"),"Esta escala de pesagem é feita de material de boa qualidade. Parece resistente, pesa precisas, mas a escala que obtive possui exibição de detetive. Os primeiros 2 dígitos parecem claros e depois os próximos dígitos não são claramente visíveis. Estou devol"&amp;"vendo este item e a Amazon aceitou minha solicitação de devolução., Recebida no prazo ... o produto é muito bom em condição .., melhor produto, produtos muito úteis, realmente melhor uso de produtos e compra de casa e recentemente recebeu -o hoje e verifi"&amp;"cado É capacidade .. está chegando em torno de 10 kg. No geral, a aparência é boa. Espero que o desempenho também seja bom, recebeu a escala de pesagem em boas condições. Parece exatamente o mesmo que a exibição do produto. Trabalhando bem no momento. Fel"&amp;"iz com a compra. Graças ao vendedor e à Amazon")</f>
        <v>Esta escala de pesagem é feita de material de boa qualidade. Parece resistente, pesa precisas, mas a escala que obtive possui exibição de detetive. Os primeiros 2 dígitos parecem claros e depois os próximos dígitos não são claramente visíveis. Estou devolvendo este item e a Amazon aceitou minha solicitação de devolução., Recebida no prazo ... o produto é muito bom em condição .., melhor produto, produtos muito úteis, realmente melhor uso de produtos e compra de casa e recentemente recebeu -o hoje e verificado É capacidade .. está chegando em torno de 10 kg. No geral, a aparência é boa. Espero que o desempenho também seja bom, recebeu a escala de pesagem em boas condições. Parece exatamente o mesmo que a exibição do produto. Trabalhando bem no momento. Feliz com a compra. Graças ao vendedor e à Amazon</v>
      </c>
    </row>
    <row r="1225">
      <c r="A1225" s="9" t="s">
        <v>4956</v>
      </c>
      <c r="B1225" s="29" t="str">
        <f>VLOOKUP(dados!A1225, reviews!A:G, 5, FALSE)</f>
        <v>Nice product,Not as effective as claimed, just an average product..,Good Product,bribing people for 5 star rating,Most worst machine i have ever seen,Just wow</v>
      </c>
      <c r="C1225" s="29" t="str">
        <f>VLOOKUP(dados!A1225, reviews!A:G, 6, FALSE)</f>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v>
      </c>
      <c r="D1225" s="29" t="str">
        <f>IFERROR(__xludf.DUMMYFUNCTION("GOOGLETRANSLATE(B1225, ""en"", ""pt-br"")"),"Bom produto, não tão eficaz quanto reivindicado, apenas um produto comum .., bom produto, subornando pessoas para classificação de 5 estrelas, a mais pior máquina que eu já vi, apenas uau")</f>
        <v>Bom produto, não tão eficaz quanto reivindicado, apenas um produto comum .., bom produto, subornando pessoas para classificação de 5 estrelas, a mais pior máquina que eu já vi, apenas uau</v>
      </c>
      <c r="E1225" s="29" t="str">
        <f>IFERROR(__xludf.DUMMYFUNCTION("GOOGLETRANSLATE(C1225, ""en"", ""pt-br"")"),"Valor do dinheiro, não tão eficaz quanto reivindicado, apenas um produto médio, medicina de qualidade construída., Bom, muito bom produto, com muita facilidade para usar um bom trabalho. Mas o cabo do carregador é muito curto. Eu lambo isso., O produto é "&amp;"tão bom quanto a classificação mostra que é e a razão é que o vendedor está subornando pessoas por 50 Rupppee Paytm Cash e classificando -as 5 partidas, isso é trapaça. A qualidade do produto não estava à altura e não funcionou depois de 2 dias, pior, rec"&amp;"arregável .... 3 modos de velocidade e ele dá espuma perfeita e cremosa ... Valor por dinheiro 100 %")</f>
        <v>Valor do dinheiro, não tão eficaz quanto reivindicado, apenas um produto médio, medicina de qualidade construída., Bom, muito bom produto, com muita facilidade para usar um bom trabalho. Mas o cabo do carregador é muito curto. Eu lambo isso., O produto é tão bom quanto a classificação mostra que é e a razão é que o vendedor está subornando pessoas por 50 Rupppee Paytm Cash e classificando -as 5 partidas, isso é trapaça. A qualidade do produto não estava à altura e não funcionou depois de 2 dias, pior, recarregável .... 3 modos de velocidade e ele dá espuma perfeita e cremosa ... Valor por dinheiro 100 %</v>
      </c>
    </row>
    <row r="1226">
      <c r="A1226" s="9" t="s">
        <v>4960</v>
      </c>
      <c r="B1226" s="29" t="str">
        <f>VLOOKUP(dados!A1226, reviews!A:G, 5, FALSE)</f>
        <v>Good product  but has a misleading information about warranty,Value for money,4.5 ⭐ Small and Sturdy blender and versatile,Perfect for every kitchen,Awesome Product,Nice Product,Very nice blender,Worst product and service</v>
      </c>
      <c r="C1226" s="29" t="str">
        <f>VLOOKUP(dados!A1226, reviews!A:G, 6, FALSE)</f>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v>
      </c>
      <c r="D1226" s="29" t="str">
        <f>IFERROR(__xludf.DUMMYFUNCTION("GOOGLETRANSLATE(B1226, ""en"", ""pt-br"")"),"Bom produto, mas possui informações enganosas sobre garantia, relação custo")</f>
        <v>Bom produto, mas possui informações enganosas sobre garantia, relação custo</v>
      </c>
      <c r="E1226" s="29" t="str">
        <f>IFERROR(__xludf.DUMMYFUNCTION("GOOGLETRANSLATE(C1226, ""en"", ""pt-br"")"),"O produto é bom, fácil de usar. Mas há informações enganosas na Amazon sobre a garantia, na Amazon eles mencionaram 2 anos de garantia + 6 meses de garantia estendida. Mas quando entrei em contato com o atendimento ao cliente, eles disseram 1 ano de garan"&amp;"tia padrão + 1 ano de garantia prolongada (somente motor) ao se registrar no site e apenas 6 meses de garantia em lâminas de jar, muito simples de usar, fácil de usar, fácil de limpar. , O produto é bom .., sobre todo o liquidificador muito bom. Fácil e c"&amp;"onveniente de usar. Eu posso preparar variedades de suco e ele pode misturar nozes conforme necessário, ele funciona conforme o esperado, recomendado, fácil e rápido de usar, especialmente de manhã quando há pressão de tempo, dentro de 6 meses o motor par"&amp;"ou de funcionar e depois aumentou um compatível, Eles escolheram o produto e foram verificados e depois informados-o técnico confirmou que sua lâmina não está em condição para funcionar corretamente. A lâmina tem 6 meses de garantia e, de acordo com a fat"&amp;"ura, está fora de garantia, para que você precise comprar uma nova lâmina de nós .--- - E eles compartilharam um vídeo para verificar o produto, é como uma loja lateral de estrada. Então, Balzano, tendo uma loja lateral da estrada como centro de serviço "&amp;"😬")</f>
        <v>O produto é bom, fácil de usar. Mas há informações enganosas na Amazon sobre a garantia, na Amazon eles mencionaram 2 anos de garantia + 6 meses de garantia estendida. Mas quando entrei em contato com o atendimento ao cliente, eles disseram 1 ano de garantia padrão + 1 ano de garantia prolongada (somente motor) ao se registrar no site e apenas 6 meses de garantia em lâminas de jar, muito simples de usar, fácil de usar, fácil de limpar. , O produto é bom .., sobre todo o liquidificador muito bom. Fácil e conveniente de usar. Eu posso preparar variedades de suco e ele pode misturar nozes conforme necessário, ele funciona conforme o esperado, recomendado, fácil e rápido de usar, especialmente de manhã quando há pressão de tempo, dentro de 6 meses o motor parou de funcionar e depois aumentou um compatível, Eles escolheram o produto e foram verificados e depois informados-o técnico confirmou que sua lâmina não está em condição para funcionar corretamente. A lâmina tem 6 meses de garantia e, de acordo com a fatura, está fora de garantia, para que você precise comprar uma nova lâmina de nós .--- - E eles compartilharam um vídeo para verificar o produto, é como uma loja lateral de estrada. Então, Balzano, tendo uma loja lateral da estrada como centro de serviço 😬</v>
      </c>
    </row>
    <row r="1227">
      <c r="A1227" s="9" t="s">
        <v>4965</v>
      </c>
      <c r="B1227" s="29" t="str">
        <f>VLOOKUP(dados!A1227, reviews!A:G, 5, FALSE)</f>
        <v>Not impressed with the purchase,👍,Good project,Gets small clean up jobs done efficiently,Does the job,Works okay,Warranty Card not found inside the Box.,Succetion time could be on the higher side</v>
      </c>
      <c r="C1227" s="29" t="str">
        <f>VLOOKUP(dados!A1227, reviews!A:G, 6, FALSE)</f>
        <v>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v>
      </c>
      <c r="D1227" s="29" t="str">
        <f>IFERROR(__xludf.DUMMYFUNCTION("GOOGLETRANSLATE(B1227, ""en"", ""pt-br"")"),"Não está impressionado com a compra, 👍, bom projeto, faz pequenos trabalhos de limpeza feitos com eficiência, o trabalho funciona bem, o cartão de garantia não encontrado dentro da caixa. O tempo de sucção pode estar do lado mais alto")</f>
        <v>Não está impressionado com a compra, 👍, bom projeto, faz pequenos trabalhos de limpeza feitos com eficiência, o trabalho funciona bem, o cartão de garantia não encontrado dentro da caixa. O tempo de sucção pode estar do lado mais alto</v>
      </c>
      <c r="E1227" s="29" t="str">
        <f>IFERROR(__xludf.DUMMYFUNCTION("GOOGLETRANSLATE(C1227, ""en"", ""pt-br"")"),"O vácuo afirma ter um ""motor poderoso"", mas luta para pegar até a sujeira e os detritos básicos. Eu tentei usá-lo no tapete e nas superfícies duras com pouco sucesso. Apesar dos usos múltiplos, o lixo permanece quase completamente cheio após cada uso. O"&amp;" recurso de iluminação também é bastante inútil, pois não é brilhante o suficiente para ser de muita utilidade para iluminar as áreas que estão sendo limpas. No geral, eu não recomendaria o aspirador de carro sem fio militar da VC03, da Vc03. É um desempe"&amp;"nho ruim e não faz jus às suas reivindicações. There are much better options available on the market for car vacuum cleaners.,👍 good,Good one. Vá em frente, limpeza, poder de sucção, conforme reivindicado., O poder de sucção não é muito impressionado a l"&amp;"uta contra o duto que gruda no chão. Card de garantia de 6 meses não recebido dentro da caixa. A caixa foi danificada de um lado., Fácil de usar e amigável")</f>
        <v>O vácuo afirma ter um "motor poderoso", mas luta para pegar até a sujeira e os detritos básicos. Eu tentei usá-lo no tapete e nas superfícies duras com pouco sucesso. Apesar dos usos múltiplos, o lixo permanece quase completamente cheio após cada uso. O recurso de iluminação também é bastante inútil, pois não é brilhante o suficiente para ser de muita utilidade para iluminar as áreas que estão sendo limpas. No geral, eu não recomendaria o aspirador de carro sem fio militar da VC03, da Vc03. É um desempenho ruim e não faz jus às suas reivindicações. There are much better options available on the market for car vacuum cleaners.,👍 good,Good one. Vá em frente, limpeza, poder de sucção, conforme reivindicado., O poder de sucção não é muito impressionado a luta contra o duto que gruda no chão. Card de garantia de 6 meses não recebido dentro da caixa. A caixa foi danificada de um lado., Fácil de usar e amigável</v>
      </c>
    </row>
    <row r="1228">
      <c r="A1228" s="9" t="s">
        <v>4969</v>
      </c>
      <c r="B1228" s="29" t="str">
        <f>VLOOKUP(dados!A1228, reviews!A:G, 5, FALSE)</f>
        <v>Little kitchen helper,An amazing product,Very good product nice to use,Handy gadget!,Easy to use and carry Great product 👌,Best product,Light weight,Will definitely save your time....</v>
      </c>
      <c r="C1228" s="29" t="str">
        <f>VLOOKUP(dados!A1228, reviews!A:G, 6, FALSE)</f>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😊,Easy to use excellent,Value for moneyNd easy to use</v>
      </c>
      <c r="D1228" s="29" t="str">
        <f>IFERROR(__xludf.DUMMYFUNCTION("GOOGLETRANSLATE(B1228, ""en"", ""pt-br"")"),"Little Kitchen Helper, um produto incrível, um produto muito bom, bom de usar, gadgets prático!, Fácil de usar e transportar um ótimo produto 👌, melhor produto, peso leve, definitivamente economizará seu tempo ....")</f>
        <v>Little Kitchen Helper, um produto incrível, um produto muito bom, bom de usar, gadgets prático!, Fácil de usar e transportar um ótimo produto 👌, melhor produto, peso leve, definitivamente economizará seu tempo ....</v>
      </c>
      <c r="E1228" s="29" t="str">
        <f>IFERROR(__xludf.DUMMYFUNCTION("GOOGLETRANSLATE(C1228, ""en"", ""pt-br"")"),"A primeira vez que tentei enviar os ovos e o creme de leite por toda a cozinha. Grande bagunça, então eu sugiro que você tente com água em um copo ou tigela para sentir a sensação. Então você se apaixonará por este gadget. Fácil de limpar, basta enxaguar "&amp;"sob a torneira. A carga se mantém quase para um emprego para que você não queime ou aqueça o motor. A espuma de uma xícara de café ou ovos de creme para uma omelete macia é fácil. Flimsy para uso de ruff, mas ei, você não pode reclamar pelo preço que seu "&amp;"pagamento., Isso é bom para pessoas que desejam um dispositivo durável para misturar e levar seus ovos, café, leite, etc. para uma vibração luxuosa. É bom, pois não opera com bateria, mas carga elétrica. Eu sinto que o preço pode parecer íngreme, mas, cas"&amp;"o contrário, o produto é um produto de 10/10, bom e fácil de usar, e o preço muito razoável eu adorei este produto, mas pensa que eles precisam aumentar a capacidade de energia da bateria, exceto que tudo isso é Bom, é um bom produto útil. Funciona bem e "&amp;"é fácil de usar. Definitivamente fará o seu trabalho na cozinha mais simples., O produto foi fácil de usar e acessível em alguns minutos, produto útil muito bom 😊, fácil de usar, excelente, valor para dinheiro e fácil de usar")</f>
        <v>A primeira vez que tentei enviar os ovos e o creme de leite por toda a cozinha. Grande bagunça, então eu sugiro que você tente com água em um copo ou tigela para sentir a sensação. Então você se apaixonará por este gadget. Fácil de limpar, basta enxaguar sob a torneira. A carga se mantém quase para um emprego para que você não queime ou aqueça o motor. A espuma de uma xícara de café ou ovos de creme para uma omelete macia é fácil. Flimsy para uso de ruff, mas ei, você não pode reclamar pelo preço que seu pagamento., Isso é bom para pessoas que desejam um dispositivo durável para misturar e levar seus ovos, café, leite, etc. para uma vibração luxuosa. É bom, pois não opera com bateria, mas carga elétrica. Eu sinto que o preço pode parecer íngreme, mas, caso contrário, o produto é um produto de 10/10, bom e fácil de usar, e o preço muito razoável eu adorei este produto, mas pensa que eles precisam aumentar a capacidade de energia da bateria, exceto que tudo isso é Bom, é um bom produto útil. Funciona bem e é fácil de usar. Definitivamente fará o seu trabalho na cozinha mais simples., O produto foi fácil de usar e acessível em alguns minutos, produto útil muito bom 😊, fácil de usar, excelente, valor para dinheiro e fácil de usar</v>
      </c>
    </row>
    <row r="1229">
      <c r="A1229" s="9" t="s">
        <v>4973</v>
      </c>
      <c r="B1229" s="29" t="str">
        <f>VLOOKUP(dados!A1229, reviews!A:G, 5, FALSE)</f>
        <v>Good water heater,Good quality,Good products,Good,Good,Good product,Good product,Brand value</v>
      </c>
      <c r="C1229" s="29" t="str">
        <f>VLOOKUP(dados!A1229, reviews!A:G, 6, FALSE)</f>
        <v>Nice product &amp; good quality,Value for money, as per description.,Very easy useful,Good product,Product is good,Good,Good,Best to buy under 500. Comes with warranty card. Cable Quality is good</v>
      </c>
      <c r="D1229" s="29" t="str">
        <f>IFERROR(__xludf.DUMMYFUNCTION("GOOGLETRANSLATE(B1229, ""en"", ""pt-br"")"),"Bom aquecedor de água, boa qualidade, bons produtos, bom, bom, bom produto, bom produto, valor da marca")</f>
        <v>Bom aquecedor de água, boa qualidade, bons produtos, bom, bom, bom produto, bom produto, valor da marca</v>
      </c>
      <c r="E1229" s="29" t="str">
        <f>IFERROR(__xludf.DUMMYFUNCTION("GOOGLETRANSLATE(C1229, ""en"", ""pt-br"")"),"Produto agradável e boa qualidade, valor ao dinheiro, conforme descrição., Muito fácil, bom, bom produto, produto é bom, bom, bom, melhor comprar menos de 500. Vem com cartão de garantia. A qualidade do cabo é boa")</f>
        <v>Produto agradável e boa qualidade, valor ao dinheiro, conforme descrição., Muito fácil, bom, bom produto, produto é bom, bom, bom, melhor comprar menos de 500. Vem com cartão de garantia. A qualidade do cabo é boa</v>
      </c>
    </row>
    <row r="1230">
      <c r="A1230" s="9" t="s">
        <v>4977</v>
      </c>
      <c r="B1230" s="29" t="str">
        <f>VLOOKUP(dados!A1230, reviews!A:G, 5, FALSE)</f>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v>
      </c>
      <c r="C1230" s="29" t="str">
        <f>VLOOKUP(dados!A1230, reviews!A:G, 6, FALSE)</f>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v>
      </c>
      <c r="D1230" s="29" t="str">
        <f>IFERROR(__xludf.DUMMYFUNCTION("GOOGLETRANSLATE(B1230, ""en"", ""pt-br"")"),"Valor por dinheiro, mercadorias, tubo não é confuso com gysure, o produto é bom, mas o acompanhamento do serviço de garantia é agitado e o serviço de atendimento ao cliente é patético, um bom resfriamento, acabamento adequado para marcar. , alta potência "&amp;"criando problema no apartamento do metrô, trabalhando bem")</f>
        <v>Valor por dinheiro, mercadorias, tubo não é confuso com gysure, o produto é bom, mas o acompanhamento do serviço de garantia é agitado e o serviço de atendimento ao cliente é patético, um bom resfriamento, acabamento adequado para marcar. , alta potência criando problema no apartamento do metrô, trabalhando bem</v>
      </c>
      <c r="E1230" s="29" t="str">
        <f>IFERROR(__xludf.DUMMYFUNCTION("GOOGLETRANSLATE(C1230, ""en"", ""pt-br"")"),"O valor do dinheiro, como o OKK, o produto é bom, mas dentro de 2 anos parou de executar o desempenho e o atendimento ao cliente também não apoia, o resfriamento é muito rápido, mas o acabamento em geral não é bom. As tampas do tanque de plástico não trav"&amp;"am e estavam em estado aberto., Exceto o suporte ao cliente permanecendo tudo bem. Custo-benefício. Fácil de instalar., Bom para a cidade pequena, alta potência criando problemas no apartamento do metrô, a capacidade do produ")</f>
        <v>O valor do dinheiro, como o OKK, o produto é bom, mas dentro de 2 anos parou de executar o desempenho e o atendimento ao cliente também não apoia, o resfriamento é muito rápido, mas o acabamento em geral não é bom. As tampas do tanque de plástico não travam e estavam em estado aberto., Exceto o suporte ao cliente permanecendo tudo bem. Custo-benefício. Fácil de instalar., Bom para a cidade pequena, alta potência criando problemas no apartamento do metrô, a capacidade do produ</v>
      </c>
    </row>
    <row r="1231">
      <c r="A1231" s="9" t="s">
        <v>4981</v>
      </c>
      <c r="B1231" s="29" t="str">
        <f>VLOOKUP(dados!A1231, reviews!A:G, 5, FALSE)</f>
        <v>Good product,Excellent product,Good pruduct as of now.. 👍,Best product,Happy with the product,Compact product,Must buy item.,Havell’s Instant Geyser</v>
      </c>
      <c r="C1231" s="29" t="str">
        <f>VLOOKUP(dados!A1231, reviews!A:G, 6, FALSE)</f>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v>
      </c>
      <c r="D1231" s="29" t="str">
        <f>IFERROR(__xludf.DUMMYFUNCTION("GOOGLETRANSLATE(B1231, ""en"", ""pt-br"")"),"Bom produto, excelente produto, bom prudido a partir de agora .. 👍, melhor produto, feliz com o produto, produto compacto, deve comprar item., Havell's Instant Geyser")</f>
        <v>Bom produto, excelente produto, bom prudido a partir de agora .. 👍, melhor produto, feliz com o produto, produto compacto, deve comprar item., Havell's Instant Geyser</v>
      </c>
      <c r="E1231" s="29" t="str">
        <f>IFERROR(__xludf.DUMMYFUNCTION("GOOGLETRANSLATE(C1231, ""en"", ""pt-br"")"),"Havells Water Hapter, bom produto com preço razoável, https: //m.media-amazon.com/images/w/webp_402378-t1/images/i/51qhuzvzxrl._sy88.jpg,Good Product, excelente produto. Bom compacto e elegante. Chegando ao propósito, é destinado a servir bem como nele. I"&amp;"nstalação do mesmo dia por Havells Technician. Funciona como charme até agora., Produto muito compacto e bem projetado. O fluxo de água é lento, mas bom para um tanque 1L. Eles dão 1 ano de garantia se escrevermos uma revisão de 5 estrelas, por isso dando"&amp;" apenas 4 estrelas. Pode -se a maioria das revisões de 5 estrelas é apenas para garantia estendida. Amazon deve agir sobre esse tipo de tipo de Vendedor., É excelente projetado por Havells. A instalação gratuita foi feita por Havells no dia seguinte de co"&amp;"mpra. Usado para cozinha, o desempenho é excelente. Valor do dinheiro., O produto foi entregue em um dia e o técnico veio no mesmo dia para instalá -lo. O produto é muito fácil de usar. Amando isso!")</f>
        <v>Havells Water Hapter, bom produto com preço razoável, https: //m.media-amazon.com/images/w/webp_402378-t1/images/i/51qhuzvzxrl._sy88.jpg,Good Product, excelente produto. Bom compacto e elegante. Chegando ao propósito, é destinado a servir bem como nele. Instalação do mesmo dia por Havells Technician. Funciona como charme até agora., Produto muito compacto e bem projetado. O fluxo de água é lento, mas bom para um tanque 1L. Eles dão 1 ano de garantia se escrevermos uma revisão de 5 estrelas, por isso dando apenas 4 estrelas. Pode -se a maioria das revisões de 5 estrelas é apenas para garantia estendida. Amazon deve agir sobre esse tipo de tipo de Vendedor., É excelente projetado por Havells. A instalação gratuita foi feita por Havells no dia seguinte de compra. Usado para cozinha, o desempenho é excelente. Valor do dinheiro., O produto foi entregue em um dia e o técnico veio no mesmo dia para instalá -lo. O produto é muito fácil de usar. Amando isso!</v>
      </c>
    </row>
    <row r="1232">
      <c r="A1232" s="9" t="s">
        <v>4985</v>
      </c>
      <c r="B1232" s="29" t="str">
        <f>VLOOKUP(dados!A1232, reviews!A:G, 5, FALSE)</f>
        <v>Easy to use, works really well.,Good experience so far,Good,Handy product,Looks great..,convenient and efficient to use,Time saving and effective.,Good</v>
      </c>
      <c r="C1232" s="29" t="str">
        <f>VLOOKUP(dados!A1232, reviews!A:G, 6, FALSE)</f>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v>
      </c>
      <c r="D1232" s="29" t="str">
        <f>IFERROR(__xludf.DUMMYFUNCTION("GOOGLETRANSLATE(B1232, ""en"", ""pt-br"")"),"Fácil de usar, funciona muito bem., Boa experiência até agora, bom e útil, parece ótimo .., conveniente e eficiente de usar, economia de tempo e eficaz.")</f>
        <v>Fácil de usar, funciona muito bem., Boa experiência até agora, bom e útil, parece ótimo .., conveniente e eficiente de usar, economia de tempo e eficaz.</v>
      </c>
      <c r="E1232" s="29" t="str">
        <f>IFERROR(__xludf.DUMMYFUNCTION("GOOGLETRANSLATE(C1232, ""en"", ""pt-br"")"),"Funciona muito bem, ovos perfeitamente cozidos sem quebrar ovos que acontecem no fogão a gás e muito fáceis de limpar., O material de construção é decente. A edição que encontrei um pouco estava limpando a panela de calor. Mas é muito melhor do que os met"&amp;"ade do preço baratos que compramos, bom produto, muito fácil e sem complicações. Funciona exatamente como mencionado na descrição do produto. Ótimo para aqueles que fervem ovos regularmente. Esse feedback é baseado em 2 meses de uso., Gostei do design ..."&amp;" ferve os ovos sem esforço, compacto e fácil de usar. Configuração disponível para ovos fervendo. Bom produto., Adoro a facilidade com que posso ferver ovos, sem perder muito tempo ou dinheiro em contas de gás, boas.")</f>
        <v>Funciona muito bem, ovos perfeitamente cozidos sem quebrar ovos que acontecem no fogão a gás e muito fáceis de limpar., O material de construção é decente. A edição que encontrei um pouco estava limpando a panela de calor. Mas é muito melhor do que os metade do preço baratos que compramos, bom produto, muito fácil e sem complicações. Funciona exatamente como mencionado na descrição do produto. Ótimo para aqueles que fervem ovos regularmente. Esse feedback é baseado em 2 meses de uso., Gostei do design ... ferve os ovos sem esforço, compacto e fácil de usar. Configuração disponível para ovos fervendo. Bom produto., Adoro a facilidade com que posso ferver ovos, sem perder muito tempo ou dinheiro em contas de gás, boas.</v>
      </c>
    </row>
    <row r="1233">
      <c r="A1233" s="9" t="s">
        <v>4989</v>
      </c>
      <c r="B1233" s="29" t="str">
        <f>VLOOKUP(dados!A1233, reviews!A:G, 5, FALSE)</f>
        <v>Current issue in output water,Value for money,Great Product for Kitchen,Bakara product please don't purches,Awesomee,It can be hanged any where it is a portable  water geser.,very bad product not ,work even 3 months, as well as seller is not supporting in warranty,Good equipment</v>
      </c>
      <c r="C1233" s="29" t="str">
        <f>VLOOKUP(dados!A1233, reviews!A:G, 6, FALSE)</f>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product👍👍😊😊,Easy to hang.It can be hanged at any place.,very bad product not ,work even 3 months, as well as seller is not supporting in warranty,I liked the size. It is light and easy to install.</v>
      </c>
      <c r="D1233" s="29" t="str">
        <f>IFERROR(__xludf.DUMMYFUNCTION("GOOGLETRANSLATE(B1233, ""en"", ""pt-br"")"),"Edição atual na produção de água, valor ao dinheiro, ótimo produto para cozinha, produto Bakara, por favor, não compras, incrível, pode ser enforcado em qualquer lugar onde for um gser de água portátil., Produto muito ruim não, trabalhe até 3 meses, pois "&amp;"Bem como o vendedor não está apoiando na garantia, bom equipamento")</f>
        <v>Edição atual na produção de água, valor ao dinheiro, ótimo produto para cozinha, produto Bakara, por favor, não compras, incrível, pode ser enforcado em qualquer lugar onde for um gser de água portátil., Produto muito ruim não, trabalhe até 3 meses, pois Bem como o vendedor não está apoiando na garantia, bom equipamento</v>
      </c>
      <c r="E1233" s="29" t="str">
        <f>IFERROR(__xludf.DUMMYFUNCTION("GOOGLETRANSLATE(C1233, ""en"", ""pt-br"")"),"Problema atual na água, eu diria que não é uma compra ruim. Como o tamanho é pequeno, ele pode manter muita água quente, mas ainda é muito útil para a cozinha. Se usado com velocidade de torneira muito moderada, pode fornecer água morna moderada continuam"&amp;"ente, o que é uma vantagem. Deve experimentar se estiver procurando por uma opção mais barata e melhor para o uso da cozinha. É muito fácil instalar e água morna suficiente para a cozinha. Também quente para o banho. Custo-benefício. Primeiro dia de revis"&amp;"ão de uso., O produto foi muito ruim porque o passe de curente no corpo, para que não compra este produto, o gêiser portátil é incrível e eu usei hoje o dia inteiro e em temperatura de 9 graus se você conseguir água quente contínua na cozinha Nada é melho"&amp;"r, eu realmente adorei, devo comprá -lo, muito obrigado por um produto tão útil👍👍😊😊, fácil de pendurar. Meses, assim como o vendedor não estão apoiando na garantia, gostei do tamanho. É leve e fácil de instalar.")</f>
        <v>Problema atual na água, eu diria que não é uma compra ruim. Como o tamanho é pequeno, ele pode manter muita água quente, mas ainda é muito útil para a cozinha. Se usado com velocidade de torneira muito moderada, pode fornecer água morna moderada continuamente, o que é uma vantagem. Deve experimentar se estiver procurando por uma opção mais barata e melhor para o uso da cozinha. É muito fácil instalar e água morna suficiente para a cozinha. Também quente para o banho. Custo-benefício. Primeiro dia de revisão de uso., O produto foi muito ruim porque o passe de curente no corpo, para que não compra este produto, o gêiser portátil é incrível e eu usei hoje o dia inteiro e em temperatura de 9 graus se você conseguir água quente contínua na cozinha Nada é melhor, eu realmente adorei, devo comprá -lo, muito obrigado por um produto tão útil👍👍😊😊, fácil de pendurar. Meses, assim como o vendedor não estão apoiando na garantia, gostei do tamanho. É leve e fácil de instalar.</v>
      </c>
    </row>
    <row r="1234">
      <c r="A1234" s="9" t="s">
        <v>4993</v>
      </c>
      <c r="B1234" s="29" t="str">
        <f>VLOOKUP(dados!A1234, reviews!A:G, 5, FALSE)</f>
        <v>So far so good,Good,Good quality product,Fully satisfied.,Product Is Nice ,And Easy To Use,poor longevity,A good induction cook top,Good.</v>
      </c>
      <c r="C1234" s="29" t="str">
        <f>VLOOKUP(dados!A1234, reviews!A:G, 6, FALSE)</f>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v>
      </c>
      <c r="D1234" s="29" t="str">
        <f>IFERROR(__xludf.DUMMYFUNCTION("GOOGLETRANSLATE(B1234, ""en"", ""pt-br"")"),"Até agora, o produto bom, bom, de boa qualidade, totalmente satisfeito., O produto é agradável e fácil de usar, pobre longevidade, um bom top de cozinheira de indução, bom.")</f>
        <v>Até agora, o produto bom, bom, de boa qualidade, totalmente satisfeito., O produto é agradável e fácil de usar, pobre longevidade, um bom top de cozinheira de indução, bom.</v>
      </c>
      <c r="E1234" s="29" t="str">
        <f>IFERROR(__xludf.DUMMYFUNCTION("GOOGLETRANSLATE(C1234, ""en"", ""pt-br"")"),"Valor por dinheiro, bom produto e muito bom trabalho, finalmente, recebi a fogão de indução certa que estou procurando. O Amazon Basic é o melhor da aula. Aquecimento rápido, sem palavras. Entrega super rápida da Amazon., Gosto dos vários controle de temp"&amp;"eraturaBUTTONS., Https: //m.media-amazon.com/images/i/711qv0gr-vl._sy88.jpg.works bem apenas até o período da garantia ... Função imediata Depois disso, esse top de indução da marca Amazona é de boa qualidade e fácil de usar. O preço é muito razoável., Bo"&amp;"m para cozinhar leve ..")</f>
        <v>Valor por dinheiro, bom produto e muito bom trabalho, finalmente, recebi a fogão de indução certa que estou procurando. O Amazon Basic é o melhor da aula. Aquecimento rápido, sem palavras. Entrega super rápida da Amazon., Gosto dos vários controle de temperaturaBUTTONS., Https: //m.media-amazon.com/images/i/711qv0gr-vl._sy88.jpg.works bem apenas até o período da garantia ... Função imediata Depois disso, esse top de indução da marca Amazona é de boa qualidade e fácil de usar. O preço é muito razoável., Bom para cozinhar leve ..</v>
      </c>
    </row>
    <row r="1235">
      <c r="A1235" s="9" t="s">
        <v>4997</v>
      </c>
      <c r="B1235" s="29" t="str">
        <f>VLOOKUP(dados!A1235, reviews!A:G, 5, FALSE)</f>
        <v>A little weak but over all good,Value for money!,Not working,Nyc product,Good,Average quality product,Very good product,Affordable</v>
      </c>
      <c r="C1235" s="29" t="str">
        <f>VLOOKUP(dados!A1235, reviews!A:G, 6, FALSE)</f>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v>
      </c>
      <c r="D1235" s="29" t="str">
        <f>IFERROR(__xludf.DUMMYFUNCTION("GOOGLETRANSLATE(B1235, ""en"", ""pt-br"")"),"Um pouco fraco, mas em todo o bem, valor ao dinheiro!, Não funcionando, produto de Nova York, produto de qualidade média, produto muito bom, acessível")</f>
        <v>Um pouco fraco, mas em todo o bem, valor ao dinheiro!, Não funcionando, produto de Nova York, produto de qualidade média, produto muito bom, acessível</v>
      </c>
      <c r="E1235" s="29" t="str">
        <f>IFERROR(__xludf.DUMMYFUNCTION("GOOGLETRANSLATE(C1235, ""en"", ""pt-br"")"),"É bom, mas também é um pouco fraco no final, às vezes começa por conta própria com baterias sem tocar no botão, eu adoro! Tão bom para o meu café da manhã ... Funciona como o leite espalhado de uma máquina de café de verdade, não funcionando depois de alg"&amp;"uns dias, batedor de café de boa qualidade e muito fácil de usar., Produto de boa qualidade a esse preço, fácil de Disponível no mercado em 150. Qualidade de construção média e muito cara., valor para o dinheiro do dinheiro Este produto é bastante bom e e"&amp;"ficaz Eu amo sua qualidade, mistura bem, a qualidade do produto é boa nesse preço")</f>
        <v>É bom, mas também é um pouco fraco no final, às vezes começa por conta própria com baterias sem tocar no botão, eu adoro! Tão bom para o meu café da manhã ... Funciona como o leite espalhado de uma máquina de café de verdade, não funcionando depois de alguns dias, batedor de café de boa qualidade e muito fácil de usar., Produto de boa qualidade a esse preço, fácil de Disponível no mercado em 150. Qualidade de construção média e muito cara., valor para o dinheiro do dinheiro Este produto é bastante bom e eficaz Eu amo sua qualidade, mistura bem, a qualidade do produto é boa nesse preço</v>
      </c>
    </row>
    <row r="1236">
      <c r="A1236" s="9" t="s">
        <v>5001</v>
      </c>
      <c r="B1236" s="29" t="str">
        <f>VLOOKUP(dados!A1236, reviews!A:G, 5, FALSE)</f>
        <v>Good choice,No noise and all clean air. Very effective and the family noticed an improvement right away,Good product and easy to install,Go for it!!,Happy to use,How can I contact the manufacturer,Good,Excellent product</v>
      </c>
      <c r="C1236" s="29" t="str">
        <f>VLOOKUP(dados!A1236, reviews!A:G, 6, FALSE)</f>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v>
      </c>
      <c r="D1236" s="29" t="str">
        <f>IFERROR(__xludf.DUMMYFUNCTION("GOOGLETRANSLATE(B1236, ""en"", ""pt-br"")"),"Boa escolha, sem ruído e todo o ar limpo. Muito eficaz e a família notou uma melhoria imediatamente, bom produto e fácil de instalar, vá em frente !!, feliz em usar, como posso entrar em contato com o fabricante, bom e excelente produto")</f>
        <v>Boa escolha, sem ruído e todo o ar limpo. Muito eficaz e a família notou uma melhoria imediatamente, bom produto e fácil de instalar, vá em frente !!, feliz em usar, como posso entrar em contato com o fabricante, bom e excelente produto</v>
      </c>
      <c r="E1236" s="29" t="str">
        <f>IFERROR(__xludf.DUMMYFUNCTION("GOOGLETRANSLATE(C1236, ""en"", ""pt-br"")"),"Depois de passar por muitas críticas e verificar várias marcas, decidi se estabelecer com a Philips AC2887/20. Não tenho certeza de quão precisa é o número do PMI que está exibindo, mas podemos sentir uma diferença perceptível depois de usá -lo por mais d"&amp;"e um mês. Limpando os filtros também é fácil. No geral, estou feliz com o produto., Recomendo, tanto que comprei outro. Faz 1 mês e só teve que lavar o primeiro filtro uma vez e funcionar muito bem ... Todo mundo na casa está respirando de maneira agradáv"&amp;"el e clara, monitora exatamente o nível de PM no ar. Quando o instalei na cozinha, o nível da PM subiu assim que o cozimento começou e o purificador mudou automaticamente para uma velocidade mais alta e a derrubou. Durante Karthigy, quando todos estavam q"&amp;"uebrando biscoitos, o nível de PM subiu no purificador, indicando aumento de poluentes do ar, ótimo produto, sem problemas e trabalho com muita eficiência, fácil de instalar, sem ruído. E ar limpo rapidamente., Não recebi uma fatura e não há número de sér"&amp;"ie marcado no produto. Não consigo iniciar qualquer solicitação com o fabricante., Reduz a poluição interna, mas reserve um tempo, bom purificador, quase sem ruído e boa demonstração de impurezas no ar")</f>
        <v>Depois de passar por muitas críticas e verificar várias marcas, decidi se estabelecer com a Philips AC2887/20. Não tenho certeza de quão precisa é o número do PMI que está exibindo, mas podemos sentir uma diferença perceptível depois de usá -lo por mais de um mês. Limpando os filtros também é fácil. No geral, estou feliz com o produto., Recomendo, tanto que comprei outro. Faz 1 mês e só teve que lavar o primeiro filtro uma vez e funcionar muito bem ... Todo mundo na casa está respirando de maneira agradável e clara, monitora exatamente o nível de PM no ar. Quando o instalei na cozinha, o nível da PM subiu assim que o cozimento começou e o purificador mudou automaticamente para uma velocidade mais alta e a derrubou. Durante Karthigy, quando todos estavam quebrando biscoitos, o nível de PM subiu no purificador, indicando aumento de poluentes do ar, ótimo produto, sem problemas e trabalho com muita eficiência, fácil de instalar, sem ruído. E ar limpo rapidamente., Não recebi uma fatura e não há número de série marcado no produto. Não consigo iniciar qualquer solicitação com o fabricante., Reduz a poluição interna, mas reserve um tempo, bom purificador, quase sem ruído e boa demonstração de impurezas no ar</v>
      </c>
    </row>
    <row r="1237">
      <c r="A1237" s="9" t="s">
        <v>5005</v>
      </c>
      <c r="B1237" s="29" t="str">
        <f>VLOOKUP(dados!A1237, reviews!A:G, 5, FALSE)</f>
        <v>I would have given it 5 stars.. but..,Quality product,Good product,Good,Good capacity but looks a bit cheap,Medium size,Affordable,Basket is good, problem is with the lid.</v>
      </c>
      <c r="C1237" s="29" t="str">
        <f>VLOOKUP(dados!A1237, reviews!A:G, 6, FALSE)</f>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v>
      </c>
      <c r="D1237" s="29" t="str">
        <f>IFERROR(__xludf.DUMMYFUNCTION("GOOGLETRANSLATE(B1237, ""en"", ""pt-br"")"),"Eu teria dado 5 estrelas .. mas .., produto de qualidade, bom produto, boa, boa capacidade, mas parece um pouco barato, tamanho médio, acessível, a cesta é boa, o problema é com a tampa.")</f>
        <v>Eu teria dado 5 estrelas .. mas .., produto de qualidade, bom produto, boa, boa capacidade, mas parece um pouco barato, tamanho médio, acessível, a cesta é boa, o problema é com a tampa.</v>
      </c>
      <c r="E1237" s="29" t="str">
        <f>IFERROR(__xludf.DUMMYFUNCTION("GOOGLETRANSLATE(C1237, ""en"", ""pt-br"")"),"Fiquei muito impressionado com a qualidade desta cesta - achei mais resistente que a cesta de lavanderia da marca de violoncelo. Encomendei mais uma cesta em preto, mas infelizmente o acabamento do produto por dentro não era suave. Eu queria armazenar lav"&amp;"anderia lavada no segundo, mas o interior da cesta não tinha um acabamento suave - tinha arranhões e plástico que podiam danificar roupas delicadas. Eu devolvi o segundo. Estou deduzindo uma estrela porque minha segunda experiência de compra não foi boa. "&amp;"Eu poderia comprar o mesmo produto novamente, na esperança de obter um produto da mesma qualidade da minha primeira compra. O acabamento das cestas foi perfeito. Eu perseverei, solicitei e troco e, na quarta tentativa, finalmente consegui uma cesta de boa"&amp;" qualidade para armazenar roupas lavadas. -amazon.com/images/w/webp_402378-t2/images/i/613anwf4jbl._sy88.jpg,Good Capacidade Mas um acabamento ruim e um pouco caro. Qualidade barata também., Bom, mas não qualquer embalagem, faz o trabalho. A capacidade é "&amp;"enorme e você pode armazenar facilmente a lavanderia de 1 semana. O topo é destacável, a tampa da cesta não é tão forte e o ITE sai o tempo todo e eu tenho que consertá -la de novo e de novo.")</f>
        <v>Fiquei muito impressionado com a qualidade desta cesta - achei mais resistente que a cesta de lavanderia da marca de violoncelo. Encomendei mais uma cesta em preto, mas infelizmente o acabamento do produto por dentro não era suave. Eu queria armazenar lavanderia lavada no segundo, mas o interior da cesta não tinha um acabamento suave - tinha arranhões e plástico que podiam danificar roupas delicadas. Eu devolvi o segundo. Estou deduzindo uma estrela porque minha segunda experiência de compra não foi boa. Eu poderia comprar o mesmo produto novamente, na esperança de obter um produto da mesma qualidade da minha primeira compra. O acabamento das cestas foi perfeito. Eu perseverei, solicitei e troco e, na quarta tentativa, finalmente consegui uma cesta de boa qualidade para armazenar roupas lavadas. -amazon.com/images/w/webp_402378-t2/images/i/613anwf4jbl._sy88.jpg,Good Capacidade Mas um acabamento ruim e um pouco caro. Qualidade barata também., Bom, mas não qualquer embalagem, faz o trabalho. A capacidade é enorme e você pode armazenar facilmente a lavanderia de 1 semana. O topo é destacável, a tampa da cesta não é tão forte e o ITE sai o tempo todo e eu tenho que consertá -la de novo e de novo.</v>
      </c>
    </row>
    <row r="1238">
      <c r="A1238" s="9" t="s">
        <v>5009</v>
      </c>
      <c r="B1238" s="29" t="str">
        <f>VLOOKUP(dados!A1238, reviews!A:G, 5, FALSE)</f>
        <v>Not for people who prefer taste over health.,Good product use easy,Not for big families,Good Purchase,Definitely a buy,ONE OF THE BEST BUY EVER....,Cooking awesome...,Sleek and elegant.</v>
      </c>
      <c r="C1238" s="29" t="str">
        <f>VLOOKUP(dados!A1238, reviews!A:G, 6, FALSE)</f>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product👍,ONE OF THE BEST BUY EVER.... AND OF COURSE THE BRAND,Made by air fryer...awsome product.,Quick to use and worth the money.</v>
      </c>
      <c r="D1238" s="29" t="str">
        <f>IFERROR(__xludf.DUMMYFUNCTION("GOOGLETRANSLATE(B1238, ""en"", ""pt-br"")"),"Não é para pessoas que preferem sabor a saúde., Bom produto usa fácil, não para famílias grandes, boa compra, definitivamente uma compra, uma das melhores compras de todos os tempos ...., cozinhando incrível ..., elegante e elegante.")</f>
        <v>Não é para pessoas que preferem sabor a saúde., Bom produto usa fácil, não para famílias grandes, boa compra, definitivamente uma compra, uma das melhores compras de todos os tempos ...., cozinhando incrível ..., elegante e elegante.</v>
      </c>
      <c r="E1238" s="29" t="str">
        <f>IFERROR(__xludf.DUMMYFUNCTION("GOOGLETRANSLATE(C1238, ""en"", ""pt-br"")"),"Você precisa se acostumar com as mudanças nos sabores em comparação com os alimentos fritos. O dispositivo é fácil de usar e limpar., Melhor produto para assado de frango, bom produto, mas a capacidade é suficiente apenas para famílias nucleares. E você p"&amp;"recisará cozinhar/ grelhar 2_3 vezes, não pode fazê -lo de uma só vez. Usar esta experiência AirFyer e geral é boa. Compre apenas quando você for uma dieta saudável específica e o Nonveg seria uma vantagem quanto para veg, pode ser pratos limitados que vo"&amp;"cê pode preparar., Muito bom produto👍, um dos melhores de todos os tempos .... e, claro, a marca, feita por fritadeira de ar ... produtos incríveis., Rápido de usar e vale o dinheiro.")</f>
        <v>Você precisa se acostumar com as mudanças nos sabores em comparação com os alimentos fritos. O dispositivo é fácil de usar e limpar., Melhor produto para assado de frango, bom produto, mas a capacidade é suficiente apenas para famílias nucleares. E você precisará cozinhar/ grelhar 2_3 vezes, não pode fazê -lo de uma só vez. Usar esta experiência AirFyer e geral é boa. Compre apenas quando você for uma dieta saudável específica e o Nonveg seria uma vantagem quanto para veg, pode ser pratos limitados que você pode preparar., Muito bom produto👍, um dos melhores de todos os tempos .... e, claro, a marca, feita por fritadeira de ar ... produtos incríveis., Rápido de usar e vale o dinheiro.</v>
      </c>
    </row>
    <row r="1239">
      <c r="A1239" s="9" t="s">
        <v>5013</v>
      </c>
      <c r="B1239" s="29" t="str">
        <f>VLOOKUP(dados!A1239, reviews!A:G, 5, FALSE)</f>
        <v>Good product and budget price,I purchased this product from shop for Rs 1650 including everything so why to buy from Amazon,Worst product</v>
      </c>
      <c r="C1239" s="29" t="str">
        <f>VLOOKUP(dados!A1239, reviews!A:G, 6, FALSE)</f>
        <v>Like and happy,,Please don't buy this heater, it stopped working in just 2 days.... And not able to return the product also... Waste of money</v>
      </c>
      <c r="D1239" s="29" t="str">
        <f>IFERROR(__xludf.DUMMYFUNCTION("GOOGLETRANSLATE(B1239, ""en"", ""pt-br"")"),"Bom produto e preço do orçamento, comprei este produto da Shop para Rs 1650, incluindo tudo, por que comprar na Amazon, o pior produto")</f>
        <v>Bom produto e preço do orçamento, comprei este produto da Shop para Rs 1650, incluindo tudo, por que comprar na Amazon, o pior produto</v>
      </c>
      <c r="E1239" s="29" t="str">
        <f>IFERROR(__xludf.DUMMYFUNCTION("GOOGLETRANSLATE(C1239, ""en"", ""pt-br"")"),"Como e feliz, por favor, não compre este aquecedor, ele parou de funcionar em apenas 2 dias ... e não capaz de devolver o produto também ... desperdício de dinheiro")</f>
        <v>Como e feliz, por favor, não compre este aquecedor, ele parou de funcionar em apenas 2 dias ... e não capaz de devolver o produto também ... desperdício de dinheiro</v>
      </c>
    </row>
    <row r="1240">
      <c r="A1240" s="9" t="s">
        <v>5017</v>
      </c>
      <c r="B1240" s="29" t="str">
        <f>VLOOKUP(dados!A1240, reviews!A:G, 5, FALSE)</f>
        <v>Takes space and not convenient if in a hurry,Not useful for Cotton, Linen and thick materiel fabrics,Received broken,Only for lighter fabric,There is a learning curve, it may take 2 people to do it,It looks like an imitation product , pieces don’t match properly and some look very weak,Excellent product and received in good condition,Not great</v>
      </c>
      <c r="C1240" s="29" t="str">
        <f>VLOOKUP(dados!A1240, reviews!A:G, 6, FALSE)</f>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😒,Received a broked packedge. With broken item.,I thought it would make my task of ironing easy but it’s useless on cottons and silks . It’s great to use it on chiffon and polyester. Do not buy thinking you won’t need standard ironing anymore..,It is fantastic for marriages, where there are many dresses, net based where you can't use iron. Quick. Good for suits,It looks like an imitation product , pieces don’t match properly and some look very weak,valu Ed for money,It’s not effective and pressing clothes effectively seems to have an issue</v>
      </c>
      <c r="D1240" s="29" t="str">
        <f>IFERROR(__xludf.DUMMYFUNCTION("GOOGLETRANSLATE(B1240, ""en"", ""pt-br"")"),"Ocupa espaço e não é conveniente se, com pressa, não é útil para tecidos de algodão, linho e material grosso, recebido quebrado, apenas para tecido mais claro, há uma curva de aprendizado, pode levar 2 pessoas para fazê -lo, parece um produto de imitação "&amp;", as peças não combinam corretamente e algumas parecem muito fracas e excelentes e recebidas em boas condições, não ótimas")</f>
        <v>Ocupa espaço e não é conveniente se, com pressa, não é útil para tecidos de algodão, linho e material grosso, recebido quebrado, apenas para tecido mais claro, há uma curva de aprendizado, pode levar 2 pessoas para fazê -lo, parece um produto de imitação , as peças não combinam corretamente e algumas parecem muito fracas e excelentes e recebidas em boas condições, não ótimas</v>
      </c>
      <c r="E1240" s="29" t="str">
        <f>IFERROR(__xludf.DUMMYFUNCTION("GOOGLETRANSLATE(C1240, ""en"", ""pt-br"")"),"Ocupa espaço e não é conveniente se tiver pressa. O modelo portátil seria mais adequado e mais útil para uso frequente. Usei este produto uma vez depois de ler o manual. A primeira impressão depois de usá -lo em 3 camisas de algodão sem amido e uma calça "&amp;"é patética. Nenhuma das camisas ficou livre de rugas a todo vapor; portanto, você pode adivinhar o que seria em calças. As rugas estarão lá em pequena quantidade e uma leve sensação úmida quando o vapor esfriar, mas será rápido. calças ricas em nylon. Cas"&amp;"o contrário, nem pense em comprá -lo. No meu caso, uso algodão e calças brancas principalmente no cargo, pois sou advogado. Por isso, para mim, é totalmente inútil. Sem fêmeas em casa e, portanto, é outro produto que agarra meu espaço em casa. Conforting "&amp;"conforting enquanto o usa, eu diria que estou totalmente decepcionado, pois a prancha por trás dela não é muito útil ao usar a camisa G por causa de seu tamanho que não é tão longo. Os dois últimos botões para baixo sempre serão difíceis de pressioná -lo "&amp;"para embarcar e temos que pegar o cabide por um lado e, portanto, outra parte difícil, pois o material de nylon precisa de outras mãos para segurá -lo firme. Em segundo lugar, as mangas compridas são totalmente difíceis de fazê -lo, embora o vapor seja ap"&amp;"licado, as rugas não vão facilmente acrescentar que não estamos pressionando para embarcar e ele sempre vai aqui e ali. O suporte superior tem uma forma de cabide, mas os clipes presos tão inúteis quanto a placa vem no meio. Para as calças, o próprio prod"&amp;"uto não funcionará bem. Portanto, se usarmos o cabide que ele vem, você precisa adiar o interruptor, coloque a alça no slot, retire a camisa e só podemos usar o verso para o vapor depois de esperar novamente para acender o vapor etc. Caso contrário contin"&amp;"uará saindo dele. De maneira alguma, o produto é mais útil que aqueles semelhantes sem uma placa premente. A próxima coisa negativa é, diz Manual, para uma melhor duradoura do produto e para evitar a descalcificação, a água após o uso deve ser drenado e l"&amp;"impo. Por isso, significa que você não pode usá -lo diariamente de manhã com pressa enquanto estiver no cargo. Isso precisa de pouco tempo. Ao mesmo tempo, você não pode pressionar todo o vestido em um trecho e não pode dobrá -lo como fazemos com a caixa "&amp;"de ferro. Não vai funcionar assim. Portanto, se você tem um armário grande e grande com cabides como nas mansões, pode tentar isso. PackEdge. Com o item quebrado., Pensei que isso facilitaria minha tarefa de passar a passar fáceis, mas é inútil em algodão"&amp;" e sedas. É ótimo usá -lo em chiffon e poliéster. Não compre pensando que você não precisará mais de ferro padrão. É fantástico para casamentos, onde há muitos vestidos, baseados na rede, onde você não pode usar ferro. Rápido. Bom para ternos, parece um p"&amp;"roduto de imitação, as peças não correspondem corretamente e algumas parecem muito fracas, valorizadas por dinheiro, não é eficaz e pressionar roupas efetivamente parece ter um problema")</f>
        <v>Ocupa espaço e não é conveniente se tiver pressa. O modelo portátil seria mais adequado e mais útil para uso frequente. Usei este produto uma vez depois de ler o manual. A primeira impressão depois de usá -lo em 3 camisas de algodão sem amido e uma calça é patética. Nenhuma das camisas ficou livre de rugas a todo vapor; portanto, você pode adivinhar o que seria em calças. As rugas estarão lá em pequena quantidade e uma leve sensação úmida quando o vapor esfriar, mas será rápido. calças ricas em nylon. Caso contrário, nem pense em comprá -lo. No meu caso, uso algodão e calças brancas principalmente no cargo, pois sou advogado. Por isso, para mim, é totalmente inútil. Sem fêmeas em casa e, portanto, é outro produto que agarra meu espaço em casa. Conforting conforting enquanto o usa, eu diria que estou totalmente decepcionado, pois a prancha por trás dela não é muito útil ao usar a camisa G por causa de seu tamanho que não é tão longo. Os dois últimos botões para baixo sempre serão difíceis de pressioná -lo para embarcar e temos que pegar o cabide por um lado e, portanto, outra parte difícil, pois o material de nylon precisa de outras mãos para segurá -lo firme. Em segundo lugar, as mangas compridas são totalmente difíceis de fazê -lo, embora o vapor seja aplicado, as rugas não vão facilmente acrescentar que não estamos pressionando para embarcar e ele sempre vai aqui e ali. O suporte superior tem uma forma de cabide, mas os clipes presos tão inúteis quanto a placa vem no meio. Para as calças, o próprio produto não funcionará bem. Portanto, se usarmos o cabide que ele vem, você precisa adiar o interruptor, coloque a alça no slot, retire a camisa e só podemos usar o verso para o vapor depois de esperar novamente para acender o vapor etc. Caso contrário continuará saindo dele. De maneira alguma, o produto é mais útil que aqueles semelhantes sem uma placa premente. A próxima coisa negativa é, diz Manual, para uma melhor duradoura do produto e para evitar a descalcificação, a água após o uso deve ser drenado e limpo. Por isso, significa que você não pode usá -lo diariamente de manhã com pressa enquanto estiver no cargo. Isso precisa de pouco tempo. Ao mesmo tempo, você não pode pressionar todo o vestido em um trecho e não pode dobrá -lo como fazemos com a caixa de ferro. Não vai funcionar assim. Portanto, se você tem um armário grande e grande com cabides como nas mansões, pode tentar isso. PackEdge. Com o item quebrado., Pensei que isso facilitaria minha tarefa de passar a passar fáceis, mas é inútil em algodão e sedas. É ótimo usá -lo em chiffon e poliéster. Não compre pensando que você não precisará mais de ferro padrão. É fantástico para casamentos, onde há muitos vestidos, baseados na rede, onde você não pode usar ferro. Rápido. Bom para ternos, parece um produto de imitação, as peças não correspondem corretamente e algumas parecem muito fracas, valorizadas por dinheiro, não é eficaz e pressionar roupas efetivamente parece ter um problema</v>
      </c>
    </row>
    <row r="1241">
      <c r="A1241" s="9" t="s">
        <v>5021</v>
      </c>
      <c r="B1241" s="29" t="str">
        <f>VLOOKUP(dados!A1241, reviews!A:G, 5, FALSE)</f>
        <v>Very easy to chop veggies in a very short time,Super clean chopper,Nice product,Mom lives it!,“ LOSING A BATTLE”. Because of  a shoe nail.,Very good chopper,Wow what a beautiful product for cutting onions n other veggies . Why did i delay for so long,I like it</v>
      </c>
      <c r="C1241" s="29" t="str">
        <f>VLOOKUP(dados!A1241, reviews!A:G, 6, FALSE)</f>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‘C’ class item and the poor quality reflects very poorly on the quality control system of the manufacturer.,Easy to use and super easy to clean,Just absolutely very good go for it,Best part easy to use.. chopped every vegetable very smoothly..</v>
      </c>
      <c r="D1241" s="29" t="str">
        <f>IFERROR(__xludf.DUMMYFUNCTION("GOOGLETRANSLATE(B1241, ""en"", ""pt-br"")"),"Muito fácil de cortar vegetais em um tempo muito curto, um helicóptero super limpo, bom produto, mamãe vive!, “Perdendo uma batalha”. Por causa de uma unha de sapato., Muito bom helicador, uau, que produto bonito para cortar cebolas e outros vegetais. Por"&amp;" que eu atrasei por tanto tempo, eu gosto")</f>
        <v>Muito fácil de cortar vegetais em um tempo muito curto, um helicóptero super limpo, bom produto, mamãe vive!, “Perdendo uma batalha”. Por causa de uma unha de sapato., Muito bom helicador, uau, que produto bonito para cortar cebolas e outros vegetais. Por que eu atrasei por tanto tempo, eu gosto</v>
      </c>
      <c r="E1241" s="29" t="str">
        <f>IFERROR(__xludf.DUMMYFUNCTION("GOOGLETRANSLATE(C1241, ""en"", ""pt-br"")"),"Muito ISEDUL para cortar vegetais em um tempo muito curto. Os idosos da família o usam com muita facilidade para ajudar a cozinhar. Muito tempo economizando um, bom e resistente, muito boa qualidade ... obteve o mesmo produto mencionado ... muito feliz co"&amp;"m os resultados que estou obtendo. Produto de qualidade. Devo seguir em frente ..., eu o presenteei para a mãe, e ela vive. Ela só reclama de limpeza. Mas mais o ponto é que ele tem uma lâmina nítida agradável., O plugue fornecido com a máquina para conex"&amp;"ão de energia é de baixa qualidade. Está solto quando conectado a um soquete elétrico. Uma qualidade deve ser melhorada. Como é, não está de acordo com o ISI ou os padrões internacionais. Este é um item de aula 'C' e a baixa qualidade reflete muito mal no"&amp;" sistema de controle de qualidade do fabricante., Fácil de usar e super fácil de limpar, absolutamente muito bom vá em frente, melhor parte fácil de usar .. picado cada vegetal muito bem ..")</f>
        <v>Muito ISEDUL para cortar vegetais em um tempo muito curto. Os idosos da família o usam com muita facilidade para ajudar a cozinhar. Muito tempo economizando um, bom e resistente, muito boa qualidade ... obteve o mesmo produto mencionado ... muito feliz com os resultados que estou obtendo. Produto de qualidade. Devo seguir em frente ..., eu o presenteei para a mãe, e ela vive. Ela só reclama de limpeza. Mas mais o ponto é que ele tem uma lâmina nítida agradável., O plugue fornecido com a máquina para conexão de energia é de baixa qualidade. Está solto quando conectado a um soquete elétrico. Uma qualidade deve ser melhorada. Como é, não está de acordo com o ISI ou os padrões internacionais. Este é um item de aula 'C' e a baixa qualidade reflete muito mal no sistema de controle de qualidade do fabricante., Fácil de usar e super fácil de limpar, absolutamente muito bom vá em frente, melhor parte fácil de usar .. picado cada vegetal muito bem ..</v>
      </c>
    </row>
    <row r="1242">
      <c r="A1242" s="9" t="s">
        <v>5025</v>
      </c>
      <c r="B1242" s="29" t="str">
        <f>VLOOKUP(dados!A1242, reviews!A:G, 5, FALSE)</f>
        <v>Handy and consumes so less space unlike other mixer grinder,THIRD CLASS PRODUCT,Not satisfactory,It is a wonderful  product,Super,n,Handy,One jar not working</v>
      </c>
      <c r="C1242" s="29" t="str">
        <f>VLOOKUP(dados!A1242, reviews!A:G, 6, FALSE)</f>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.,👌,there is no switch ,Its very difficult to use without switch in the mixi,Easy to use, easy to clean, space saver, handy,I used this product for making puree.Totally waste of purchase.One jar not working.</v>
      </c>
      <c r="D1242" s="29" t="str">
        <f>IFERROR(__xludf.DUMMYFUNCTION("GOOGLETRANSLATE(B1242, ""en"", ""pt-br"")"),"Handy e consome muito menos espaço diferente de outro moedor de misturador, produto de terceira classe, não satisfatório, é um produto maravilhoso, super, n, prático, um jar não funcionando")</f>
        <v>Handy e consome muito menos espaço diferente de outro moedor de misturador, produto de terceira classe, não satisfatório, é um produto maravilhoso, super, n, prático, um jar não funcionando</v>
      </c>
      <c r="E1242" s="29" t="str">
        <f>IFERROR(__xludf.DUMMYFUNCTION("GOOGLETRANSLATE(C1242, ""en"", ""pt-br"")"),"Smoothies e moagem a seco. Consuma menos espaço., A maioria dos produtos de terceira classe. O motor não pode levar carga e toda vez que a fumaça saia ... o serviço é muito ruim .. não vou comprar este produto ... depois de 10 meses de feedback, recebi O "&amp;"produto e a lâmina do rotor, juntamente com a arruela, saíram da jarra de moedor na própria demonstração. Trocou o produto e recebeu uma peça que tinha arranhões (a tampa da jarra grande, o corpo do grande frasco), a tampa do liquidificador não parece ser"&amp;" à prova de vazamentos ... por causa da minha primeira experiência com o produto WonderChef , eu definitivamente tinha grandes expectativas sobre a qualidade e diria que isso não atendeu às minhas expectativas. Eu o comprei para Dheras e a troca e todos a"&amp;"trasei o plano, também foi muito decepcionante para mim. Agora estou ansioso para usar o trocado, já me afastaram., É muito fácil de limpar., 👌, Não há interruptor, é muito difícil de usar sem interruptor no mixi, fácil de usar, Fácil de limpar, protetor"&amp;" espacial, útil, usei este produto para fazer purê.")</f>
        <v>Smoothies e moagem a seco. Consuma menos espaço., A maioria dos produtos de terceira classe. O motor não pode levar carga e toda vez que a fumaça saia ... o serviço é muito ruim .. não vou comprar este produto ... depois de 10 meses de feedback, recebi O produto e a lâmina do rotor, juntamente com a arruela, saíram da jarra de moedor na própria demonstração. Trocou o produto e recebeu uma peça que tinha arranhões (a tampa da jarra grande, o corpo do grande frasco), a tampa do liquidificador não parece ser à prova de vazamentos ... por causa da minha primeira experiência com o produto WonderChef , eu definitivamente tinha grandes expectativas sobre a qualidade e diria que isso não atendeu às minhas expectativas. Eu o comprei para Dheras e a troca e todos atrasei o plano, também foi muito decepcionante para mim. Agora estou ansioso para usar o trocado, já me afastaram., É muito fácil de limpar., 👌, Não há interruptor, é muito difícil de usar sem interruptor no mixi, fácil de usar, Fácil de limpar, protetor espacial, útil, usei este produto para fazer purê.</v>
      </c>
    </row>
    <row r="1243">
      <c r="A1243" s="9" t="s">
        <v>5029</v>
      </c>
      <c r="B1243" s="29" t="str">
        <f>VLOOKUP(dados!A1243, reviews!A:G, 5, FALSE)</f>
        <v>Good machine,Machine is very easy to use after watching the tutorial video,Good product but.....,Costly product only,Superb quality and handling,Usha janom super sewing machine,Worth to buy this,Didn't get warranty card and fabric is not moving</v>
      </c>
      <c r="C1243" s="29" t="str">
        <f>VLOOKUP(dados!A1243, reviews!A:G, 6, FALSE)</f>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v>
      </c>
      <c r="D1243" s="29" t="str">
        <f>IFERROR(__xludf.DUMMYFUNCTION("GOOGLETRANSLATE(B1243, ""en"", ""pt-br"")"),"Boa máquina, Machine é muito fácil de usar depois de assistir ao vídeo do tutorial, bom produto, mas ....., apenas produtos caros, excelente qualidade e manuseio, Usha Janom Super Sewing Machine, vale a pena comprar isso, não obteve cartão de garantia e o"&amp;" tecido não está se movendo")</f>
        <v>Boa máquina, Machine é muito fácil de usar depois de assistir ao vídeo do tutorial, bom produto, mas ....., apenas produtos caros, excelente qualidade e manuseio, Usha Janom Super Sewing Machine, vale a pena comprar isso, não obteve cartão de garantia e o tecido não está se movendo</v>
      </c>
      <c r="E1243" s="29" t="str">
        <f>IFERROR(__xludf.DUMMYFUNCTION("GOOGLETRANSLATE(C1243, ""en"", ""pt-br"")"),"O produto é muito pequeno .. fácil de aprender e leve ... funcionando bem ... a única coisa triste é que nenhum cartão de garantia é dado .. a cobertura da máquina também para a máquina é boa .. o kit grátis também é bom .., a máquina é Excelente para ini"&amp;"ciantes. No entanto, o pacote estava faltando o kit de costura. Muitas pessoas se queixaram de uma caixa quebrada, mas para mim toda a caixa de costura está faltando., Pouco difícil tirar o tópico da bobina da máquina, Saree Pheeko é tarefa, no máximo vez"&amp;"es o saree fica preso na área da bobina, usada para costura básica , a empresa não forneceu nenhuma demonstração à porta, pois não é útil para poucos pincodes. Precisa aprender apenas no YouTube. Ok ok produto, precisa de muita paciência inicialmente para"&amp;" iniciantes, apenas para a marca que gastamos tanto. É melhor comprar um barato se você é raramente um produto e iniciante, produtos incríveis. Costura precisa e muito útil. Adorei., É muito útil para todos., Qualidade boa, não recebeu cartão de garantia "&amp;"e o tecido não está se movendo")</f>
        <v>O produto é muito pequeno .. fácil de aprender e leve ... funcionando bem ... a única coisa triste é que nenhum cartão de garantia é dado .. a cobertura da máquina também para a máquina é boa .. o kit grátis também é bom .., a máquina é Excelente para iniciantes. No entanto, o pacote estava faltando o kit de costura. Muitas pessoas se queixaram de uma caixa quebrada, mas para mim toda a caixa de costura está faltando., Pouco difícil tirar o tópico da bobina da máquina, Saree Pheeko é tarefa, no máximo vezes o saree fica preso na área da bobina, usada para costura básica , a empresa não forneceu nenhuma demonstração à porta, pois não é útil para poucos pincodes. Precisa aprender apenas no YouTube. Ok ok produto, precisa de muita paciência inicialmente para iniciantes, apenas para a marca que gastamos tanto. É melhor comprar um barato se você é raramente um produto e iniciante, produtos incríveis. Costura precisa e muito útil. Adorei., É muito útil para todos., Qualidade boa, não recebeu cartão de garantia e o tecido não está se movendo</v>
      </c>
    </row>
    <row r="1244">
      <c r="A1244" s="9" t="s">
        <v>5033</v>
      </c>
      <c r="B1244" s="29" t="str">
        <f>VLOOKUP(dados!A1244, reviews!A:G, 5, FALSE)</f>
        <v>Good product but not very useful.,Just OK,Good,Good for crepe fabric dresses &amp; delicate clothing items,Here iam sharing my usage experience this garment steamer very handy to use I used it for 25 day's,Nice product,Awsome,Highly Recommended</v>
      </c>
      <c r="C1244" s="29" t="str">
        <f>VLOOKUP(dados!A1244, reviews!A:G, 6, FALSE)</f>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v>
      </c>
      <c r="D1244" s="29" t="str">
        <f>IFERROR(__xludf.DUMMYFUNCTION("GOOGLETRANSLATE(B1244, ""en"", ""pt-br"")"),"Bom produto, mas não muito útil., OK, bom, bom para vestidos de tecido crepe e itens de roupas delicadas, aqui estou compartilhando minha experiência de uso este vaporizador de roupas muito útil para usar Eu usei por 25 dias, bom produto, bom, incrível, a"&amp;"ltamente recomendado")</f>
        <v>Bom produto, mas não muito útil., OK, bom, bom para vestidos de tecido crepe e itens de roupas delicadas, aqui estou compartilhando minha experiência de uso este vaporizador de roupas muito útil para usar Eu usei por 25 dias, bom produto, bom, incrível, altamente recomendado</v>
      </c>
      <c r="E1244" s="29" t="str">
        <f>IFERROR(__xludf.DUMMYFUNCTION("GOOGLETRANSLATE(C1244, ""en"", ""pt-br"")"),"Produto de qualidade, mas não é muito útil no que diz respeito a ferro. aqui. O produto é usado duas vezes, portanto, informações limitadas no momento, o produto está bem. Não é um substituto para o ferro e não pode ser considerado assim. Sim, o vapor é u"&amp;"m pouco melhor que a Philips, pois o usuário também usou a Philips, mas como comparado, deveria ter sido competitivo no preço. Use então não é bom para formais ou camisas casuais nem tão boas para as calças. O enchimento de água deveria ter sido uma forma"&amp;" redonda sendo uma forma cônica, não dá idéia sobre qual nível a água foi preenchida. 2 a 3 roupas de cada vez. Além disso, depois de 2 a 3 roupas, a mão sente dor. Portanto, você não pode cozinhar mais roupas. Além disso, você precisa de algum tipo de ap"&amp;"oio nas costas - apenas pendurar no cabide não é suficiente. O fabricante deveria ter dado um pouco sobre isso e poderia ter adicionado um acessório livre de custo ou com cobrança adicional. O produto, mas a única desvantagem que encontrei é: a) de acordo"&amp;" com o tanque de capacidade da água, em apenas 5 minutos de uso que você precisa reabastecer. Então, dessa maneira para cada pano, você precisa reabastecer o tanque.B) é bastante pesado. Então, eu não recomendo isso para uso longo. Se você deseja vapor de"&amp;" 1-2 roupas, está bem. Além disso, o pano não deve ser pendurado acima da sua altura. Outros sábios, será doloroso para você segurar esse vapor pesado acima, causando mais dor. Minha ponta é que coloque o vapor em uma mesa e depois de pressionar o botão d"&amp;"e vapor quando o vapor fica Saindo, você pode segurar suas roupas e se mover rapidamente na frente do vapor (a 5 cm de distância) para que você se salve da dor de segurá -la. Pls também use um cabide de plástico e nunca vaporize sobre uma superfície de me"&amp;"tal :), https: //m.media-amazon.com/images/i/81cp+l1+vil._sy88.jpg é um bom produto, mas apenas razão Eu dei 4 estrelas é que ela se torna muito pesada quando é mantida com água preenchida na garrafa., São apenas 2 dias que usamos este produto. No entanto"&amp;", é incrível e realmente um ótimo trabalhador quando se trata de passar. É fácil e muito rápido., Se você deseja comprar um vapor, vá em frente. Pesará cerca de 850 GM sem água de 250 ml, então a única preocupação é o peso e quanto tempo você pode segurá "&amp;"-lo na mão durante o processo de vapor. Caso contrário, em termos de desempenho, essa é de longe a melhor máquina disponível. A qualidade e o acabamento do produto também são muito bons. Certamente recomendado.")</f>
        <v>Produto de qualidade, mas não é muito útil no que diz respeito a ferro. aqui. O produto é usado duas vezes, portanto, informações limitadas no momento, o produto está bem. Não é um substituto para o ferro e não pode ser considerado assim. Sim, o vapor é um pouco melhor que a Philips, pois o usuário também usou a Philips, mas como comparado, deveria ter sido competitivo no preço. Use então não é bom para formais ou camisas casuais nem tão boas para as calças. O enchimento de água deveria ter sido uma forma redonda sendo uma forma cônica, não dá idéia sobre qual nível a água foi preenchida. 2 a 3 roupas de cada vez. Além disso, depois de 2 a 3 roupas, a mão sente dor. Portanto, você não pode cozinhar mais roupas. Além disso, você precisa de algum tipo de apoio nas costas - apenas pendurar no cabide não é suficiente. O fabricante deveria ter dado um pouco sobre isso e poderia ter adicionado um acessório livre de custo ou com cobrança adicional. O produto, mas a única desvantagem que encontrei é: a) de acordo com o tanque de capacidade da água, em apenas 5 minutos de uso que você precisa reabastecer. Então, dessa maneira para cada pano, você precisa reabastecer o tanque.B) é bastante pesado. Então, eu não recomendo isso para uso longo. Se você deseja vapor de 1-2 roupas, está bem. Além disso, o pano não deve ser pendurado acima da sua altura. Outros sábios, será doloroso para você segurar esse vapor pesado acima, causando mais dor. Minha ponta é que coloque o vapor em uma mesa e depois de pressionar o botão de vapor quando o vapor fica Saindo, você pode segurar suas roupas e se mover rapidamente na frente do vapor (a 5 cm de distância) para que você se salve da dor de segurá -la. Pls também use um cabide de plástico e nunca vaporize sobre uma superfície de metal :), https: //m.media-amazon.com/images/i/81cp+l1+vil._sy88.jpg é um bom produto, mas apenas razão Eu dei 4 estrelas é que ela se torna muito pesada quando é mantida com água preenchida na garrafa., São apenas 2 dias que usamos este produto. No entanto, é incrível e realmente um ótimo trabalhador quando se trata de passar. É fácil e muito rápido., Se você deseja comprar um vapor, vá em frente. Pesará cerca de 850 GM sem água de 250 ml, então a única preocupação é o peso e quanto tempo você pode segurá -lo na mão durante o processo de vapor. Caso contrário, em termos de desempenho, essa é de longe a melhor máquina disponível. A qualidade e o acabamento do produto também são muito bons. Certamente recomendado.</v>
      </c>
    </row>
    <row r="1245">
      <c r="A1245" s="9" t="s">
        <v>5037</v>
      </c>
      <c r="B1245" s="29" t="str">
        <f>VLOOKUP(dados!A1245, reviews!A:G, 5, FALSE)</f>
        <v>Nice product i recommend to buy,Do not buy!! Defective product,Wast of money,Very very bad portable,Waste of money its not working properly</v>
      </c>
      <c r="C1245" s="29" t="str">
        <f>VLOOKUP(dados!A1245, reviews!A:G, 6, FALSE)</f>
        <v>I liked that it is so convenient to carry,Waste of money. Defective product, cheap quality. doesn’t blend at all,https://m.media-amazon.com/images/I/71IVsjyZ13L._SY88.jpg,First charge problemSecond motor proble,https://m.media-amazon.com/images/I/61aXXxIxPwL._SY88.jpg</v>
      </c>
      <c r="D1245" s="29" t="str">
        <f>IFERROR(__xludf.DUMMYFUNCTION("GOOGLETRANSLATE(B1245, ""en"", ""pt-br"")"),"Bom produto que eu recomendo comprar, não compre !! Produto defeituoso, desperdício de dinheiro, muito muito ruim, desperdício de dinheiro não está funcionando corretamente")</f>
        <v>Bom produto que eu recomendo comprar, não compre !! Produto defeituoso, desperdício de dinheiro, muito muito ruim, desperdício de dinheiro não está funcionando corretamente</v>
      </c>
      <c r="E1245" s="29" t="str">
        <f>IFERROR(__xludf.DUMMYFUNCTION("GOOGLETRANSLATE(C1245, ""en"", ""pt-br"")"),"Eu gostei de ser tão conveniente carregar, desperdício de dinheiro. Produto defeituoso, qualidade barata. Não se mistura, https: //m.media-amazon.com/images/i/71ivsjyz13l._sy88.jpg,first Charge ProblemEcond Motor Proble, https: //m.media-amazon.com/images"&amp;"/i /61axxxixpwl._sy88.jpg")</f>
        <v>Eu gostei de ser tão conveniente carregar, desperdício de dinheiro. Produto defeituoso, qualidade barata. Não se mistura, https: //m.media-amazon.com/images/i/71ivsjyz13l._sy88.jpg,first Charge ProblemEcond Motor Proble, https: //m.media-amazon.com/images/i /61axxxixpwl._sy88.jpg</v>
      </c>
    </row>
    <row r="1246">
      <c r="A1246" s="9" t="s">
        <v>5041</v>
      </c>
      <c r="B1246" s="29" t="str">
        <f>VLOOKUP(dados!A1246, reviews!A:G, 5, FALSE)</f>
        <v>Need be careful,Excellent Product,Awesome Juicer with few issues,Best juicer ever , very strong and hard motor ,,Best mixer in India,Bang for the buck,Good product easy to use.,Best Juicer</v>
      </c>
      <c r="C1246" s="29" t="str">
        <f>VLOOKUP(dados!A1246, reviews!A:G, 6, FALSE)</f>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v>
      </c>
      <c r="D1246" s="29" t="str">
        <f>IFERROR(__xludf.DUMMYFUNCTION("GOOGLETRANSLATE(B1246, ""en"", ""pt-br"")"),"Precisa ter cuidado e excelente produto, espremedor incrível com poucos problemas, melhor espremedor de todos")</f>
        <v>Precisa ter cuidado e excelente produto, espremedor incrível com poucos problemas, melhor espremedor de todos</v>
      </c>
      <c r="E1246" s="29" t="str">
        <f>IFERROR(__xludf.DUMMYFUNCTION("GOOGLETRANSLATE(C1246, ""en"", ""pt-br"")"),"Desvantagens:- Um frasco transparente não se sente firmemente. Mesmo depois de substituir o primeiro misturador. A segunda substituição veio exatamente o mesmo. Não parece afetar o trabalho. Faz os smoothies ótimos! Eu seguro a tigela com a mão, mas sem u"&amp;"ma mão ela continua bem.- Havia arranhões no vidro de metal. Mas depois de substituir, chegou um produto sem danos. O vidro de metal fica com força. O kit tem tudo. O suco ainda não foi feito. Adicionarei uma revisão mais tarde., Excelente produto ... Máq"&amp;"uina de espremedor muito boa para todas as frutas e legumes. Durante o uso, parte de resíduos de frutas está saindo ...., melhor espremedor para cenoura, raiz de beterraba e outros vegetais e frutas, melhor motor, não se compare com outras marcas, este é "&amp;"o melhor produto feito na Índia, apenas Vá em frente, o motor de 900 watts realmente poderoso ... muito bom para a extração de Jucie., Um produto muito bom, é melhor que qualquer espremedor e é de vários objetivos. Aquele com todos os três anexos é recome"&amp;"ndado, pois atenderá a mais funções da cozinha., Melhor empresa ou produto, muito parecido")</f>
        <v>Desvantagens:- Um frasco transparente não se sente firmemente. Mesmo depois de substituir o primeiro misturador. A segunda substituição veio exatamente o mesmo. Não parece afetar o trabalho. Faz os smoothies ótimos! Eu seguro a tigela com a mão, mas sem uma mão ela continua bem.- Havia arranhões no vidro de metal. Mas depois de substituir, chegou um produto sem danos. O vidro de metal fica com força. O kit tem tudo. O suco ainda não foi feito. Adicionarei uma revisão mais tarde., Excelente produto ... Máquina de espremedor muito boa para todas as frutas e legumes. Durante o uso, parte de resíduos de frutas está saindo ...., melhor espremedor para cenoura, raiz de beterraba e outros vegetais e frutas, melhor motor, não se compare com outras marcas, este é o melhor produto feito na Índia, apenas Vá em frente, o motor de 900 watts realmente poderoso ... muito bom para a extração de Jucie., Um produto muito bom, é melhor que qualquer espremedor e é de vários objetivos. Aquele com todos os três anexos é recomendado, pois atenderá a mais funções da cozinha., Melhor empresa ou produto, muito parecido</v>
      </c>
    </row>
    <row r="1247">
      <c r="A1247" s="9" t="s">
        <v>5045</v>
      </c>
      <c r="B1247" s="29" t="str">
        <f>VLOOKUP(dados!A1247, reviews!A:G, 5, FALSE)</f>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v>
      </c>
      <c r="C1247" s="29" t="str">
        <f>VLOOKUP(dados!A1247, reviews!A:G, 6, FALSE)</f>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don’t like internal plastic body though I believe it’s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v>
      </c>
      <c r="D1247" s="29" t="str">
        <f>IFERROR(__xludf.DUMMYFUNCTION("GOOGLETRANSLATE(B1247, ""en"", ""pt-br"")"),"Produto de valor para dinheiro com o pior serviço pós -venda da Eureka Forbes!, Gosto de água e nível de TDS e idade do filtro, bom produto, mas não um bom serviço após a instalação, excelente produto por seu preço, bom produto | Eureka Forbes levou tempo"&amp;" para a instalação, o desperdício de água é de ~ 220%., Ótimo produto deste purificador ro e produto incrível")</f>
        <v>Produto de valor para dinheiro com o pior serviço pós -venda da Eureka Forbes!, Gosto de água e nível de TDS e idade do filtro, bom produto, mas não um bom serviço após a instalação, excelente produto por seu preço, bom produto | Eureka Forbes levou tempo para a instalação, o desperdício de água é de ~ 220%., Ótimo produto deste purificador ro e produto incrível</v>
      </c>
      <c r="E1247" s="29" t="str">
        <f>IFERROR(__xludf.DUMMYFUNCTION("GOOGLETRANSLATE(C1247, ""en"", ""pt-br"")"),"Preço de compra de revisão de produtos e serviços 8999 Durante a venda do dia do primo com 10% de desconto do cartão de débito HDFC.Product Review! Classificação 4/5 Este é um novo modelo lançado durante o Prime Day a partir da Eureka Forbes Aquaguard Lin"&amp;"ha de produtos denominada Aquasure Delight. O produto é Agradável de olhar e vem com uma capacidade de 7,5L no papel, mas mantém apenas 7 litros de água, equipados com osmose reversa, lâmpada de radiação ultravioleta e ajuste manual para sólidos dissolvid"&amp;"os totais (pode ser ajustado manualmente apenas pelo engenheiro de serviço!), O 7 O tanque de litro preenche a cerca de 30 minutos, mas o desperdício de água é muito alto para cada 1 litro de água purificado, há uma drenagem de 1-1,5 litros do tubo de dre"&amp;"nagem (colete a água e reutilize-o para lavar utensílios ou banho, barbear ou regar plantas . A água drenada é a mesma que a água do tanque apenas com TDs mais altos). O sabor da água varia de acordo com o nível de TDS que você escolher, TDs muito baixo d"&amp;"ará um bom gosto à água, mas com uma perda do conteúdo mineral da água que não recomendarei. O TDS padrão após a purificação é definido entre 80-100 (a água potável deve ter TDS abaixo de 300) Revisão do fabricante 2/51) O fabricante deste produto é Eurek"&amp;"a Forbes, estou dando uma taxa de 2/5 porque o produto que é agora Instalado em minha casa é um produto substituído porque o primeiro produto que recebi foi defeituoso. O tubo de drenagem não parava de drenar a água, mesmo quando o tanque estava cheio, pe"&amp;"di ao técnico para verificar e ele disse que a válvula está com defeito, então recebi um produto com defeito fora da caixa! Eu pedi um substituto na Amazon que eles processaram e recebi outro em que as luzes LED foram deslocadas, não sei que aconteceu dur"&amp;"ante o transporte ou é algum defeito de fabricação, ficaria decepcionado pela segunda vez, mas observei e relatou ao técnico que substituiu as luzes LED para sua posição original, para que os indicadores de LED fossem visíveis lá fora. A válvula do produt"&amp;"o substituída está funcional e agora está operando sem qualquer aborrecimento! Service Review0/5Don Não espere ter uma experiência de instalação muito confortável, será uma mágoa. Os motivos são 1. O povo Eureka Forbes empregou como técnicos são ladrões, "&amp;"estou dizendo isso porque o Aquasure Delight vem com válvula de desviador integrada, essa é uma estrutura de aço inoxidável que é montada na saída de água proveniente da parede para que possa atuar como conversor para ser unido Para a entrada da Aquaguard"&amp;"! Como eu não havia aberto o pacote quando chegou! (Como algumas ou muitas das empresas anulam a garantia de você abrir a caixa que contém o produto, principalmente itens elétricos que precisam de instalação como as máquinas de lavar TV) tomando a precauç"&amp;"ão Eu não abri a caixa, então não sabia que o desviador está incluído em o pacote! O técnico depois de encaixar o desviador cobrou Rs 200 dizendo que se encaixou que de seu lado e o desviador não está incluído no pacote. Cheguei a saber disso quando abri "&amp;"o pacote do produto substituído e encontrei o desviador incluído e o confrontei, mas ele defendeu dizendo que alguns purificadores têm desviador neles e alguns não. Eu ainda tenho que confirmar isso com Eureka Forbes! 2) O pré -filtro não vem incluído no "&amp;"pacote, para que os técnicos o vendam a você a preços mais altos, meu técnico vendeu para mim em Rs 950, disponível na Amazon na RS 750, mas se o havia pedido da Amazon, tenho que instalá -lo sozinho. Eu não tenho uma broca, etc., então tive que pagar a e"&amp;"le 950 Rs, então a perda de Rs 400 no técnico. Minha opinião sobre isso é que Eureka Forbes deve vender Purifiera de água com pré -filtro, embora aumente o custo do produto em Rs 700 a Rs 800platform Review! de 2/5 porque recebi um produto defeituoso na p"&amp;"rimeira vez e a Amazon se recusou a substituí -lo porque a solicitação de instalação não foi aumentada pela Amazon (a Amazon nunca aumenta uma solicitação de instalação, diferentemente do Flipkart, o que aumenta uma solicitação de instalação do seu lado, "&amp;"o que realmente torna sua vida Fácil, pois, se você receber um produto defeituoso, que você percebe após a instalação, o Flipkart consulta diretamente com o técnico e poderá até reenviar para verificar a autenticidade do problema) para a instalação, você "&amp;"deve chamar o número gratuito da Eureka Forbes e aumentar uma instalação Solicitação, então o representante da Amazon estava exigindo um relatório de instalação, uma prova de vídeo ou foto do problema, agora como eu poderia fazer esse ladrão de um técnico"&amp;" para escrever um relatório de instalação e sobre tirar uma foto ou vídeo, recebi o purificador de água desinstalado assim que Como achei defeituoso colocá -lo para substituir, mas não sabia que a solicitação de substituição tem esses muitos aborrecimento"&amp;"s, pois foi a primeira vez que substituí um produto eletrônico! Resumo1) O produto é bom para o preço mencionado! 2) Aquasure vem com "" Válvula de desviador integrada ""Um dispositivo de aço inoxidável que está conectado à sua tomada de água e ao aquagua"&amp;"rd, não deixe seu técnico cobrar por isso.3) O técnico o sobrecarregará por filtro está pronto para isso.4) Os técnicos são astutos E principalmente ladrões, por isso, seja nítido ao seu redor. Eureka forbes atendimento ao cliente! Verdicto geral- 2.5/5, "&amp;"se sua família em 4 membros você tem escolha Eureka Forbes delicia ro+uv+tds Este produto é muito eficaz e eficiente. Agua Guard fornece instalação em 24 horas de entrega. Antes que a instalação tivesse o nível de TDS seja 125, e após a instalação ter o n"&amp;"ível de TDS, é 62. Produto agradável da Aquaguard, o sabor da água também é doce. Isso é muito bom purificador de água, mas vejo que o cara da instalação parece ter pressa. Ele acabou de instalar e saiu. Ele não mostrou quanto é o TDS, como ajustá -lo. Nã"&amp;"o compre este produto na Amazon. Compre em lojas locais, se possível., Comprei este produto com um desconto de festival pesado. Houve um problema inicialmente após a instalação devido ao botão de retenção de água com defeito. Relatei esse problema e a sub"&amp;"stituição imediatamente foi organizada. Embora eu tivesse que esperar cerca de duas semanas. O militar veio e instalou outra peça. Desde então, está funcionando de maneira excelente. Ao todo, a melhor parte foi que os serviços eram bons e receptivos., A p"&amp;"arte da Amazon do negócio era suave. Pagamentos, troca, reembolso de todos os problemas. Agora me liga todos os dias para forçar esta resenha. Meu principal motivo para escrever esta resenha., instalei o purificador e antes disso estava tendo água de brin"&amp;"cadeira (razão pela qual tenho tantas garrafas que agradeciam). A entrega e a instalação foram suaves. Após a instalação, o agente mencionado para deixar o filtro se encher completamente e depois jogar fora todo o primeiro lote de água filtrada, pois é o "&amp;"1º processo de filtragem de tempo, para que basicamente o prenda no geral. Então, decidi deixar tudo bem e uma vez que fosse Full, eu desliguei o interruptor, então não mais o que entra. Usei as garrafas vazias de 2l Bislery para preencher o primeiro lote"&amp;" de água filtrada, como mostrado na imagem que está em torno de 6L, como mencionado pela empresa. Depois de esvaziar o Filtrar para sua última gota, liguei o filtro com outro conjunto de garrafas vazias no lado do tubo de resíduos. Demorou um pouco para e"&amp;"ncher o tanque completamente, mas, como ele preenchia quase 13,2 l, vale a pena, como visto na imagem. Isso representa aproximadamente 220% ou mais que o dobro da quantidade de água filtrada. Agora, a empresa reivindica 60% de água economizada em comparaç"&amp;"ão com outros filtros RO+UV e não tenho conhecimento de quanta desperdício de água eles fazem. Mas acho que é um pouco muito independentemente. Ele desperdiça o máximo de água que KY faz e é possível que a quantidade possa variar para diferentes níveis de"&amp;" TDS na fonte. Mas eu recomendo que as águas residuais sejam coletadas e usadas para outra coisa, se possível, em vez de apenas deixá -lo cair. 13L Quase todos os dias desperdiçados é de 390L por mês e isso está considerando que você apenas filtra 6L de á"&amp;"gua por dia. Vou refazer isso uma vez mais para ver se há alguma diferença nos valores. Isso é para manter os potenciais compradores informados., Gosto de velocidade para preencher a água e menos desperdícios. Eu gosto do ajustador TDS e fácil de instalar"&amp;". Não gosto do corpo plástico interno, embora acredite que seja aço. Precisa de confirmação. No geral, bom produto, estamos satisfeitos com a instalação de 3-4 semanas, merece uma 5 estrelas no produto. No entanto, encontrou um problema quando se trata de"&amp;" instalação. Os técnicos do centro de manutenção na minha área local me deram um enorme problema, atrasando a instalação. Por fim, um técnico se apresentou.")</f>
        <v>Preço de compra de revisão de produtos e serviços 8999 Durante a venda do dia do primo com 10% de desconto do cartão de débito HDFC.Product Review! Classificação 4/5 Este é um novo modelo lançado durante o Prime Day a partir da Eureka Forbes Aquaguard Linha de produtos denominada Aquasure Delight. O produto é Agradável de olhar e vem com uma capacidade de 7,5L no papel, mas mantém apenas 7 litros de água, equipados com osmose reversa, lâmpada de radiação ultravioleta e ajuste manual para sólidos dissolvidos totais (pode ser ajustado manualmente apenas pelo engenheiro de serviço!), O 7 O tanque de litro preenche a cerca de 30 minutos, mas o desperdício de água é muito alto para cada 1 litro de água purificado, há uma drenagem de 1-1,5 litros do tubo de drenagem (colete a água e reutilize-o para lavar utensílios ou banho, barbear ou regar plantas . A água drenada é a mesma que a água do tanque apenas com TDs mais altos). O sabor da água varia de acordo com o nível de TDS que você escolher, TDs muito baixo dará um bom gosto à água, mas com uma perda do conteúdo mineral da água que não recomendarei. O TDS padrão após a purificação é definido entre 80-100 (a água potável deve ter TDS abaixo de 300) Revisão do fabricante 2/51) O fabricante deste produto é Eureka Forbes, estou dando uma taxa de 2/5 porque o produto que é agora Instalado em minha casa é um produto substituído porque o primeiro produto que recebi foi defeituoso. O tubo de drenagem não parava de drenar a água, mesmo quando o tanque estava cheio, pedi ao técnico para verificar e ele disse que a válvula está com defeito, então recebi um produto com defeito fora da caixa! Eu pedi um substituto na Amazon que eles processaram e recebi outro em que as luzes LED foram deslocadas, não sei que aconteceu durante o transporte ou é algum defeito de fabricação, ficaria decepcionado pela segunda vez, mas observei e relatou ao técnico que substituiu as luzes LED para sua posição original, para que os indicadores de LED fossem visíveis lá fora. A válvula do produto substituída está funcional e agora está operando sem qualquer aborrecimento! Service Review0/5Don Não espere ter uma experiência de instalação muito confortável, será uma mágoa. Os motivos são 1. O povo Eureka Forbes empregou como técnicos são ladrões, estou dizendo isso porque o Aquasure Delight vem com válvula de desviador integrada, essa é uma estrutura de aço inoxidável que é montada na saída de água proveniente da parede para que possa atuar como conversor para ser unido Para a entrada da Aquaguard! Como eu não havia aberto o pacote quando chegou! (Como algumas ou muitas das empresas anulam a garantia de você abrir a caixa que contém o produto, principalmente itens elétricos que precisam de instalação como as máquinas de lavar TV) tomando a precaução Eu não abri a caixa, então não sabia que o desviador está incluído em o pacote! O técnico depois de encaixar o desviador cobrou Rs 200 dizendo que se encaixou que de seu lado e o desviador não está incluído no pacote. Cheguei a saber disso quando abri o pacote do produto substituído e encontrei o desviador incluído e o confrontei, mas ele defendeu dizendo que alguns purificadores têm desviador neles e alguns não. Eu ainda tenho que confirmar isso com Eureka Forbes! 2) O pré -filtro não vem incluído no pacote, para que os técnicos o vendam a você a preços mais altos, meu técnico vendeu para mim em Rs 950, disponível na Amazon na RS 750, mas se o havia pedido da Amazon, tenho que instalá -lo sozinho. Eu não tenho uma broca, etc., então tive que pagar a ele 950 Rs, então a perda de Rs 400 no técnico. Minha opinião sobre isso é que Eureka Forbes deve vender Purifiera de água com pré -filtro, embora aumente o custo do produto em Rs 700 a Rs 800platform Review! de 2/5 porque recebi um produto defeituoso na primeira vez e a Amazon se recusou a substituí -lo porque a solicitação de instalação não foi aumentada pela Amazon (a Amazon nunca aumenta uma solicitação de instalação, diferentemente do Flipkart, o que aumenta uma solicitação de instalação do seu lado, o que realmente torna sua vida Fácil, pois, se você receber um produto defeituoso, que você percebe após a instalação, o Flipkart consulta diretamente com o técnico e poderá até reenviar para verificar a autenticidade do problema) para a instalação, você deve chamar o número gratuito da Eureka Forbes e aumentar uma instalação Solicitação, então o representante da Amazon estava exigindo um relatório de instalação, uma prova de vídeo ou foto do problema, agora como eu poderia fazer esse ladrão de um técnico para escrever um relatório de instalação e sobre tirar uma foto ou vídeo, recebi o purificador de água desinstalado assim que Como achei defeituoso colocá -lo para substituir, mas não sabia que a solicitação de substituição tem esses muitos aborrecimentos, pois foi a primeira vez que substituí um produto eletrônico! Resumo1) O produto é bom para o preço mencionado! 2) Aquasure vem com " Válvula de desviador integrada "Um dispositivo de aço inoxidável que está conectado à sua tomada de água e ao aquaguard, não deixe seu técnico cobrar por isso.3) O técnico o sobrecarregará por filtro está pronto para isso.4) Os técnicos são astutos E principalmente ladrões, por isso, seja nítido ao seu redor. Eureka forbes atendimento ao cliente! Verdicto geral- 2.5/5, se sua família em 4 membros você tem escolha Eureka Forbes delicia ro+uv+tds Este produto é muito eficaz e eficiente. Agua Guard fornece instalação em 24 horas de entrega. Antes que a instalação tivesse o nível de TDS seja 125, e após a instalação ter o nível de TDS, é 62. Produto agradável da Aquaguard, o sabor da água também é doce. Isso é muito bom purificador de água, mas vejo que o cara da instalação parece ter pressa. Ele acabou de instalar e saiu. Ele não mostrou quanto é o TDS, como ajustá -lo. Não compre este produto na Amazon. Compre em lojas locais, se possível., Comprei este produto com um desconto de festival pesado. Houve um problema inicialmente após a instalação devido ao botão de retenção de água com defeito. Relatei esse problema e a substituição imediatamente foi organizada. Embora eu tivesse que esperar cerca de duas semanas. O militar veio e instalou outra peça. Desde então, está funcionando de maneira excelente. Ao todo, a melhor parte foi que os serviços eram bons e receptivos., A parte da Amazon do negócio era suave. Pagamentos, troca, reembolso de todos os problemas. Agora me liga todos os dias para forçar esta resenha. Meu principal motivo para escrever esta resenha., instalei o purificador e antes disso estava tendo água de brincadeira (razão pela qual tenho tantas garrafas que agradeciam). A entrega e a instalação foram suaves. Após a instalação, o agente mencionado para deixar o filtro se encher completamente e depois jogar fora todo o primeiro lote de água filtrada, pois é o 1º processo de filtragem de tempo, para que basicamente o prenda no geral. Então, decidi deixar tudo bem e uma vez que fosse Full, eu desliguei o interruptor, então não mais o que entra. Usei as garrafas vazias de 2l Bislery para preencher o primeiro lote de água filtrada, como mostrado na imagem que está em torno de 6L, como mencionado pela empresa. Depois de esvaziar o Filtrar para sua última gota, liguei o filtro com outro conjunto de garrafas vazias no lado do tubo de resíduos. Demorou um pouco para encher o tanque completamente, mas, como ele preenchia quase 13,2 l, vale a pena, como visto na imagem. Isso representa aproximadamente 220% ou mais que o dobro da quantidade de água filtrada. Agora, a empresa reivindica 60% de água economizada em comparação com outros filtros RO+UV e não tenho conhecimento de quanta desperdício de água eles fazem. Mas acho que é um pouco muito independentemente. Ele desperdiça o máximo de água que KY faz e é possível que a quantidade possa variar para diferentes níveis de TDS na fonte. Mas eu recomendo que as águas residuais sejam coletadas e usadas para outra coisa, se possível, em vez de apenas deixá -lo cair. 13L Quase todos os dias desperdiçados é de 390L por mês e isso está considerando que você apenas filtra 6L de água por dia. Vou refazer isso uma vez mais para ver se há alguma diferença nos valores. Isso é para manter os potenciais compradores informados., Gosto de velocidade para preencher a água e menos desperdícios. Eu gosto do ajustador TDS e fácil de instalar. Não gosto do corpo plástico interno, embora acredite que seja aço. Precisa de confirmação. No geral, bom produto, estamos satisfeitos com a instalação de 3-4 semanas, merece uma 5 estrelas no produto. No entanto, encontrou um problema quando se trata de instalação. Os técnicos do centro de manutenção na minha área local me deram um enorme problema, atrasando a instalação. Por fim, um técnico se apresentou.</v>
      </c>
    </row>
    <row r="1248">
      <c r="A1248" s="9" t="s">
        <v>5049</v>
      </c>
      <c r="B1248" s="29" t="str">
        <f>VLOOKUP(dados!A1248, reviews!A:G, 5, FALSE)</f>
        <v>does it's job,Good,Chala bagundhe,Bottom is very thin woven and they provided carton for bottom,Good thing...,Not bad,Nice product,Good</v>
      </c>
      <c r="C1248" s="29" t="str">
        <f>VLOOKUP(dados!A1248, reviews!A:G, 6, FALSE)</f>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v>
      </c>
      <c r="D1248" s="29" t="str">
        <f>IFERROR(__xludf.DUMMYFUNCTION("GOOGLETRANSLATE(B1248, ""en"", ""pt-br"")"),"é o trabalho, bom, chala bagundhe, o fundo é muito fino tecido e eles forneceram caixa para o fundo, coisa boa ..., nada ruim, bom produto, bom")</f>
        <v>é o trabalho, bom, chala bagundhe, o fundo é muito fino tecido e eles forneceram caixa para o fundo, coisa boa ..., nada ruim, bom produto, bom</v>
      </c>
      <c r="E1248" s="29" t="str">
        <f>IFERROR(__xludf.DUMMYFUNCTION("GOOGLETRANSLATE(C1248, ""en"", ""pt-br"")"),"Já fazia 2 meses desde que eu os peguei, posso ver lentamente o tecido saindo e o papel de papelão espreitando. Mas depende de como você lida com isso na minha opinião. Mas eles podem ser dobrados e armazenados em pequenos espaços, o que é ótimo !!, custa"&amp;" alto, mas bom, super, https: //m.media-amazon.com/images/i/71pr+tjoxel._sy88.jpg,a muito É bom manter roupas casuais ....., ave está usando há um mês e essa é a condição atual, um produto muito bom :), bom para armazenar itens")</f>
        <v>Já fazia 2 meses desde que eu os peguei, posso ver lentamente o tecido saindo e o papel de papelão espreitando. Mas depende de como você lida com isso na minha opinião. Mas eles podem ser dobrados e armazenados em pequenos espaços, o que é ótimo !!, custa alto, mas bom, super, https: //m.media-amazon.com/images/i/71pr+tjoxel._sy88.jpg,a muito É bom manter roupas casuais ....., ave está usando há um mês e essa é a condição atual, um produto muito bom :), bom para armazenar itens</v>
      </c>
    </row>
    <row r="1249">
      <c r="A1249" s="9" t="s">
        <v>5053</v>
      </c>
      <c r="B1249" s="29" t="str">
        <f>VLOOKUP(dados!A1249, reviews!A:G, 5, FALSE)</f>
        <v>Design Optimised for Functionality, Durability &amp; Battery life!,Nice,**HIGHLY PRECISE IN MEASURING**ACCU GAUGE SENSORS**CONVERTS UNIT AFTER MEASURING ALSO**HAS TARE, AUTO-OFF, OVERLOAD INDICATOR**,It worked good for one year. Now only grams are shown.litres option is not operated.</v>
      </c>
      <c r="C1249" s="29" t="str">
        <f>VLOOKUP(dados!A1249, reviews!A:G, 6, FALSE)</f>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v>
      </c>
      <c r="D1249" s="29" t="str">
        <f>IFERROR(__xludf.DUMMYFUNCTION("GOOGLETRANSLATE(B1249, ""en"", ""pt-br"")"),"Design otimizado para funcionalidade, durabilidade e duração da bateria!, Nice, ** altamente preciso ao medir ** sensores de medidores Accu ** Converte a unidade após medir também ** Tare, indicador de sobrecarga de tare, auto-off, **, funcionou bem para "&amp;"um para um ano. Agora, apenas gramas são mostrados. A opção Litres não está operada.")</f>
        <v>Design otimizado para funcionalidade, durabilidade e duração da bateria!, Nice, ** altamente preciso ao medir ** sensores de medidores Accu ** Converte a unidade após medir também ** Tare, indicador de sobrecarga de tare, auto-off, **, funcionou bem para um para um ano. Agora, apenas gramas são mostrados. A opção Litres não está operada.</v>
      </c>
      <c r="E1249" s="29" t="str">
        <f>IFERROR(__xludf.DUMMYFUNCTION("GOOGLETRANSLATE(C1249, ""en"", ""pt-br"")"),"Esta é esteticamente a escala de cozinha digital mais atraente das opções disponíveis. Embora também seja de longe o mais caro, é um valor para o dinheiro, considerando os prós seguidos: 1. Funcionalidade: possui apenas dois botões de toque que integram t"&amp;"odas as funções, como unidades de peso e volume, tare e pesagem múltipla com indicação de sobrecarga e desativado/ligado; Ele pode dar idioais de volume para água e leite, dois dos líquidos mais usados, enquanto outros líquidos também podem ser medidos se"&amp;" um copo de água for calibrado para um determinado volume, digamos que 100 ml de anúncio são marcados no vidro; A tigela plástica de grau de alimentos se encaixa perfeitamente na balança e também funciona como uma cobertura quando a escala não está em uso"&amp;"2. Duraility: Devido à sua forma de agachamento e base certa, a escala não derrubará. Além disso, como a tigela se encaixa perfeitamente na escala de cabeça para baixo quando a escala não está sendo usada, ela impede que a poeira entre na tela e nos botõe"&amp;"s; O material é um plástico resistente com um top recuado que acomoda firmemente a tigela e não há espaço exposto para entrada de qualquer líquido derramado, com tudo isso, há uma garantia de um ano prolongável a dois anos, que fala sobre a confiança dos "&amp;"fabricantes em seus Projeto próprio3. Vida da bateria: o dispositivo possui uma energia automática desligada e uma tela digital que consome muito menos energia. Portanto, é provável que a bateria dure mais. Encontrei apenas dois contras: 1. A escala é mui"&amp;"to sensível e leva algum tempo para se estabelecer2. A luz de fundo da tela desaparece após algum tempo e a leitura do LCD é difícil de ler à luz ambiente brilhante. No geral, este dispositivo serve ao meu propósito de gerenciamento prático da dieta de ma"&amp;"neira eficiente e eficaz e tenho certeza de que ele crescerá em mim. Recomendado se você deseja obter muito mais utilidade e eficiência a um preço um pouco mais alto., Litt para ajustar o tempo todo, ok. Em termos de preço, não durou muito")</f>
        <v>Esta é esteticamente a escala de cozinha digital mais atraente das opções disponíveis. Embora também seja de longe o mais caro, é um valor para o dinheiro, considerando os prós seguidos: 1. Funcionalidade: possui apenas dois botões de toque que integram todas as funções, como unidades de peso e volume, tare e pesagem múltipla com indicação de sobrecarga e desativado/ligado; Ele pode dar idioais de volume para água e leite, dois dos líquidos mais usados, enquanto outros líquidos também podem ser medidos se um copo de água for calibrado para um determinado volume, digamos que 100 ml de anúncio são marcados no vidro; A tigela plástica de grau de alimentos se encaixa perfeitamente na balança e também funciona como uma cobertura quando a escala não está em uso2. Duraility: Devido à sua forma de agachamento e base certa, a escala não derrubará. Além disso, como a tigela se encaixa perfeitamente na escala de cabeça para baixo quando a escala não está sendo usada, ela impede que a poeira entre na tela e nos botões; O material é um plástico resistente com um top recuado que acomoda firmemente a tigela e não há espaço exposto para entrada de qualquer líquido derramado, com tudo isso, há uma garantia de um ano prolongável a dois anos, que fala sobre a confiança dos fabricantes em seus Projeto próprio3. Vida da bateria: o dispositivo possui uma energia automática desligada e uma tela digital que consome muito menos energia. Portanto, é provável que a bateria dure mais. Encontrei apenas dois contras: 1. A escala é muito sensível e leva algum tempo para se estabelecer2. A luz de fundo da tela desaparece após algum tempo e a leitura do LCD é difícil de ler à luz ambiente brilhante. No geral, este dispositivo serve ao meu propósito de gerenciamento prático da dieta de maneira eficiente e eficaz e tenho certeza de que ele crescerá em mim. Recomendado se você deseja obter muito mais utilidade e eficiência a um preço um pouco mais alto., Litt para ajustar o tempo todo, ok. Em termos de preço, não durou muito</v>
      </c>
    </row>
    <row r="1250">
      <c r="A1250" s="9" t="s">
        <v>5063</v>
      </c>
      <c r="B1250" s="29" t="str">
        <f>VLOOKUP(dados!A1250, reviews!A:G, 5, FALSE)</f>
        <v>Good,Kind of too big.,Efficient one,good quality appliance,Nice product,Sturdy, well made,Fantastic product, I'm using it from last 10 days and it is working good. Value for money.,Quality product</v>
      </c>
      <c r="C1250" s="29" t="str">
        <f>VLOOKUP(dados!A1250, reviews!A:G, 6, FALSE)</f>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v>
      </c>
      <c r="D1250" s="29" t="str">
        <f>IFERROR(__xludf.DUMMYFUNCTION("GOOGLETRANSLATE(B1250, ""en"", ""pt-br"")"),"Bom, meio grande demais., Eficiente, aparelho de boa qualidade, produto agradável, produtos resistentes, bem feitos e fantásticos, estou usando -o nos últimos 10 dias e está funcionando bem. Valor ao dinheiro., Produto de qualidade")</f>
        <v>Bom, meio grande demais., Eficiente, aparelho de boa qualidade, produto agradável, produtos resistentes, bem feitos e fantásticos, estou usando -o nos últimos 10 dias e está funcionando bem. Valor ao dinheiro., Produto de qualidade</v>
      </c>
      <c r="E1250" s="29" t="str">
        <f>IFERROR(__xludf.DUMMYFUNCTION("GOOGLETRANSLATE(C1250, ""en"", ""pt-br"")"),"O melhor, a única questão é que você pode julgar incorretamente seu tamanho. É meio grande demais, especialmente se você está morando em albergues, como eu. Usá -lo para outra coisa que não senão ferver a água geralmente acaba sendo bastante inconveniente"&amp;" por esse motivo. Até mesmo lavando -o às vezes. Mas a qualidade geral é realmente boa. É um bom produto, apenas adequado para casos de uso específicos. Bom para casas., A chaleira é muito útil de usar e a capacidade disso facilita o trabalho. Adorei as n"&amp;"ovas opções de cores que eles estão oferecendo., O tamanho é suficiente e pode ser um pouco grande para o uso de uma pessoa única. Uma sugestão é que um botão de controle de temperatura possa ter sido fornecido nessa faixa de preço. Caso contrário, um pro"&amp;"duto muito bom. O acabamento é excelente., Demora um pouco mais de duração para ferver, o problema é o exterior da chaleira, que encanta facilmente a poeira - mancha e, independentemente dos produtos de limpeza de cozinha disponíveis, as manchas das manch"&amp;"as são significadas para serem permanentes. Vá para outra cor branca., Produto muito útil e está funcionando bem. O preço é razoável. Vale a pena., Como a base de metal.")</f>
        <v>O melhor, a única questão é que você pode julgar incorretamente seu tamanho. É meio grande demais, especialmente se você está morando em albergues, como eu. Usá -lo para outra coisa que não senão ferver a água geralmente acaba sendo bastante inconveniente por esse motivo. Até mesmo lavando -o às vezes. Mas a qualidade geral é realmente boa. É um bom produto, apenas adequado para casos de uso específicos. Bom para casas., A chaleira é muito útil de usar e a capacidade disso facilita o trabalho. Adorei as novas opções de cores que eles estão oferecendo., O tamanho é suficiente e pode ser um pouco grande para o uso de uma pessoa única. Uma sugestão é que um botão de controle de temperatura possa ter sido fornecido nessa faixa de preço. Caso contrário, um produto muito bom. O acabamento é excelente., Demora um pouco mais de duração para ferver, o problema é o exterior da chaleira, que encanta facilmente a poeira - mancha e, independentemente dos produtos de limpeza de cozinha disponíveis, as manchas das manchas são significadas para serem permanentes. Vá para outra cor branca., Produto muito útil e está funcionando bem. O preço é razoável. Vale a pena., Como a base de metal.</v>
      </c>
    </row>
    <row r="1251">
      <c r="A1251" s="9" t="s">
        <v>5067</v>
      </c>
      <c r="B1251" s="29" t="str">
        <f>VLOOKUP(dados!A1251, reviews!A:G, 5, FALSE)</f>
        <v>Value for money,Nice product, comfortable to use.,nice one,Good product with some areas of improvement.,Good and easy to use.,Best Vaccum cleaner in this range,Best vacuum cleaner for house hold use,Nice</v>
      </c>
      <c r="C1251" s="29" t="str">
        <f>VLOOKUP(dados!A1251, reviews!A:G, 6, FALSE)</f>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v>
      </c>
      <c r="D1251" s="29" t="str">
        <f>IFERROR(__xludf.DUMMYFUNCTION("GOOGLETRANSLATE(B1251, ""en"", ""pt-br"")"),"Valor ao dinheiro, bom produto, confortável de usar., Bom, bom produto com algumas áreas de melhoria., Bom e fácil de usar., Melhor limpeza de vácios nessa faixa, melhor aspirador de pó para uso doméstico, bom")</f>
        <v>Valor ao dinheiro, bom produto, confortável de usar., Bom, bom produto com algumas áreas de melhoria., Bom e fácil de usar., Melhor limpeza de vácios nessa faixa, melhor aspirador de pó para uso doméstico, bom</v>
      </c>
      <c r="E1251" s="29" t="str">
        <f>IFERROR(__xludf.DUMMYFUNCTION("GOOGLETRANSLATE(C1251, ""en"", ""pt-br"")"),"A decisão de comprá -lo 2) puramente sobre o custo de item de marca semelhante é em torno de Rs16000 = 002) Eu uso esse aspirador de pó apenas ocasionalmente e com base na minha necessidade e sinto E eles importam e marketing na Índia1) Som não sinto na m"&amp;"inha zona de conforto, mas outros também fazem ruído semelhante2) com o acorde de poder menor em comparação com outros mais marcadores3), nenhuma demonstração foi organizada. O vídeo do YouTube foi a resposta deles para meu pedido de demonstração, mesmo n"&amp;"o metrô como Bangalore.4) Nenhum suporte ou serviço de cliente, caso o instrumento seja defeituoso ao longo do tempo em Bangalore. Eu não sei como eles atendem o instrumento por telefone. Quem precisa suportar o Custo do transporte e como ele será o exerc"&amp;"ício de trabalho conforme a especificação., O poder de sucção é bom, nível de ruído OK, livre circulação. Pode haver uma melhoria na qualidade da esponja, já que, embora o uso do soprador seja sugado na banheira de aço. Além disso, se a empresa puder forn"&amp;"ecer um vídeo sobre como usar efetivamente o produto, seria ótimo e também como evitar a pressão no motor, pois o tubo de mangueira se dobra enquanto usava o produto., Nice Product. Gostei de poder de sucção, mas do lado direito soprando mais do lado do s"&amp;"oprador. Eu não por quê? e a qualidade da construção do corpo de aço é muito baixa. Se um pequeno toque parcial, ficará com dente. Está bem em todo o produto é bom. Ok, ok, o poder de sucção do limpador de vácios é realmente bom, apenas desvantagem é que,"&amp;" depois de usá -lo por algum tempo, observei que a mangueira de sucção está vazando o ar que está emitindo um som de assobio. Tentei alcançar o atendimento ao cliente e eles me informaram que o som de assobios ao usar o modo de soprador é bastante normal."&amp;" O recipiente externo é feito de aço e é de boa qualidade. Quando recebi o produto, observei um amassado no corpo., Comprei recentemente e o uso inicial é muito bom. É conveniente e fácil de usar. Se apresenta bem em pisos, colchão e sofás. A função do ve"&amp;"ntilador funciona conforme o esperado. Mesh de mosquito um pouco difícil de limpar através de churrasqueiras., Eu tenho usado esse limpador de vaccume há 1 mês. E estou muito feliz com o produto ... Eu o uso principalmente para limpeza de sofá .... É o po"&amp;"der de sucção é muito bom., Https: //m.media-amazon.com/images/w/webp_402378- T2/imagens/i/61yo-rojccl._sy88.jpg, o tubo de sucção deve ter mais comprimento, não pode alcançar lajes, outros sábios")</f>
        <v>A decisão de comprá -lo 2) puramente sobre o custo de item de marca semelhante é em torno de Rs16000 = 002) Eu uso esse aspirador de pó apenas ocasionalmente e com base na minha necessidade e sinto E eles importam e marketing na Índia1) Som não sinto na minha zona de conforto, mas outros também fazem ruído semelhante2) com o acorde de poder menor em comparação com outros mais marcadores3), nenhuma demonstração foi organizada. O vídeo do YouTube foi a resposta deles para meu pedido de demonstração, mesmo no metrô como Bangalore.4) Nenhum suporte ou serviço de cliente, caso o instrumento seja defeituoso ao longo do tempo em Bangalore. Eu não sei como eles atendem o instrumento por telefone. Quem precisa suportar o Custo do transporte e como ele será o exercício de trabalho conforme a especificação., O poder de sucção é bom, nível de ruído OK, livre circulação. Pode haver uma melhoria na qualidade da esponja, já que, embora o uso do soprador seja sugado na banheira de aço. Além disso, se a empresa puder fornecer um vídeo sobre como usar efetivamente o produto, seria ótimo e também como evitar a pressão no motor, pois o tubo de mangueira se dobra enquanto usava o produto., Nice Product. Gostei de poder de sucção, mas do lado direito soprando mais do lado do soprador. Eu não por quê? e a qualidade da construção do corpo de aço é muito baixa. Se um pequeno toque parcial, ficará com dente. Está bem em todo o produto é bom. Ok, ok, o poder de sucção do limpador de vácios é realmente bom, apenas desvantagem é que, depois de usá -lo por algum tempo, observei que a mangueira de sucção está vazando o ar que está emitindo um som de assobio. Tentei alcançar o atendimento ao cliente e eles me informaram que o som de assobios ao usar o modo de soprador é bastante normal. O recipiente externo é feito de aço e é de boa qualidade. Quando recebi o produto, observei um amassado no corpo., Comprei recentemente e o uso inicial é muito bom. É conveniente e fácil de usar. Se apresenta bem em pisos, colchão e sofás. A função do ventilador funciona conforme o esperado. Mesh de mosquito um pouco difícil de limpar através de churrasqueiras., Eu tenho usado esse limpador de vaccume há 1 mês. E estou muito feliz com o produto ... Eu o uso principalmente para limpeza de sofá .... É o poder de sucção é muito bom., Https: //m.media-amazon.com/images/w/webp_402378- T2/imagens/i/61yo-rojccl._sy88.jpg, o tubo de sucção deve ter mais comprimento, não pode alcançar lajes, outros sábios</v>
      </c>
    </row>
    <row r="1252">
      <c r="A1252" s="9" t="s">
        <v>5071</v>
      </c>
      <c r="B1252" s="29" t="str">
        <f>VLOOKUP(dados!A1252, reviews!A:G, 5, FALSE)</f>
        <v>Heats up,I just bought this product and my review based on my previous purchases are my in laws home,Easy to use,Nicee,Good product,Nice product..,Very Easy to use,Powerful Blender with 3in1 attachments</v>
      </c>
      <c r="C1252" s="29" t="str">
        <f>VLOOKUP(dados!A1252, reviews!A:G, 6, FALSE)</f>
        <v>It's very easy to use. And easy to clean. It does it's jób as described. Only drawback is that, the motor unit heats up v very quickly🥵, even with very little use. I have only used this product twice so far, so I can't speak for its durability. Also the price has been dropping steadily on this product.  Wondering why🤔.Only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v>
      </c>
      <c r="D1252" s="29" t="str">
        <f>IFERROR(__xludf.DUMMYFUNCTION("GOOGLETRANSLATE(B1252, ""en"", ""pt-br"")"),"Aquece, acabei de comprar este produto e minha revisão com base nas minhas compras anteriores são minhas leis em casa, fácil de usar, nicee, bom produto, bom produto .., muito fácil de usar, liquidificador poderoso com acessórios 3in1")</f>
        <v>Aquece, acabei de comprar este produto e minha revisão com base nas minhas compras anteriores são minhas leis em casa, fácil de usar, nicee, bom produto, bom produto .., muito fácil de usar, liquidificador poderoso com acessórios 3in1</v>
      </c>
      <c r="E1252" s="29" t="str">
        <f>IFERROR(__xludf.DUMMYFUNCTION("GOOGLETRANSLATE(C1252, ""en"", ""pt-br"")"),"É muito fácil de usar. E fácil de limpar. É Jób, como descrito. A única desvantagem é que a unidade do motor aquece V muito rapidamente🥵, mesmo com muito pouco uso. Eu só usei este produto duas vezes até agora, então não posso falar por sua durabilidade."&amp;" Além disso, o preço está caindo constantemente neste produto. Quer saber por que o tempo dirá, quanto tempo esse produto vai durar., Awesome Build Quality com embalagem perfeita, o Blender está funcionando bem., Trabalhando bem até agora, fácil de usar, "&amp;"https: //m.media-amazon.com /images/w/webp_402378-t2/images/i/71prbn8isul._sy88.jpg,easy para limpar n all., eu faço muitos molhos, purês e curativos. Eu uso meu liquidificador quase todos os dias. Mas a construção do liquidificador é tal que a comida ger"&amp;"almente cai abaixo das lâminas e estou constantemente reajustando os ingredientes para misturar os ingredientes. Pode levar uma quantidade considerável de tempo e muita paciência. Mas esse liquidificador de imersão pode fazer purê de frutas e vegetais em "&amp;"menos de 2 minutos e fazê -lo de maneira uniforme e consistente. É fácil de usar e leve. A limpeza consiste em remover o eixo com as lâminas e lavar as mãos. Você pode limpar a alça com um pano úmido e enfiar ambos em uma gaveta. Meu liquidificador padrão"&amp;" requer lavagem completa das várias peças (jarro, lâminas, parafuso na fixação e tampa). Então, estou movendo o liquidificador padrão do balcão para o armazenamento. Se eu preciso, eu tenho. Eu recomendo este poderoso liquidificador, vá em frente.")</f>
        <v>É muito fácil de usar. E fácil de limpar. É Jób, como descrito. A única desvantagem é que a unidade do motor aquece V muito rapidamente🥵, mesmo com muito pouco uso. Eu só usei este produto duas vezes até agora, então não posso falar por sua durabilidade. Além disso, o preço está caindo constantemente neste produto. Quer saber por que o tempo dirá, quanto tempo esse produto vai durar., Awesome Build Quality com embalagem perfeita, o Blender está funcionando bem., Trabalhando bem até agora, fácil de usar, https: //m.media-amazon.com /images/w/webp_402378-t2/images/i/71prbn8isul._sy88.jpg,easy para limpar n all., eu faço muitos molhos, purês e curativos. Eu uso meu liquidificador quase todos os dias. Mas a construção do liquidificador é tal que a comida geralmente cai abaixo das lâminas e estou constantemente reajustando os ingredientes para misturar os ingredientes. Pode levar uma quantidade considerável de tempo e muita paciência. Mas esse liquidificador de imersão pode fazer purê de frutas e vegetais em menos de 2 minutos e fazê -lo de maneira uniforme e consistente. É fácil de usar e leve. A limpeza consiste em remover o eixo com as lâminas e lavar as mãos. Você pode limpar a alça com um pano úmido e enfiar ambos em uma gaveta. Meu liquidificador padrão requer lavagem completa das várias peças (jarro, lâminas, parafuso na fixação e tampa). Então, estou movendo o liquidificador padrão do balcão para o armazenamento. Se eu preciso, eu tenho. Eu recomendo este poderoso liquidificador, vá em frente.</v>
      </c>
    </row>
    <row r="1253">
      <c r="A1253" s="9" t="s">
        <v>5075</v>
      </c>
      <c r="B1253" s="29" t="str">
        <f>VLOOKUP(dados!A1253, reviews!A:G, 5, FALSE)</f>
        <v>Easy to keep and use,Good for quick fixes,Average product,It's a good Machine,Ok,Make it some more easier,Not so easy,It was a perfect tool for beginners</v>
      </c>
      <c r="C1253" s="29" t="str">
        <f>VLOOKUP(dados!A1253, reviews!A:G, 6, FALSE)</f>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v>
      </c>
      <c r="D1253" s="29" t="str">
        <f>IFERROR(__xludf.DUMMYFUNCTION("GOOGLETRANSLATE(B1253, ""en"", ""pt-br"")"),"Fácil de manter e usar, bom para soluções rápidas, produto médio, é uma boa máquina, ok, tornam -o um pouco mais fácil, não tão fácil, era uma ferramenta perfeita para iniciantes")</f>
        <v>Fácil de manter e usar, bom para soluções rápidas, produto médio, é uma boa máquina, ok, tornam -o um pouco mais fácil, não tão fácil, era uma ferramenta perfeita para iniciantes</v>
      </c>
      <c r="E1253" s="29" t="str">
        <f>IFERROR(__xludf.DUMMYFUNCTION("GOOGLETRANSLATE(C1253, ""en"", ""pt-br"")"),"É um bom produto, você pode enfrentar um desafio ao começar, mas depois de aprender, é fácil, você pode costurar roupas de qualquer lugar que desejar., O produto funciona bem. Podemos usar para correções rápidas. Opção para usar o adaptador de potência é "&amp;"muito útil.CONS: Não é possível alterar a direção do tecido STITCHCANT STICCH no meio, se for grande. Somente as bordas podem ser costuradas confortavelmente. Produto fácil de usar, mas você precisa colocar um nó para manter os pontos juntos. Portátil e b"&amp;"om para fins de emergência, é bom, no geral, só precisa ser amarrado toda vez que você costurar, é realmente bom e de boa qualidade do tópico ..., ok, bom produto ... amigável para o orçamento ... vale a pena, não tão fácil de usar, fácil de usar")</f>
        <v>É um bom produto, você pode enfrentar um desafio ao começar, mas depois de aprender, é fácil, você pode costurar roupas de qualquer lugar que desejar., O produto funciona bem. Podemos usar para correções rápidas. Opção para usar o adaptador de potência é muito útil.CONS: Não é possível alterar a direção do tecido STITCHCANT STICCH no meio, se for grande. Somente as bordas podem ser costuradas confortavelmente. Produto fácil de usar, mas você precisa colocar um nó para manter os pontos juntos. Portátil e bom para fins de emergência, é bom, no geral, só precisa ser amarrado toda vez que você costurar, é realmente bom e de boa qualidade do tópico ..., ok, bom produto ... amigável para o orçamento ... vale a pena, não tão fácil de usar, fácil de usar</v>
      </c>
    </row>
    <row r="1254">
      <c r="A1254" s="9" t="s">
        <v>5079</v>
      </c>
      <c r="B1254" s="29" t="str">
        <f>VLOOKUP(dados!A1254, reviews!A:G, 5, FALSE)</f>
        <v>Steam irom,Good,Value for money,Amazing product😁😁,Very nice product.,Good product,Good product,It comes with 16Amps Plug</v>
      </c>
      <c r="C1254" s="29" t="str">
        <f>VLOOKUP(dados!A1254, reviews!A:G, 6, FALSE)</f>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v>
      </c>
      <c r="D1254" s="29" t="str">
        <f>IFERROR(__xludf.DUMMYFUNCTION("GOOGLETRANSLATE(B1254, ""en"", ""pt-br"")"),"Vapor irom, bom, valor pelo dinheiro, produto incrível😁😁, produto muito bom., Bom produto, bom produto, ele vem com plugue de 16 amantes")</f>
        <v>Vapor irom, bom, valor pelo dinheiro, produto incrível😁😁, produto muito bom., Bom produto, bom produto, ele vem com plugue de 16 amantes</v>
      </c>
      <c r="E1254" s="29" t="str">
        <f>IFERROR(__xludf.DUMMYFUNCTION("GOOGLETRANSLATE(C1254, ""en"", ""pt-br"")"),"O ferro de vapor leve é ​​muito útil, muito bom, muito boa qualidade. Produto leve e fantástico e corresponde à descrição e aos recursos do produto que foram mostrados na revisão., Melhor produto, é muito útil e fácil de manusear. Dá um bom acabamento., F"&amp;"acilidade de uso, ótimo, compradores, pl. Observe que este ferro vem com plugue de 16 amantes, que não se encaixa em muitas casas. Eu tive que voltar por esse motivo. O outro, o produto parece muito bom.")</f>
        <v>O ferro de vapor leve é ​​muito útil, muito bom, muito boa qualidade. Produto leve e fantástico e corresponde à descrição e aos recursos do produto que foram mostrados na revisão., Melhor produto, é muito útil e fácil de manusear. Dá um bom acabamento., Facilidade de uso, ótimo, compradores, pl. Observe que este ferro vem com plugue de 16 amantes, que não se encaixa em muitas casas. Eu tive que voltar por esse motivo. O outro, o produto parece muito bom.</v>
      </c>
    </row>
    <row r="1255">
      <c r="A1255" s="9" t="s">
        <v>5083</v>
      </c>
      <c r="B1255" s="29" t="str">
        <f>VLOOKUP(dados!A1255, reviews!A:G, 5, FALSE)</f>
        <v>A must have addition to the kitchen.,Easy to use,Superb,Fast and sharp blades...quick work,Good product,Quality of motor is good, just doubt on jar, it's not so much strong,Inalsa Bullet Chopper,Very handy and good chopper</v>
      </c>
      <c r="C1255" s="29" t="str">
        <f>VLOOKUP(dados!A1255, reviews!A:G, 6, FALSE)</f>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v>
      </c>
      <c r="D1255" s="29" t="str">
        <f>IFERROR(__xludf.DUMMYFUNCTION("GOOGLETRANSLATE(B1255, ""en"", ""pt-br"")"),"Uma adição obrigatória para a cozinha., Fácil de usar, excelente, rápido e afiado ... trabalho rápido, bom produto, qualidade do motor é bom, apenas dúvida sobre o jar, não é muito forte, inalsa Bullet Chopper, muito prático e bom helicóptero")</f>
        <v>Uma adição obrigatória para a cozinha., Fácil de usar, excelente, rápido e afiado ... trabalho rápido, bom produto, qualidade do motor é bom, apenas dúvida sobre o jar, não é muito forte, inalsa Bullet Chopper, muito prático e bom helicóptero</v>
      </c>
      <c r="E1255" s="29" t="str">
        <f>IFERROR(__xludf.DUMMYFUNCTION("GOOGLETRANSLATE(C1255, ""en"", ""pt-br"")"),"Após cerca de um mês de uso, isso é um bom produto da Inalsa, aqui estão os principais destaques: 1. Tem opções de velocidade dupla para cortar cebolas/tomates para tadka e também fazer purê/chutnies etc. faz ambos sem esforço.2. Motor poderoso de 400 wat"&amp;"ts corta as cebolas como uma faca quente através da manteiga. Fácil de limpar, pois as lâminas podem ser separadas do jarro principal. Obrigado, muito útil e útil para as necessidades diárias da cozinha. Preço de condomínio., Excelente produto. Te amo, bo"&amp;"m produto, o produto funciona bem e poderoso também. A caixa chegou danificada. Mas o produto não é. Bom valor para o dinheiro., Bom produto, a qualidade do motor é pesada, apenas preocupada com o JAR, solicito que a empresa o torne disponível na Amazon.,"&amp;" Excelente produto com um motor pesado de tigela, facilita o corte de vegetais em alguns segundos, isso é Um acessório de cozinha muito bom para as necessidades de cada família. Ajuda a cortar e cortar vegetais rapidamente. Eu usei outros helicópteros no "&amp;"passado; Isso tem um desempenho muito melhor cortado.")</f>
        <v>Após cerca de um mês de uso, isso é um bom produto da Inalsa, aqui estão os principais destaques: 1. Tem opções de velocidade dupla para cortar cebolas/tomates para tadka e também fazer purê/chutnies etc. faz ambos sem esforço.2. Motor poderoso de 400 watts corta as cebolas como uma faca quente através da manteiga. Fácil de limpar, pois as lâminas podem ser separadas do jarro principal. Obrigado, muito útil e útil para as necessidades diárias da cozinha. Preço de condomínio., Excelente produto. Te amo, bom produto, o produto funciona bem e poderoso também. A caixa chegou danificada. Mas o produto não é. Bom valor para o dinheiro., Bom produto, a qualidade do motor é pesada, apenas preocupada com o JAR, solicito que a empresa o torne disponível na Amazon., Excelente produto com um motor pesado de tigela, facilita o corte de vegetais em alguns segundos, isso é Um acessório de cozinha muito bom para as necessidades de cada família. Ajuda a cortar e cortar vegetais rapidamente. Eu usei outros helicópteros no passado; Isso tem um desempenho muito melhor cortado.</v>
      </c>
    </row>
    <row r="1256">
      <c r="A1256" s="9" t="s">
        <v>5087</v>
      </c>
      <c r="B1256" s="29" t="str">
        <f>VLOOKUP(dados!A1256, reviews!A:G, 5, FALSE)</f>
        <v>Over all good,Good product, but power switch,Good product,Quality product by Borosil!,Awesome 👌,Easy to use,Excellent,Its a very user friendly product.</v>
      </c>
      <c r="C1256" s="29" t="str">
        <f>VLOOKUP(dados!A1256, reviews!A:G, 6, FALSE)</f>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v>
      </c>
      <c r="D1256" s="29" t="str">
        <f>IFERROR(__xludf.DUMMYFUNCTION("GOOGLETRANSLATE(B1256, ""en"", ""pt-br"")"),"Em todo o bom e bom produto, mas com o primeiro interruptor, bom produto, produto de qualidade da Borosil!, Incrível 👌, fácil de usar, excelente, é um produto muito amigável.")</f>
        <v>Em todo o bom e bom produto, mas com o primeiro interruptor, bom produto, produto de qualidade da Borosil!, Incrível 👌, fácil de usar, excelente, é um produto muito amigável.</v>
      </c>
      <c r="E1256" s="29" t="str">
        <f>IFERROR(__xludf.DUMMYFUNCTION("GOOGLETRANSLATE(C1256, ""en"", ""pt-br"")"),"Sobre todo o bom, fácil de usar. É totalmente depende de quanto você preenche o nível da água. Como 50ml para ferver, é apenas uma maneira diferente de enganar as pessoas para mostrar instalações suaves, médias e duras., Bom produto e faz o trabalho como "&amp;"anunciado. O AutoCut Off está lá, mas o interruptor de energia não desligou automaticamente. Isso deve ser feito manualmente, o que podemos esquecer. Uma vez resfriado, isso liga a água uniforme não está lá. Portanto, desligar é obrigatório. Eu mantive um"&amp;" plugue inteligente com 20 minutos contando para superar esse problema. No geral, é um bom equipamento para ferver ovos. Mas deveria ter havido 1 alteração no botão. Ele diz que é automático, mas a máquina não está realmente desligada ... ela será reinici"&amp;"ada novamente quando a máquina esfriar porque o botão liga / desliga foi mantido. O botão deve ser desligado automaticamente para evitar o reinício. Portanto, 1 estrela menos., Usou três vezes até agora, ferveu 8 ovos de cada vez e resultados perfeitos a "&amp;"cada vez. Muito feliz com o produto. Fornecerá revisão de longo prazo após dois meses. Obrigado Amazon. Obrigado Borosil., Fácil de usar o produto, os ovos rockados perfeitamente. Siga o manual corretamente, então será fácil de usar., Um produto muito ami"&amp;"gável. Faz ovos cozidos muito rapidamente. Além disso, a característica da fabricação de ovos escalfados é útil. No geral, um produto muito bom.")</f>
        <v>Sobre todo o bom, fácil de usar. É totalmente depende de quanto você preenche o nível da água. Como 50ml para ferver, é apenas uma maneira diferente de enganar as pessoas para mostrar instalações suaves, médias e duras., Bom produto e faz o trabalho como anunciado. O AutoCut Off está lá, mas o interruptor de energia não desligou automaticamente. Isso deve ser feito manualmente, o que podemos esquecer. Uma vez resfriado, isso liga a água uniforme não está lá. Portanto, desligar é obrigatório. Eu mantive um plugue inteligente com 20 minutos contando para superar esse problema. No geral, é um bom equipamento para ferver ovos. Mas deveria ter havido 1 alteração no botão. Ele diz que é automático, mas a máquina não está realmente desligada ... ela será reiniciada novamente quando a máquina esfriar porque o botão liga / desliga foi mantido. O botão deve ser desligado automaticamente para evitar o reinício. Portanto, 1 estrela menos., Usou três vezes até agora, ferveu 8 ovos de cada vez e resultados perfeitos a cada vez. Muito feliz com o produto. Fornecerá revisão de longo prazo após dois meses. Obrigado Amazon. Obrigado Borosil., Fácil de usar o produto, os ovos rockados perfeitamente. Siga o manual corretamente, então será fácil de usar., Um produto muito amigável. Faz ovos cozidos muito rapidamente. Além disso, a característica da fabricação de ovos escalfados é útil. No geral, um produto muito bom.</v>
      </c>
    </row>
    <row r="1257">
      <c r="A1257" s="9" t="s">
        <v>5091</v>
      </c>
      <c r="B1257" s="29" t="str">
        <f>VLOOKUP(dados!A1257, reviews!A:G, 5, FALSE)</f>
        <v>Good!!,Came with a small scratch on the casing and box was not sealed,Heat fast, cut off once a while,Small sized griller which is not so bad,Size issues,Works fine. No issues, cord could have been longer,A must buy,Its good.</v>
      </c>
      <c r="C1257" s="29" t="str">
        <f>VLOOKUP(dados!A1257, reviews!A:G, 6, FALSE)</f>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v>
      </c>
      <c r="D1257" s="29" t="str">
        <f>IFERROR(__xludf.DUMMYFUNCTION("GOOGLETRANSLATE(B1257, ""en"", ""pt-br"")"),"Bom !!, veio com um pequeno arranhão no invólucro e a caixa não foi selada, aqueça rapidamente, cortada de vez em quando, griller de tamanho pequeno, que não é tão ruim, problemas de tamanho, funcionam bem. Sem problemas, Cord poderia ter sido mais longo,"&amp;" obrigatório, é bom.")</f>
        <v>Bom !!, veio com um pequeno arranhão no invólucro e a caixa não foi selada, aqueça rapidamente, cortada de vez em quando, griller de tamanho pequeno, que não é tão ruim, problemas de tamanho, funcionam bem. Sem problemas, Cord poderia ter sido mais longo, obrigatório, é bom.</v>
      </c>
      <c r="E1257" s="29" t="str">
        <f>IFERROR(__xludf.DUMMYFUNCTION("GOOGLETRANSLATE(C1257, ""en"", ""pt-br"")"),"Um ótimo produto de conveniência. A única desvantagem é o tempo de aquecimento ou grelhar parece ser um pouco mais após o uso regular do que era quando novo. Mas, caso contrário, um ótimo produto para reduzir toda a agitação !! veio com um pequeno arranhã"&amp;"o no revestimento e a caixa não foi selada. Caso contrário, está tudo bem, profissionais: 1. Bom valor da marca2. Garantia de dois anos3. Operação fácil4. Alimentos uniformemente cozidos. Preço decentemente.CONS: 1. A distribuição de peso não é mesmo. Toq"&amp;"ue ao pressionar a alça. O tempo de corte é confuso, principalmente o corte de energia antes que os alimentos sejam totalmente cozidos. Não há bloqueio para o Griller4. Nenhum regulador de energia sobre tudo o que é uma boa compra para uso doméstico. ,, O"&amp;" produto é ótimo, mas seu tamanho não é bom. Não sou capaz de cozinhar nem um sanduíche de pão jumbo. O pão sai do churrasco, e parte do sanduíche é deixada não cozida., Funciona bem. Sem problemas., Estou apaixonado por esta torradeira de grelhador! É tã"&amp;"o elegante e compacto em design, com acabamento SS completo para uso em segurança. A comida é cozida em minutos por causa de 1000 watts. É tão bom! Eu freqüentemente grelho meus vegetais, paneer, etc. nisso. Vem com o recurso de corte automático para evit"&amp;"ar que a alimentos queimassem, o bom para o gritos de 1000 W tão rápido. Mas um problema de alimentação de alimentação é muito curto.")</f>
        <v>Um ótimo produto de conveniência. A única desvantagem é o tempo de aquecimento ou grelhar parece ser um pouco mais após o uso regular do que era quando novo. Mas, caso contrário, um ótimo produto para reduzir toda a agitação !! veio com um pequeno arranhão no revestimento e a caixa não foi selada. Caso contrário, está tudo bem, profissionais: 1. Bom valor da marca2. Garantia de dois anos3. Operação fácil4. Alimentos uniformemente cozidos. Preço decentemente.CONS: 1. A distribuição de peso não é mesmo. Toque ao pressionar a alça. O tempo de corte é confuso, principalmente o corte de energia antes que os alimentos sejam totalmente cozidos. Não há bloqueio para o Griller4. Nenhum regulador de energia sobre tudo o que é uma boa compra para uso doméstico. ,, O produto é ótimo, mas seu tamanho não é bom. Não sou capaz de cozinhar nem um sanduíche de pão jumbo. O pão sai do churrasco, e parte do sanduíche é deixada não cozida., Funciona bem. Sem problemas., Estou apaixonado por esta torradeira de grelhador! É tão elegante e compacto em design, com acabamento SS completo para uso em segurança. A comida é cozida em minutos por causa de 1000 watts. É tão bom! Eu freqüentemente grelho meus vegetais, paneer, etc. nisso. Vem com o recurso de corte automático para evitar que a alimentos queimassem, o bom para o gritos de 1000 W tão rápido. Mas um problema de alimentação de alimentação é muito curto.</v>
      </c>
    </row>
    <row r="1258">
      <c r="A1258" s="9" t="s">
        <v>5095</v>
      </c>
      <c r="B1258" s="29" t="str">
        <f>VLOOKUP(dados!A1258, reviews!A:G, 5, FALSE)</f>
        <v>Excellent to Use, Adequate Cord length but Too Expensive compared with other &amp; Hope for Durability.,Easy to handle, hassle free,Good,Nice product 👍,Good product,Overall good product,Product not working more than 6months. At that time 797 rs now 999 rs. Too much,Not Shock proof at all</v>
      </c>
      <c r="C1258" s="29" t="str">
        <f>VLOOKUP(dados!A1258, reviews!A:G, 6, FALSE)</f>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v>
      </c>
      <c r="D1258" s="29" t="str">
        <f>IFERROR(__xludf.DUMMYFUNCTION("GOOGLETRANSLATE(B1258, ""en"", ""pt-br"")"),"Excelente para uso, comprimento adequado do cordão, mas muito caro em comparação com outros e esperança de durabilidade., Fácil de manusear, sem complicações, bom e agradável produto 👍, bom produto, bom produto geral, produto e produto não funcionando ma"&amp;"is de 6 meses. Naquela época, 797 Rs agora 999 Rs. Muito, não é à prova de choque")</f>
        <v>Excelente para uso, comprimento adequado do cordão, mas muito caro em comparação com outros e esperança de durabilidade., Fácil de manusear, sem complicações, bom e agradável produto 👍, bom produto, bom produto geral, produto e produto não funcionando mais de 6 meses. Naquela época, 797 Rs agora 999 Rs. Muito, não é à prova de choque</v>
      </c>
      <c r="E1258" s="29" t="str">
        <f>IFERROR(__xludf.DUMMYFUNCTION("GOOGLETRANSLATE(C1258, ""en"", ""pt-br"")"),"1) O comprimento do cordão pode ser aumentado pouco mais (~ 5cm-10cm) porque o tamanho médio do balde é adequado para cobertura do comprimento do cordão para água de até 60% da água no balde2) Excelentemente fácil de usar para pessoas idosas (acima de 75 "&amp;"anos) também 3) Esperança, a durabilidade é boa para o preço 4) é muito caro quando comparado com outras marcas de topo (então, a esperança não será reparada facilmente em comparação com outras marcas), quero dizer que é uma haste de aquecimento de água, "&amp;"certo. ?? Então, obviamente, vou usá-lo para aquecer a água para tomar banho, boa, prova, bom produto, ok, https: //m.media-amazon.com/images/w/webp_402378-t1/images/i/71imdas7aal. _Sy88.jpg, eles estão dizendo que é à prova de choque. Mas no manual do us"&amp;"uário, eles disseram não colocar a mão na água durante o aquecimento. Não entendo como eles estão reivindicando isso como prova de choque.")</f>
        <v>1) O comprimento do cordão pode ser aumentado pouco mais (~ 5cm-10cm) porque o tamanho médio do balde é adequado para cobertura do comprimento do cordão para água de até 60% da água no balde2) Excelentemente fácil de usar para pessoas idosas (acima de 75 anos) também 3) Esperança, a durabilidade é boa para o preço 4) é muito caro quando comparado com outras marcas de topo (então, a esperança não será reparada facilmente em comparação com outras marcas), quero dizer que é uma haste de aquecimento de água, certo. ?? Então, obviamente, vou usá-lo para aquecer a água para tomar banho, boa, prova, bom produto, ok, https: //m.media-amazon.com/images/w/webp_402378-t1/images/i/71imdas7aal. _Sy88.jpg, eles estão dizendo que é à prova de choque. Mas no manual do usuário, eles disseram não colocar a mão na água durante o aquecimento. Não entendo como eles estão reivindicando isso como prova de choque.</v>
      </c>
    </row>
    <row r="1259">
      <c r="A1259" s="9" t="s">
        <v>5099</v>
      </c>
      <c r="B1259" s="29" t="str">
        <f>VLOOKUP(dados!A1259, reviews!A:G, 5, FALSE)</f>
        <v>Ok but not for deep cleaning,Just ok. Trips frequently,It’s good product, however it’s getting heated up very fast.,It is very helpful,heat and stop after 10 minutes use,Good,Handy and good quality vacuum cleaner,Deep cleaning</v>
      </c>
      <c r="C1259" s="29" t="str">
        <f>VLOOKUP(dados!A1259, reviews!A:G, 6, FALSE)</f>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product.,It’s mostly used for cleaning sofa and bed corners. It’s getting hot very fast and getting tripped.,This product is very helpful in cleaning.,Easily operate and many function so easy clean every corner and whole place,Hi Heat,Liked,Helpful</v>
      </c>
      <c r="D1259" s="29" t="str">
        <f>IFERROR(__xludf.DUMMYFUNCTION("GOOGLETRANSLATE(B1259, ""en"", ""pt-br"")"),"Ok, mas não para a limpeza profunda, apenas ok. Viagens frequentemente, é um bom produto, no entanto, está ficando muito rápido., É muito útil, aquecer e parar após 10 minutos de uso, bom, prático e de boa qualidade a pó de pó de limpeza, limpeza profunda")</f>
        <v>Ok, mas não para a limpeza profunda, apenas ok. Viagens frequentemente, é um bom produto, no entanto, está ficando muito rápido., É muito útil, aquecer e parar após 10 minutos de uso, bom, prático e de boa qualidade a pó de pó de limpeza, limpeza profunda</v>
      </c>
      <c r="E1259" s="29" t="str">
        <f>IFERROR(__xludf.DUMMYFUNCTION("GOOGLETRANSLATE(C1259, ""en"", ""pt-br"")"),"Prático, mas sem limpeza de carpetes. Paradas em 10-15 minutos de uso contínuo. Tire mais 10 minutos para esfriar e reiniciar ... Ok, para os carros podem ser. A limpeza do filtro é difícil. Devolvi meu produto., O equipamento viaja com muita frequência d"&amp;"evido ao superaquecimento. Está acontecendo quase a cada 5 minutos e leva Upton 30 minutos para esfriar. Não é um bom produto., Ele é usado principalmente para limpar o sofá e os cantos da cama. Está ficando quente muito rápido e disparando., Este produto"&amp;" é muito útil na limpeza., Opera facilmente e muitos funcionam tão fácil limpar todos os cantos e todo o lugar, oi calor, gostei, útil")</f>
        <v>Prático, mas sem limpeza de carpetes. Paradas em 10-15 minutos de uso contínuo. Tire mais 10 minutos para esfriar e reiniciar ... Ok, para os carros podem ser. A limpeza do filtro é difícil. Devolvi meu produto., O equipamento viaja com muita frequência devido ao superaquecimento. Está acontecendo quase a cada 5 minutos e leva Upton 30 minutos para esfriar. Não é um bom produto., Ele é usado principalmente para limpar o sofá e os cantos da cama. Está ficando quente muito rápido e disparando., Este produto é muito útil na limpeza., Opera facilmente e muitos funcionam tão fácil limpar todos os cantos e todo o lugar, oi calor, gostei, útil</v>
      </c>
    </row>
    <row r="1260">
      <c r="A1260" s="9" t="s">
        <v>5103</v>
      </c>
      <c r="B1260" s="29" t="str">
        <f>VLOOKUP(dados!A1260, reviews!A:G, 5, FALSE)</f>
        <v>Ok product but not for winter,Easy to use,There's no support for the product . You will not get the warranty.,👌👌👌,Value for money,Good,Good,Quality of the product is not as I expected.</v>
      </c>
      <c r="C1260" s="29" t="str">
        <f>VLOOKUP(dados!A1260, reviews!A:G, 6, FALSE)</f>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compact,छोटे परिवार के लिए सही है ज्यादा पानी वालों के लिए नहीं,Good,Quality of the product is not as I expected. I does not warm the water as it should be.</v>
      </c>
      <c r="D1260" s="29" t="str">
        <f>IFERROR(__xludf.DUMMYFUNCTION("GOOGLETRANSLATE(B1260, ""en"", ""pt-br"")"),"Ok produto, mas não para o inverno, fácil de usar, não há suporte para o produto. Você não receberá a garantia., 👌👌👌, Valor para dinheiro, boa, boa, qualidade do produto não é como eu esperava.")</f>
        <v>Ok produto, mas não para o inverno, fácil de usar, não há suporte para o produto. Você não receberá a garantia., 👌👌👌, Valor para dinheiro, boa, boa, qualidade do produto não é como eu esperava.</v>
      </c>
      <c r="E1260" s="29" t="str">
        <f>IFERROR(__xludf.DUMMYFUNCTION("GOOGLETRANSLATE(C1260, ""en"", ""pt-br"")"),"Não é útil no inverno, pois a água está chegando à temperatura normal. ,, Não há suporte para o produto. Você não receberá a garantia. Deve ser mencionado em algum lugar., Muito bom, eu pedi novamente, estou usando o último dos últimos dois anos. Trabalha"&amp;"ndo muito bem e ocupe menos espaço e muito compacto, छोटे परिवार के लिए सही है ज्यादा पानी वालों के नहीं नहीं, boa, a qualidade do produto não é como eu esperava. Eu não aqueço a água como deveria ser.")</f>
        <v>Não é útil no inverno, pois a água está chegando à temperatura normal. ,, Não há suporte para o produto. Você não receberá a garantia. Deve ser mencionado em algum lugar., Muito bom, eu pedi novamente, estou usando o último dos últimos dois anos. Trabalhando muito bem e ocupe menos espaço e muito compacto, छोटे परिवार के लिए सही है ज्यादा पानी वालों के नहीं नहीं, boa, a qualidade do produto não é como eu esperava. Eu não aqueço a água como deveria ser.</v>
      </c>
    </row>
    <row r="1261">
      <c r="A1261" s="9" t="s">
        <v>5107</v>
      </c>
      <c r="B1261" s="29" t="str">
        <f>VLOOKUP(dados!A1261, reviews!A:G, 5, FALSE)</f>
        <v>Good product but pipes/installation/plug not included,engineer charge 850/- he said company not provide instaltion bill,Good product,Its ok Good, not bad,Geyser is very Good,Genuine,Average,time saving</v>
      </c>
      <c r="C1261" s="29" t="str">
        <f>VLOOKUP(dados!A1261, reviews!A:G, 6, FALSE)</f>
        <v>I bought 5ltr 3kw model 10 days before Provides hot water just below boiling temprature 80°-95°C in 4-5min if provided mild cold tank water and auto cutoff after reaching hot temprature,Pipes/installation/plug not included installation is 350 +18℅=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v>
      </c>
      <c r="D1261" s="29" t="str">
        <f>IFERROR(__xludf.DUMMYFUNCTION("GOOGLETRANSLATE(B1261, ""en"", ""pt-br"")"),"Bom produto, mas tubos/instalação/plugue não incluído, engenheiro cobrança 850/- ele disse")</f>
        <v>Bom produto, mas tubos/instalação/plugue não incluído, engenheiro cobrança 850/- ele disse</v>
      </c>
      <c r="E1261" s="29" t="str">
        <f>IFERROR(__xludf.DUMMYFUNCTION("GOOGLETRANSLATE(C1261, ""en"", ""pt-br"")"),"Comprei o modelo 5LTR 3KW 10 dias antes de proporcionar água quente logo abaixo da temperatura e fervendo 80 ° -95 ° C em 4-5min se fornecida água fria leve e corte automático após atingir a temperatura quente, tubos/instalação/plugue não incluído é 350 +"&amp;" 18℅ = 413 Rs e eu também paguei 440rs montantes para 2 18 polegadas de aço que comprei da instalação do engenheiro, que é muito maior que a taxa de tubos de mercado (200-250rs), é melhor comprá-lo no mercado se você comprar isso gyeseral também No invólu"&amp;"cro de tubos fornecido por engenhso, esteja pronto para gastar 700 a 1000 Rs extra se você quiser comprar este gyeser, mesmo que seu banheiro esteja equipado com válvulas de ângulo e outros ajustes de gyeser. Luz solar + Tempratura cai abaixo de 5 ° C Na "&amp;"minha área, sou da região do meio up, comprei 5ltr 3kW Modelo 10 dias antes de fornecer água quente logo abaixo da temperatura e fervura de 80 ° -95 ° C em 4-5 minutos se fornecida água fria leve e água e Corte automático Após atingir a temperatura quente"&amp;", tubos/instalação/plugue não incluídos a instalação é 350 +18℅ também = 413 Rs e também paguei 440rs quantidades elevadas por 2 polegadas de aço de 18 polegadas que comprei da instalação do engenheiro que é muito maior que a taxa de tubulação de mercado "&amp;"(200-250rs) é melhor comprá-lo no mercado se você comprar este gyeserral também, não havia MRP no wrapper Pipes fornecido pelo engenheiro cobrança 850/- ele disse muito e força para pagar a garantia mais a garantia não está disponível ... é demais ... nen"&amp;"hum plugue de 3 pinos e mangueira de água fornecidos ... se a utensília traseira cobrar as taxas de fixação no momento da ordem é bom, olhe é bom que isso GYSAR HINDWARE, eu enfrentei o problema com o fio é muito curto e o conjunto de plugues de três pino"&amp;"s não é dado. Estou usando a condição de trabalho do último mês é bom. INSTANTE Uma desvantagem é a instalação não é gratuita, eu tive que pagar Rs 370 extra enquanto comprava meu próprio plug e coecting Pipe Amazon ocultar essa coisa., bom produto, é um "&amp;"bom produto, fácil de instalar e manipular")</f>
        <v>Comprei o modelo 5LTR 3KW 10 dias antes de proporcionar água quente logo abaixo da temperatura e fervendo 80 ° -95 ° C em 4-5min se fornecida água fria leve e corte automático após atingir a temperatura quente, tubos/instalação/plugue não incluído é 350 + 18℅ = 413 Rs e eu também paguei 440rs montantes para 2 18 polegadas de aço que comprei da instalação do engenheiro, que é muito maior que a taxa de tubos de mercado (200-250rs), é melhor comprá-lo no mercado se você comprar isso gyeseral também No invólucro de tubos fornecido por engenhso, esteja pronto para gastar 700 a 1000 Rs extra se você quiser comprar este gyeser, mesmo que seu banheiro esteja equipado com válvulas de ângulo e outros ajustes de gyeser. Luz solar + Tempratura cai abaixo de 5 ° C Na minha área, sou da região do meio up, comprei 5ltr 3kW Modelo 10 dias antes de fornecer água quente logo abaixo da temperatura e fervura de 80 ° -95 ° C em 4-5 minutos se fornecida água fria leve e água e Corte automático Após atingir a temperatura quente, tubos/instalação/plugue não incluídos a instalação é 350 +18℅ também = 413 Rs e também paguei 440rs quantidades elevadas por 2 polegadas de aço de 18 polegadas que comprei da instalação do engenheiro que é muito maior que a taxa de tubulação de mercado (200-250rs) é melhor comprá-lo no mercado se você comprar este gyeserral também, não havia MRP no wrapper Pipes fornecido pelo engenheiro cobrança 850/- ele disse muito e força para pagar a garantia mais a garantia não está disponível ... é demais ... nenhum plugue de 3 pinos e mangueira de água fornecidos ... se a utensília traseira cobrar as taxas de fixação no momento da ordem é bom, olhe é bom que isso GYSAR HINDWARE, eu enfrentei o problema com o fio é muito curto e o conjunto de plugues de três pinos não é dado. Estou usando a condição de trabalho do último mês é bom. INSTANTE Uma desvantagem é a instalação não é gratuita, eu tive que pagar Rs 370 extra enquanto comprava meu próprio plug e coecting Pipe Amazon ocultar essa coisa., bom produto, é um bom produto, fácil de instalar e manipular</v>
      </c>
    </row>
    <row r="1262">
      <c r="A1262" s="9" t="s">
        <v>5111</v>
      </c>
      <c r="B1262" s="29" t="str">
        <f>VLOOKUP(dados!A1262, reviews!A:G, 5, FALSE)</f>
        <v>Sufficient for a Family,Makes superior coffee,almost par with those brewed in CCD,value for money,Nice,Doesn’t justify the Description,Good for the price,Unnecessary Buy,Delivery without Warranty Card</v>
      </c>
      <c r="C1262" s="29" t="str">
        <f>VLOOKUP(dados!A1262, reviews!A:G, 6, FALSE)</f>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v>
      </c>
      <c r="D1262" s="29" t="str">
        <f>IFERROR(__xludf.DUMMYFUNCTION("GOOGLETRANSLATE(B1262, ""en"", ""pt-br"")"),"O suficiente para uma família, faz café superior, quase a par dos fabricados no CCD, valor ao dinheiro, legal, não justifica a descrição, bom para o preço, compra desnecessária, entrega sem cartão de garantia")</f>
        <v>O suficiente para uma família, faz café superior, quase a par dos fabricados no CCD, valor ao dinheiro, legal, não justifica a descrição, bom para o preço, compra desnecessária, entrega sem cartão de garantia</v>
      </c>
      <c r="E1262" s="29" t="str">
        <f>IFERROR(__xludf.DUMMYFUNCTION("GOOGLETRANSLATE(C1262, ""en"", ""pt-br"")"),"Esta máquina pode facilmente fabricar café para uma família de 4-6 membros por vez. Algumas pessoas perguntaram se isso pode ser usado em um café. A resposta é simples 'não'. A razão é que esta não é uma máquina sofisticada como uma cervejaria de café com"&amp;"ercial profissional. Agora, minha experiência com esta máquina foi boa. E uma coisa ruim era que eu não recebi a manga do tubo de vapor. Exceto isso, tudo estava bem embalado. Ao comprar esta máquina, enxaguar a passagem interna. Jogue a primeira água da "&amp;"máquina. Lave completamente a colher de caraffa, disco, filtra e medição. Lembre -se de nunca usar gel de lavagem de prato ou sabonetes para lavar a jarra, o disco ou qualquer outra coisa. Pode arruinar o aroma do café. Modo (eficiente conforme minha opin"&amp;"ião): 1. Encha a água no tanque. Não há necessidade de medi -lo, pois pode ser controlado com o seletor. Não anda seca. Pode danificar o elemento de aquecimento ou bomba. Ligue a máquina. Depois disso, despeje o café moído em pó dentro do filtro, nivele -"&amp;"o e pressione -o para comprimir. Eu uso a proporção 1: 2. 1 colher de café em pó para 2 colher de água na produção. Antes de mudar para o modo de gotejamento, abra a válvula de vapor e verifique se a pressão suficiente é construída. Colocando a jarra sob "&amp;"o disco, mova lentamente o seletor até a Europa e rapidamente o apoia para o ícone do vapor. Isso deixará o café florescer dentro. Após 5-7 segundos, mova lentamente o seletor até o café expresso. A decocção não deve ser muito lenta ou não muito escorrend"&amp;"o. Aguarde até que a quantidade desejada seja alcançada e altere rapidamente o seletor para o modo de vapor. Tome o leite em um copo que é um pouco maior que o nível de leite. Coloque o copo sob o tubo de vapor de forma que a ponta mergulhe apenas um pouc"&amp;"o de menisco do leite. Abra lentamente a válvula de vapor localizada ao lado. Vaporá -lo conforme sua necessidade. Misture o leite e a decocção. É embora não se lembre de não descobrir a tampa superior após o uso, pois ainda pode haver pressão dentro. Abr"&amp;"a a válvula de vapor e deixe toda a pressão ser liberada. Utilizado: Bombaim Island Espresso Grind Medium assado. Use apenas a moagem de café expresso ou talvez a moagem do filtro do sul da Índia. Não use AeroPress, V60 ou qualquer outra rotina, pois pode"&amp;" não produzir sabor desejado. Pessoalmente, como esta máquina. Pelo preço é bom e a qualidade de construção é moderada. Assista a alguns vídeos do YouTube se você for novo em máquinas de café. É muito fácil arruinar o café sem o conhecimento adequado. Voc"&amp;"ê também pode assistir a James Hoffmann. Ele é campeão do World Barista e compartilha dicas sobre café., Sou fã de café expresso. Toda vez que vou a uma articulação de café, costumo pedir um doppio (um café expresso duplo). Mas, esses preços são muito alt"&amp;"os se eu quisesse beber uma xícara de café expresso duas vezes todos os dias. Então, eu decidi comprar esta máquina. Uma coisa a dizer, a qualidade e a durabilidade depende do usuário. Se você se cuidar, a máquina cuidaria do seu copo de Joe. Sempre enxág"&amp;"ue a bandeja de gotejamento2. Use 10% de líquido de lavagem de pratos com 90% de água para limpar o CARAFE3. Não bata na cesta do filtro para soltar os terrenos usados. Corra a água sobre ela com força para soltar os terrenos. Isso é crucial porque os den"&amp;"tes podem afetar a qualidade4. Antes e depois de suas atividades de fabricação, certifique -se de limpar os internos. Para fazer isso, encha a jarra até a marca 4 com água engarrafada. Monte um filtro perma vazio. Ligue e defina a força para máx. Em cerca"&amp;" de um minuto, você pode ver fumegando água quente fluindo para a jarra. Verifique sua cor. Se for amarelo, enxágue e repita. Se for branco, seque tudo e desligue -o. Em seguida, faça o seu café Brewing ou monte -o de volta e ligue para o dia.5. Sempre de"&amp;"ixe o vapor sair. Quando você espalhar leite, limpe imediatamente o leite residual com um desbaste sem fiapos: nunca use água dura/torneira. Causa sérios problemas de escala de cal, que podem afetar bastante o sabor, a qualidade do seu café. Também pode c"&amp;"ausar problemas digestivos. Sempre use água macia (a água não deve ter um sabor salgado ou doce). Leve isso a sério. Por favor, não poste críticas enganosas, afirmando que minha máquina quebrou. O botão de vapor é a pior parte desta máquina. A máquina foi"&amp;" usada apenas por 14 dias. Então, o botão de vapor decidiu se soltar e cair. Liguei para o centro de serviço. Eles me disseram para trazê -lo para lá. O problema é que tenho apenas 17 anos e não posso dirigir. E o centro de serviço está longe. Então, remo"&amp;"vi o caixão de borracha e consertei o botão diretamente. Parece, mas acho que vou usá -lo apenas para aliviar a pressão, porque sempre a bebi preto. Mas esse problema me faz reduzir um início para usar a máquina. Use café aterrado fino. Eu uso o PB ou a e"&amp;"lite real de Narasu ousada. Atualmente, estou usando o pó de café orgânico Phalada Pure &amp; Cerre, em pó. Para obter os melhores resultados, você deve moer o café por conta própria. Se você não pode garantir que o café esteja fresco. Lembre -se de que usar "&amp;"café instantâneo em pó ou café misturado com chicória pode levar ao desastre, tanto para a máquina quanto para o seu estômago, respectivamente. Você também pode ir para o Lavazza. Mas, ele faz um buraco na sua carteira mais profundo que a trincheira Maria"&amp;"na.2. Use apenas a boa qualidade engarrafada/lata. Mantenha uma boa disciplina de limpeza4. Caso você tenha usado água dura/torneira, faça imediatamente uma descalgação. Consulte seu manual de instruções. Sempre toque o seu chão no filtro. Você deve aplic"&amp;"ar cerca de 30 libras de força. São cerca de 13 kg de força. Segure a força por cerca de 6 segundos e gire lentamente a adulteração antes de removê -la. Verifique se o bloqueio do filtro está acordado ao fazer isso como você pode ver, este é um verdadeiro"&amp;" fabricante de café expresso. Produz crema, desde que você use café fresco e correto. Para mim, produziu cerca de 4 mm Crema para um tiro duplo. Isso é bom para uma máquina acionada por vapor. Observe que esta é uma máquina acionada por vapor. Você nunca "&amp;"pode obter o acabamento das articulações de café, porque elas usam caldeiras duplas alimentadas por bombas de thermoblock. Embora os gostos sejam semelhantes, desde que você use os feijões corretos. Veja as fotos para ver o acabamento. As nuvens de Cirrus"&amp;" como Crema eram de café em pó com uma semana de idade. O crema marrom e rico é daquele pó de café orgânico que acabei de comprar. Você pode notar que o acabamento é diretamente proporcional à frescura? Isso se aplica até o gosto. A xícara de crema branca"&amp;" tinha um pouco de gosto amargo e deixou um sabor de bitteria na minha boca. A xícara de creme marrom tinha um gosto de café da melhor maneira possível, deixando um sabor nítido e noz. Além disso, depois de fazer algumas pesquisas, soube que um café expre"&amp;"sso deve ter três camadas. Um crema amargo, um meio doce e um fundo ácido de nozes. Você deve misturar isso antes de beber para ter o melhor tiro. Se você vir a imagem de vidro que eu anexei, poderá ver claramente essas camadas. No geral, esta é uma ótima"&amp;" máquina de café expresso para um iniciante. Faz ótimo café expresso e também é econômico. Como eu disse, se você tratar bem a máquina, a máquina trataria bem sua xícara de Joe., Sendo um entusiasta do café, o produto se encaixa na minha exigência. O temp"&amp;"o gasto é razoável. Ajuste da intensidade funciona bem. A ferramenta de pó é muito boa ... embora eu prefira café preto, a espuma ajuda a tomar um café cremoso perfeito para meus convidados. Feliz com a máquina, funciona bem e fácil de operar, infelizment"&amp;"e não estava embalada muito bem comprar o vendedor para que a colher de plástico que veio com a máquina foi quebrada, tudo estava embalado na caixa original com apenas uma fita para proteger a caixa ., Torna todo o processo de tornar o café mais difícil. "&amp;"Também ficou chocado ao saber que isso não está coberto pela política de retorno da Amazon. Meu mal, não verifiquei e agora estou preso a isso. A vida não é melhor depois de comprar isso., Cafeteira entregue sem cartão de garantia e manual de instruções")</f>
        <v>Esta máquina pode facilmente fabricar café para uma família de 4-6 membros por vez. Algumas pessoas perguntaram se isso pode ser usado em um café. A resposta é simples 'não'. A razão é que esta não é uma máquina sofisticada como uma cervejaria de café comercial profissional. Agora, minha experiência com esta máquina foi boa. E uma coisa ruim era que eu não recebi a manga do tubo de vapor. Exceto isso, tudo estava bem embalado. Ao comprar esta máquina, enxaguar a passagem interna. Jogue a primeira água da máquina. Lave completamente a colher de caraffa, disco, filtra e medição. Lembre -se de nunca usar gel de lavagem de prato ou sabonetes para lavar a jarra, o disco ou qualquer outra coisa. Pode arruinar o aroma do café. Modo (eficiente conforme minha opinião): 1. Encha a água no tanque. Não há necessidade de medi -lo, pois pode ser controlado com o seletor. Não anda seca. Pode danificar o elemento de aquecimento ou bomba. Ligue a máquina. Depois disso, despeje o café moído em pó dentro do filtro, nivele -o e pressione -o para comprimir. Eu uso a proporção 1: 2. 1 colher de café em pó para 2 colher de água na produção. Antes de mudar para o modo de gotejamento, abra a válvula de vapor e verifique se a pressão suficiente é construída. Colocando a jarra sob o disco, mova lentamente o seletor até a Europa e rapidamente o apoia para o ícone do vapor. Isso deixará o café florescer dentro. Após 5-7 segundos, mova lentamente o seletor até o café expresso. A decocção não deve ser muito lenta ou não muito escorrendo. Aguarde até que a quantidade desejada seja alcançada e altere rapidamente o seletor para o modo de vapor. Tome o leite em um copo que é um pouco maior que o nível de leite. Coloque o copo sob o tubo de vapor de forma que a ponta mergulhe apenas um pouco de menisco do leite. Abra lentamente a válvula de vapor localizada ao lado. Vaporá -lo conforme sua necessidade. Misture o leite e a decocção. É embora não se lembre de não descobrir a tampa superior após o uso, pois ainda pode haver pressão dentro. Abra a válvula de vapor e deixe toda a pressão ser liberada. Utilizado: Bombaim Island Espresso Grind Medium assado. Use apenas a moagem de café expresso ou talvez a moagem do filtro do sul da Índia. Não use AeroPress, V60 ou qualquer outra rotina, pois pode não produzir sabor desejado. Pessoalmente, como esta máquina. Pelo preço é bom e a qualidade de construção é moderada. Assista a alguns vídeos do YouTube se você for novo em máquinas de café. É muito fácil arruinar o café sem o conhecimento adequado. Você também pode assistir a James Hoffmann. Ele é campeão do World Barista e compartilha dicas sobre café., Sou fã de café expresso. Toda vez que vou a uma articulação de café, costumo pedir um doppio (um café expresso duplo). Mas, esses preços são muito altos se eu quisesse beber uma xícara de café expresso duas vezes todos os dias. Então, eu decidi comprar esta máquina. Uma coisa a dizer, a qualidade e a durabilidade depende do usuário. Se você se cuidar, a máquina cuidaria do seu copo de Joe. Sempre enxágue a bandeja de gotejamento2. Use 10% de líquido de lavagem de pratos com 90% de água para limpar o CARAFE3. Não bata na cesta do filtro para soltar os terrenos usados. Corra a água sobre ela com força para soltar os terrenos. Isso é crucial porque os dentes podem afetar a qualidade4. Antes e depois de suas atividades de fabricação, certifique -se de limpar os internos. Para fazer isso, encha a jarra até a marca 4 com água engarrafada. Monte um filtro perma vazio. Ligue e defina a força para máx. Em cerca de um minuto, você pode ver fumegando água quente fluindo para a jarra. Verifique sua cor. Se for amarelo, enxágue e repita. Se for branco, seque tudo e desligue -o. Em seguida, faça o seu café Brewing ou monte -o de volta e ligue para o dia.5. Sempre deixe o vapor sair. Quando você espalhar leite, limpe imediatamente o leite residual com um desbaste sem fiapos: nunca use água dura/torneira. Causa sérios problemas de escala de cal, que podem afetar bastante o sabor, a qualidade do seu café. Também pode causar problemas digestivos. Sempre use água macia (a água não deve ter um sabor salgado ou doce). Leve isso a sério. Por favor, não poste críticas enganosas, afirmando que minha máquina quebrou. O botão de vapor é a pior parte desta máquina. A máquina foi usada apenas por 14 dias. Então, o botão de vapor decidiu se soltar e cair. Liguei para o centro de serviço. Eles me disseram para trazê -lo para lá. O problema é que tenho apenas 17 anos e não posso dirigir. E o centro de serviço está longe. Então, removi o caixão de borracha e consertei o botão diretamente. Parece, mas acho que vou usá -lo apenas para aliviar a pressão, porque sempre a bebi preto. Mas esse problema me faz reduzir um início para usar a máquina. Use café aterrado fino. Eu uso o PB ou a elite real de Narasu ousada. Atualmente, estou usando o pó de café orgânico Phalada Pure &amp; Cerre, em pó. Para obter os melhores resultados, você deve moer o café por conta própria. Se você não pode garantir que o café esteja fresco. Lembre -se de que usar café instantâneo em pó ou café misturado com chicória pode levar ao desastre, tanto para a máquina quanto para o seu estômago, respectivamente. Você também pode ir para o Lavazza. Mas, ele faz um buraco na sua carteira mais profundo que a trincheira Mariana.2. Use apenas a boa qualidade engarrafada/lata. Mantenha uma boa disciplina de limpeza4. Caso você tenha usado água dura/torneira, faça imediatamente uma descalgação. Consulte seu manual de instruções. Sempre toque o seu chão no filtro. Você deve aplicar cerca de 30 libras de força. São cerca de 13 kg de força. Segure a força por cerca de 6 segundos e gire lentamente a adulteração antes de removê -la. Verifique se o bloqueio do filtro está acordado ao fazer isso como você pode ver, este é um verdadeiro fabricante de café expresso. Produz crema, desde que você use café fresco e correto. Para mim, produziu cerca de 4 mm Crema para um tiro duplo. Isso é bom para uma máquina acionada por vapor. Observe que esta é uma máquina acionada por vapor. Você nunca pode obter o acabamento das articulações de café, porque elas usam caldeiras duplas alimentadas por bombas de thermoblock. Embora os gostos sejam semelhantes, desde que você use os feijões corretos. Veja as fotos para ver o acabamento. As nuvens de Cirrus como Crema eram de café em pó com uma semana de idade. O crema marrom e rico é daquele pó de café orgânico que acabei de comprar. Você pode notar que o acabamento é diretamente proporcional à frescura? Isso se aplica até o gosto. A xícara de crema branca tinha um pouco de gosto amargo e deixou um sabor de bitteria na minha boca. A xícara de creme marrom tinha um gosto de café da melhor maneira possível, deixando um sabor nítido e noz. Além disso, depois de fazer algumas pesquisas, soube que um café expresso deve ter três camadas. Um crema amargo, um meio doce e um fundo ácido de nozes. Você deve misturar isso antes de beber para ter o melhor tiro. Se você vir a imagem de vidro que eu anexei, poderá ver claramente essas camadas. No geral, esta é uma ótima máquina de café expresso para um iniciante. Faz ótimo café expresso e também é econômico. Como eu disse, se você tratar bem a máquina, a máquina trataria bem sua xícara de Joe., Sendo um entusiasta do café, o produto se encaixa na minha exigência. O tempo gasto é razoável. Ajuste da intensidade funciona bem. A ferramenta de pó é muito boa ... embora eu prefira café preto, a espuma ajuda a tomar um café cremoso perfeito para meus convidados. Feliz com a máquina, funciona bem e fácil de operar, infelizmente não estava embalada muito bem comprar o vendedor para que a colher de plástico que veio com a máquina foi quebrada, tudo estava embalado na caixa original com apenas uma fita para proteger a caixa ., Torna todo o processo de tornar o café mais difícil. Também ficou chocado ao saber que isso não está coberto pela política de retorno da Amazon. Meu mal, não verifiquei e agora estou preso a isso. A vida não é melhor depois de comprar isso., Cafeteira entregue sem cartão de garantia e manual de instruções</v>
      </c>
    </row>
    <row r="1263">
      <c r="A1263" s="9" t="s">
        <v>5117</v>
      </c>
      <c r="B1263" s="29" t="str">
        <f>VLOOKUP(dados!A1263, reviews!A:G, 5, FALSE)</f>
        <v>Like it,Nice 👍 he,Iron worse grinder still usefull,Good,Nice work,Good for,Mixer is good. But package is very shabby. Wanted to gift it. But changed my mind,आवाज बहुत आती है बाकी मिक्सर accha hai</v>
      </c>
      <c r="C1263" s="29" t="str">
        <f>VLOOKUP(dados!A1263, reviews!A:G, 6, FALSE)</f>
        <v>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v>
      </c>
      <c r="D1263" s="29" t="str">
        <f>IFERROR(__xludf.DUMMYFUNCTION("GOOGLETRANSLATE(B1263, ""en"", ""pt-br"")"),"Como, bom 👍 ele, o pior moedor de ferro ainda útil, bom, bom trabalho, bom para, o misturador é bom. Mas o pacote é muito surrado. Queria presenteá -lo. Mas mudei de idéia, आवाज बहुत आती है बाकी मिक्सर accha hai")</f>
        <v>Como, bom 👍 ele, o pior moedor de ferro ainda útil, bom, bom trabalho, bom para, o misturador é bom. Mas o pacote é muito surrado. Queria presenteá -lo. Mas mudei de idéia, आवाज बहुत आती है बाकी मिक्सर accha hai</v>
      </c>
      <c r="E1263" s="29" t="str">
        <f>IFERROR(__xludf.DUMMYFUNCTION("GOOGLETRANSLATE(C1263, ""en"", ""pt-br"")"),"Valor do dinheiro, Bahot Achha Product Ele, o Iron foi danificado em apenas 1 ano. Durante os meses, usei antes disso, apenas usando ocasionalmente como 1 vez no mês. Mesmos usos do moedor. Mas atualmente o moedor funcionando bem. Esta data de revisão 30 "&amp;"dez ""22 Produto comprado em 7 de outubro"" 21., todo produto bom. Estou feliz, bom produto da vida longa, bom ,, alto jyada hai")</f>
        <v>Valor do dinheiro, Bahot Achha Product Ele, o Iron foi danificado em apenas 1 ano. Durante os meses, usei antes disso, apenas usando ocasionalmente como 1 vez no mês. Mesmos usos do moedor. Mas atualmente o moedor funcionando bem. Esta data de revisão 30 dez "22 Produto comprado em 7 de outubro" 21., todo produto bom. Estou feliz, bom produto da vida longa, bom ,, alto jyada hai</v>
      </c>
    </row>
    <row r="1264">
      <c r="A1264" s="9" t="s">
        <v>5121</v>
      </c>
      <c r="B1264" s="29" t="str">
        <f>VLOOKUP(dados!A1264, reviews!A:G, 5, FALSE)</f>
        <v>It’s a good product in this price.,Nice product,It's very good,Good for use,Velue for money product,Good product,Value for money purchase,It is worthy</v>
      </c>
      <c r="C1264" s="29" t="str">
        <f>VLOOKUP(dados!A1264, reviews!A:G, 6, FALSE)</f>
        <v>It’s a good product and I’m using it since 1 week and it’s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v>
      </c>
      <c r="D1264" s="29" t="str">
        <f>IFERROR(__xludf.DUMMYFUNCTION("GOOGLETRANSLATE(B1264, ""en"", ""pt-br"")"),"É um bom produto nesse preço., Bom produto, é muito bom, bom para uso, Velue for Money Product, bom produto, compra de valor para dinheiro, é digno")</f>
        <v>É um bom produto nesse preço., Bom produto, é muito bom, bom para uso, Velue for Money Product, bom produto, compra de valor para dinheiro, é digno</v>
      </c>
      <c r="E1264" s="29" t="str">
        <f>IFERROR(__xludf.DUMMYFUNCTION("GOOGLETRANSLATE(C1264, ""en"", ""pt-br"")"),"É um bom produto e estou usando -o desde 1 semana e está com um bom desempenho, eu gosto do produto, mas o código é pequeno, é bom e fácil de usar. Paisa Full Wasul Hai, mas o cordão Thoda Sa Aur Bada Hona Chahiye tha., Bom para água quente em minutos, ma"&amp;"s possui 2 pinos de conector., Velue for Money Product, bom produto, bom produto, boa entrega e facilidade de uso fazem deste um Boa compra de valor para dinheiro. Isso é bom")</f>
        <v>É um bom produto e estou usando -o desde 1 semana e está com um bom desempenho, eu gosto do produto, mas o código é pequeno, é bom e fácil de usar. Paisa Full Wasul Hai, mas o cordão Thoda Sa Aur Bada Hona Chahiye tha., Bom para água quente em minutos, mas possui 2 pinos de conector., Velue for Money Product, bom produto, bom produto, boa entrega e facilidade de uso fazem deste um Boa compra de valor para dinheiro. Isso é bom</v>
      </c>
    </row>
    <row r="1265">
      <c r="A1265" s="9" t="s">
        <v>5125</v>
      </c>
      <c r="B1265" s="29" t="str">
        <f>VLOOKUP(dados!A1265, reviews!A:G, 5, FALSE)</f>
        <v>Replaced the first one.,It is very good product,Go for it,Nice Product,Simple and supper,Compact and Premium look product,Tiny but good,Best buy ever</v>
      </c>
      <c r="C1265" s="29" t="str">
        <f>VLOOKUP(dados!A1265, reviews!A:G, 6, FALSE)</f>
        <v>The first one was not working. So got a replacement of the same within 2 days. Thank you Amazon. Now the new one is working but the battery life is not so good.,It is very light, portable, battery life is good and it's blowing fast wind of its capacity.,1.Light weight2.Battery life  •low speed -3hrs  •Medium speed-2hrs  •High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v>
      </c>
      <c r="D1265" s="29" t="str">
        <f>IFERROR(__xludf.DUMMYFUNCTION("GOOGLETRANSLATE(B1265, ""en"", ""pt-br"")"),"Substituiu o primeiro., É um produto muito bom, vá em frente, bom produto, simples e ceia, produto compacto e premium, minúsculo, mas bom, melhor compra de sempre")</f>
        <v>Substituiu o primeiro., É um produto muito bom, vá em frente, bom produto, simples e ceia, produto compacto e premium, minúsculo, mas bom, melhor compra de sempre</v>
      </c>
      <c r="E1265" s="29" t="str">
        <f>IFERROR(__xludf.DUMMYFUNCTION("GOOGLETRANSLATE(C1265, ""en"", ""pt-br"")"),"O primeiro não estava funcionando. Assim, a substituição do mesmo dentro de 2 dias. Obrigado Amazon. Agora, o novo está funcionando, mas a duração da bateria não é tão boa., É muito leve, portátil, a duração da bateria é boa e está soprando o vento rápido"&amp;" de sua capacidade., 1. Llight Weight2.Battery Life • Low Speed ​​-3HRs • Velocidade média-2HRs • A velocidade de alta velocidade-1 HR3.Fan é muito melhor enquanto está carregando.4. Takes muito tempo para carregar. Fácil de usar. A vida melhor é boa. Res"&amp;"erve um tempo para carregar. O preço está no topo da Amazon. Você pode comprá -lo em 800 em qualquer loja offline, bom produto bom, compacto e muito boa aparência. Parece um produto premium. O fluxo de ar também é bom e o nível de ruído também está ok. Nã"&amp;"o procure outros fãs. O backup da bateria ainda não é verificado, mas apenas um ponto ruim é a carga completa que você não pode encontrar. Não há indicação para carga total., Prós: Bajaj ProductGood BuildGood PESODOLE PESO DE VELOCIDADE DE SPEELATIVO DO A"&amp;"R AR PESSOA para uma pessoa mudar o ventilador enfrentar horizontal e vertical: vibra, fazendo do corpo de uma vida de pessoa é 3 horas, o que é muito menos que não é grande o suficiente para a tabela lateral: muito portátil e bom para uma pessoa. Teria s"&amp;"ido melhor se o tamanho fosse um pouco maior na superfície de resfriamento crescente. Não há arrependimentos .., dinheiros que valem a pena. Design inovador. Pode consertar em qualquer lugar. A velocidade é boa. Usa -o há 2 meses. Somente o Con Is é peque"&amp;"no e na parte de trás. Tem que pesquisar n ajustar a velocidade ou desligá -lo.")</f>
        <v>O primeiro não estava funcionando. Assim, a substituição do mesmo dentro de 2 dias. Obrigado Amazon. Agora, o novo está funcionando, mas a duração da bateria não é tão boa., É muito leve, portátil, a duração da bateria é boa e está soprando o vento rápido de sua capacidade., 1. Llight Weight2.Battery Life • Low Speed ​​-3HRs • Velocidade média-2HRs • A velocidade de alta velocidade-1 HR3.Fan é muito melhor enquanto está carregando.4. Takes muito tempo para carregar. Fácil de usar. A vida melhor é boa. Reserve um tempo para carregar. O preço está no topo da Amazon. Você pode comprá -lo em 800 em qualquer loja offline, bom produto bom, compacto e muito boa aparência. Parece um produto premium. O fluxo de ar também é bom e o nível de ruído também está ok. Não procure outros fãs. O backup da bateria ainda não é verificado, mas apenas um ponto ruim é a carga completa que você não pode encontrar. Não há indicação para carga total., Prós: Bajaj ProductGood BuildGood PESODOLE PESO DE VELOCIDADE DE SPEELATIVO DO AR AR PESSOA para uma pessoa mudar o ventilador enfrentar horizontal e vertical: vibra, fazendo do corpo de uma vida de pessoa é 3 horas, o que é muito menos que não é grande o suficiente para a tabela lateral: muito portátil e bom para uma pessoa. Teria sido melhor se o tamanho fosse um pouco maior na superfície de resfriamento crescente. Não há arrependimentos .., dinheiros que valem a pena. Design inovador. Pode consertar em qualquer lugar. A velocidade é boa. Usa -o há 2 meses. Somente o Con Is é pequeno e na parte de trás. Tem que pesquisar n ajustar a velocidade ou desligá -lo.</v>
      </c>
    </row>
    <row r="1266">
      <c r="A1266" s="9" t="s">
        <v>5131</v>
      </c>
      <c r="B1266" s="29" t="str">
        <f>VLOOKUP(dados!A1266, reviews!A:G, 5, FALSE)</f>
        <v>Good,Very lightweight and good looking,good,So far so good,Nice 👍,Average,I think is this 1000 watts? Produce 750 watts.....,Good</v>
      </c>
      <c r="C1266" s="29" t="str">
        <f>VLOOKUP(dados!A1266, reviews!A:G, 6, FALSE)</f>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it’s job well. Will update my review after using a couple of months.,It's light weight and easy to move,Good but nice product,Every points are ok.,Good</v>
      </c>
      <c r="D1266" s="29" t="str">
        <f>IFERROR(__xludf.DUMMYFUNCTION("GOOGLETRANSLATE(B1266, ""en"", ""pt-br"")"),"Bom, muito leve e bonito, bom, até agora tudo bem, bom 👍, média, acho que são 1000 watts? Produzir 750 watts ....., bom")</f>
        <v>Bom, muito leve e bonito, bom, até agora tudo bem, bom 👍, média, acho que são 1000 watts? Produzir 750 watts ....., bom</v>
      </c>
      <c r="E1266" s="29" t="str">
        <f>IFERROR(__xludf.DUMMYFUNCTION("GOOGLETRANSLATE(C1266, ""en"", ""pt-br"")"),"Peso leve, o produto é compacto e o Goog. O aquecimento é rápido, mas parece inapropriado. Às vezes, abstrato em espera. Não é muito eficaz no algodão, o que requer um trabalho difícil. Sem queixas, é bem o trabalho. Atualizarei minha revisão depois de us"&amp;"ar alguns meses., É leve e fácil de mover, produto bom, mas bom, todos os pontos estão ok., Bom")</f>
        <v>Peso leve, o produto é compacto e o Goog. O aquecimento é rápido, mas parece inapropriado. Às vezes, abstrato em espera. Não é muito eficaz no algodão, o que requer um trabalho difícil. Sem queixas, é bem o trabalho. Atualizarei minha revisão depois de usar alguns meses., É leve e fácil de mover, produto bom, mas bom, todos os pontos estão ok., Bom</v>
      </c>
    </row>
    <row r="1267">
      <c r="A1267" s="9" t="s">
        <v>5135</v>
      </c>
      <c r="B1267" s="29" t="str">
        <f>VLOOKUP(dados!A1267, reviews!A:G, 5, FALSE)</f>
        <v>Good cartridge but works for less than 3 months for 2 people,Normally sediment water filter,Works for a short period,Water is not going down and not filtering,Great product but too costly .,Correct spare,Great water cleanser,ABC</v>
      </c>
      <c r="C1267" s="29" t="str">
        <f>VLOOKUP(dados!A1267, reviews!A:G, 6, FALSE)</f>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v>
      </c>
      <c r="D1267" s="29" t="str">
        <f>IFERROR(__xludf.DUMMYFUNCTION("GOOGLETRANSLATE(B1267, ""en"", ""pt-br"")"),"Bom cartucho, mas funciona por menos de 3 meses para 2 pessoas, normalmente filtro de água sedimentando, funciona por um curto período, a água não está diminuindo e não filtrando, ótimo produto, mas muito caro., Correto sobressalente, ótimo limpador de ág"&amp;"ua, ABC")</f>
        <v>Bom cartucho, mas funciona por menos de 3 meses para 2 pessoas, normalmente filtro de água sedimentando, funciona por um curto período, a água não está diminuindo e não filtrando, ótimo produto, mas muito caro., Correto sobressalente, ótimo limpador de água, ABC</v>
      </c>
      <c r="E1267" s="29" t="str">
        <f>IFERROR(__xludf.DUMMYFUNCTION("GOOGLETRANSLATE(C1267, ""en"", ""pt-br"")"),"O cartucho de purificador de água de prestígio é obviamente bom. Mas dura muito menos número de dias. Nem sequer dura mais de 2,5 meses para 2 pessoas. Além disso, o MRP é cortado e é vendido a um preço mais alto., Este produto Filtro de água de sedimento"&amp;"s normais, mas não usa por muito tempo; portanto, todos os clientes que você vai para o purificador elétrico de água UV, sou sugerido em guard, kent, havells marcas Gostaria de saber se o produto é genuíno porque o cartucho que acompanha o filtro funciono"&amp;"u por mais de um ano. Depois disso, os que recebi trabalharam apenas por cerca de 2 meses. Agora estou procurando um centro de serviço de prestígio de onde espero obter um produto autêntico., Encomendei o meu Prestige Tatva Non Electric Water Filter. Mas "&amp;"não está funcionando corretamente. A água não está filtrando e a empresa não está dando nenhuma solução e dizendo que não está coberta pela garantia. Minhas 600 rúpias são totalmente desperdiçadas. Não estou esperando isso da empresa de prestígio., Esses "&amp;"cartuchos de filtro são substituídos em três meses., Fácil de substituir, tudo ótimo, mas dura apenas por 4-6 meses")</f>
        <v>O cartucho de purificador de água de prestígio é obviamente bom. Mas dura muito menos número de dias. Nem sequer dura mais de 2,5 meses para 2 pessoas. Além disso, o MRP é cortado e é vendido a um preço mais alto., Este produto Filtro de água de sedimentos normais, mas não usa por muito tempo; portanto, todos os clientes que você vai para o purificador elétrico de água UV, sou sugerido em guard, kent, havells marcas Gostaria de saber se o produto é genuíno porque o cartucho que acompanha o filtro funcionou por mais de um ano. Depois disso, os que recebi trabalharam apenas por cerca de 2 meses. Agora estou procurando um centro de serviço de prestígio de onde espero obter um produto autêntico., Encomendei o meu Prestige Tatva Non Electric Water Filter. Mas não está funcionando corretamente. A água não está filtrando e a empresa não está dando nenhuma solução e dizendo que não está coberta pela garantia. Minhas 600 rúpias são totalmente desperdiçadas. Não estou esperando isso da empresa de prestígio., Esses cartuchos de filtro são substituídos em três meses., Fácil de substituir, tudo ótimo, mas dura apenas por 4-6 meses</v>
      </c>
    </row>
    <row r="1268">
      <c r="A1268" s="9" t="s">
        <v>5139</v>
      </c>
      <c r="B1268" s="29" t="str">
        <f>VLOOKUP(dados!A1268, reviews!A:G, 5, FALSE)</f>
        <v>Sleek , Silent and Effective,Good product,100 % satisfied and recommended....,Bad product. Fan makes lot of noise,Its good with a flaw,Overall best.,Number 1,works decently.</v>
      </c>
      <c r="C1268" s="29" t="str">
        <f>VLOOKUP(dados!A1268, reviews!A:G, 6, FALSE)</f>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v>
      </c>
      <c r="D1268" s="29" t="str">
        <f>IFERROR(__xludf.DUMMYFUNCTION("GOOGLETRANSLATE(B1268, ""en"", ""pt-br"")"),"Elegante, silencioso e eficaz, bom produto, 100 % satisfeito e recomendado ...., produto ruim. O ventilador faz muito barulho, é bom com uma falha, o melhor em geral., Número 1, funciona decentemente.")</f>
        <v>Elegante, silencioso e eficaz, bom produto, 100 % satisfeito e recomendado ...., produto ruim. O ventilador faz muito barulho, é bom com uma falha, o melhor em geral., Número 1, funciona decentemente.</v>
      </c>
      <c r="E1268" s="29" t="str">
        <f>IFERROR(__xludf.DUMMYFUNCTION("GOOGLETRANSLATE(C1268, ""en"", ""pt-br"")"),"Perfeito para aquecimento da sala ... silencioso, aquecimento instantâneo silencioso em 30 segundos. Fácil de transportar apenas uma pequena sugestão de que ele deveria ter um soprador de vento esquerdo e direito também, em vez de apenas para cima e para "&amp;"baixo. Melhor produto que não está dizendo isso nesse intervalo, mas eu usei outros também é o melhor até a data. Mesmo algum tempo o usamos como massageador de calor, pois o fluxo de vento também é incrível para dor nas costas ou joelhos, é um produto pe"&amp;"rfeito. Qualquer pessoa que compra pela primeira vez ou que compra uma experiência melhor recomendará para isso. Está quase 60 dias de uso agora. E sim, fácil de limpar também. Eu tenho um cachorro e ela também gosta ..., eu tenho um aquecedor usado de 15"&amp;" meses, não um novo. O fã está fazendo um barulho demais. É uma peça defeituosa ou danificada. Consegui -a em 18 de dezembro de 2022. Quando tento solicitar uma substituição, me disseram que a janela de devolução está fechada. Se a Amazon / Seller estiver"&amp;" enviando um produto com defeito usado de 15 meses, caso eles sejam pelo menos Não tenho a responsabilidade de pelo menos substituí -lo., Eu uso aquecedores de PTC há alguns anos e estou feliz com seu desempenho e longevidade (Usha &amp; Orpat). Então decidiu"&amp;" comprar mais um este ano - vi este teve a classificação mais alta. Comprei. Vi que é basicamente feito por Bajaj.yway, é bonito e tudo parecia bem. Mas comecei a perceber uma falha no termostato. Normalmente, sempre há uma histerese no mostrador do termo"&amp;"stato - ele liga em um ponto e desliga um pouco mais atrás. Mas este estava ligando e desligado exatamente no mesmo ponto. Então comecei a observar que, se o termostato estivesse ligado, ele simplesmente permaneceu ligado. Se estivesse desligado, permanec"&amp;"eu fora. Tentei várias vezes e percebeu que o termostato não funciona. Então, finalmente, devolveu. e leva cerca de 2 para uma sala de 200 pés quadrados. É realmente leve e silencioso em operação. tem configurações diferentes para velocidade do ventilador"&amp;" e ar quente/frio. A única desvantagem é que não funciona para uma grande sala ou área de salão. No geral, um bom produto.")</f>
        <v>Perfeito para aquecimento da sala ... silencioso, aquecimento instantâneo silencioso em 30 segundos. Fácil de transportar apenas uma pequena sugestão de que ele deveria ter um soprador de vento esquerdo e direito também, em vez de apenas para cima e para baixo. Melhor produto que não está dizendo isso nesse intervalo, mas eu usei outros também é o melhor até a data. Mesmo algum tempo o usamos como massageador de calor, pois o fluxo de vento também é incrível para dor nas costas ou joelhos, é um produto perfeito. Qualquer pessoa que compra pela primeira vez ou que compra uma experiência melhor recomendará para isso. Está quase 60 dias de uso agora. E sim, fácil de limpar também. Eu tenho um cachorro e ela também gosta ..., eu tenho um aquecedor usado de 15 meses, não um novo. O fã está fazendo um barulho demais. É uma peça defeituosa ou danificada. Consegui -a em 18 de dezembro de 2022. Quando tento solicitar uma substituição, me disseram que a janela de devolução está fechada. Se a Amazon / Seller estiver enviando um produto com defeito usado de 15 meses, caso eles sejam pelo menos Não tenho a responsabilidade de pelo menos substituí -lo., Eu uso aquecedores de PTC há alguns anos e estou feliz com seu desempenho e longevidade (Usha &amp; Orpat). Então decidiu comprar mais um este ano - vi este teve a classificação mais alta. Comprei. Vi que é basicamente feito por Bajaj.yway, é bonito e tudo parecia bem. Mas comecei a perceber uma falha no termostato. Normalmente, sempre há uma histerese no mostrador do termostato - ele liga em um ponto e desliga um pouco mais atrás. Mas este estava ligando e desligado exatamente no mesmo ponto. Então comecei a observar que, se o termostato estivesse ligado, ele simplesmente permaneceu ligado. Se estivesse desligado, permaneceu fora. Tentei várias vezes e percebeu que o termostato não funciona. Então, finalmente, devolveu. e leva cerca de 2 para uma sala de 200 pés quadrados. É realmente leve e silencioso em operação. tem configurações diferentes para velocidade do ventilador e ar quente/frio. A única desvantagem é que não funciona para uma grande sala ou área de salão. No geral, um bom produto.</v>
      </c>
    </row>
    <row r="1269">
      <c r="A1269" s="9" t="s">
        <v>5143</v>
      </c>
      <c r="B1269" s="29" t="str">
        <f>VLOOKUP(dados!A1269, reviews!A:G, 5, FALSE)</f>
        <v>Excellent product,Good product, very accurate and sleek design. Totally Recommended,Good product,Accurate with multiple unit setting option,Light weight scale machine ... It's good for me,Good little gadget for kitchen,Good product for house use.,Awesome product</v>
      </c>
      <c r="C1269" s="29" t="str">
        <f>VLOOKUP(dados!A1269, reviews!A:G, 6, FALSE)</f>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v>
      </c>
      <c r="D1269" s="29" t="str">
        <f>IFERROR(__xludf.DUMMYFUNCTION("GOOGLETRANSLATE(B1269, ""en"", ""pt-br"")"),"Excelente produto, bom produto, design muito preciso e elegante. Totalmente recomendado, bom produto, preciso com a opção de configuração de múltiplas unidades, máquina de escala leve ... é bom para mim, bom gadget para cozinha, bom produto para uso domés"&amp;"tico., Produto incrível")</f>
        <v>Excelente produto, bom produto, design muito preciso e elegante. Totalmente recomendado, bom produto, preciso com a opção de configuração de múltiplas unidades, máquina de escala leve ... é bom para mim, bom gadget para cozinha, bom produto para uso doméstico., Produto incrível</v>
      </c>
      <c r="E1269" s="29" t="str">
        <f>IFERROR(__xludf.DUMMYFUNCTION("GOOGLETRANSLATE(C1269, ""en"", ""pt-br"")"),"Ótima precisão de peso leve do produto N A partir de agora, bom e fácil de usar .... deve ter em todas as cozinhas, o produto parece exatamente o mesmo que é mostrado em foto, design maravilhoso e também é preciso. Eu recomendo este produto para sua cozin"&amp;"ha., Bom produto e muito fácil de usar. Obrigado à Amazon e Gadgetronics. Vá em frente., Preciso com a opção de configuração de várias unidades, máquina de escala leve ... é bom para mim, é muito pequeno, mas bastante preciso. Eu pesava alguns pacotes com"&amp;" peso conhecido e ele mostrou peso correto. Adição muito útil à minha cozinha., Bom produto para uso doméstico, fácil de usar. Preciso, bom.")</f>
        <v>Ótima precisão de peso leve do produto N A partir de agora, bom e fácil de usar .... deve ter em todas as cozinhas, o produto parece exatamente o mesmo que é mostrado em foto, design maravilhoso e também é preciso. Eu recomendo este produto para sua cozinha., Bom produto e muito fácil de usar. Obrigado à Amazon e Gadgetronics. Vá em frente., Preciso com a opção de configuração de várias unidades, máquina de escala leve ... é bom para mim, é muito pequeno, mas bastante preciso. Eu pesava alguns pacotes com peso conhecido e ele mostrou peso correto. Adição muito útil à minha cozinha., Bom produto para uso doméstico, fácil de usar. Preciso, bom.</v>
      </c>
    </row>
    <row r="1270">
      <c r="A1270" s="9" t="s">
        <v>5147</v>
      </c>
      <c r="B1270" s="29" t="str">
        <f>VLOOKUP(dados!A1270, reviews!A:G, 5, FALSE)</f>
        <v>It's very nice,Got the correct one, asked,Good product,Very good item,Awesome,Good,ok,Delivered on time</v>
      </c>
      <c r="C1270" s="29" t="str">
        <f>VLOOKUP(dados!A1270, reviews!A:G, 6, FALSE)</f>
        <v>Ok,For replacing battery of Purit 23 advanced water purifier. Got what i required.,Good,Very good,I like it,Been using it since 5 years,ok,Nice product</v>
      </c>
      <c r="D1270" s="29" t="str">
        <f>IFERROR(__xludf.DUMMYFUNCTION("GOOGLETRANSLATE(B1270, ""en"", ""pt-br"")"),"É muito bom, obteve o correto, perguntado, bom produto, item muito bom, incrível, bom, ok, entregue a tempo")</f>
        <v>É muito bom, obteve o correto, perguntado, bom produto, item muito bom, incrível, bom, ok, entregue a tempo</v>
      </c>
      <c r="E1270" s="29" t="str">
        <f>IFERROR(__xludf.DUMMYFUNCTION("GOOGLETRANSLATE(C1270, ""en"", ""pt-br"")"),"Ok, para substituir a bateria do Purit 23 Purificador Avançado de Água. Consegui o que eu exigi., Bom, muito bom, eu gosto, o uso desde 5 anos, ok, bom produto")</f>
        <v>Ok, para substituir a bateria do Purit 23 Purificador Avançado de Água. Consegui o que eu exigi., Bom, muito bom, eu gosto, o uso desde 5 anos, ok, bom produto</v>
      </c>
    </row>
    <row r="1271">
      <c r="A1271" s="9" t="s">
        <v>5151</v>
      </c>
      <c r="B1271" s="29" t="str">
        <f>VLOOKUP(dados!A1271, reviews!A:G, 5, FALSE)</f>
        <v>Good,Product is good bt smell like hell.,Amazing,Good Bag ☺️,Good quality and quick delivery,Worth money,Good and big bag,Good product</v>
      </c>
      <c r="C1271" s="29" t="str">
        <f>VLOOKUP(dados!A1271, reviews!A:G, 6, FALSE)</f>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v>
      </c>
      <c r="D1271" s="29" t="str">
        <f>IFERROR(__xludf.DUMMYFUNCTION("GOOGLETRANSLATE(B1271, ""en"", ""pt-br"")"),"Bom, o produto é bom cheirar como o inferno., Incrível, boa bolsa ☺️, boa qualidade e entrega rápida, vale dinheiro, bom e grande bolsa, bom produto")</f>
        <v>Bom, o produto é bom cheirar como o inferno., Incrível, boa bolsa ☺️, boa qualidade e entrega rápida, vale dinheiro, bom e grande bolsa, bom produto</v>
      </c>
      <c r="E1271" s="29" t="str">
        <f>IFERROR(__xludf.DUMMYFUNCTION("GOOGLETRANSLATE(C1271, ""en"", ""pt-br"")"),"Produto muito bom a esse preço exatamente como mostrado ..., o produto é bom. r pelo menos tolerável. OUTO É muito bom, https: //m.media-amazon.com/images/i/61fxsvtlnnl._sy88.jpg.better size e design agradável, boa qualidade melhor do que imagens. entrega"&amp;" rápida. Melhor compra que já fiz, o produto é bom e grande o suficiente, mas preço e qualidade podem ser um pouco aprimorados., Acabei de receber a caixa! Era exatamente o mesmo que na descrição! Eu amei! Eu escolhi essa cor porque nenhum mosquito será a"&amp;"traído com a cor clara! Produto incrível! Vale a pena comprar!")</f>
        <v>Produto muito bom a esse preço exatamente como mostrado ..., o produto é bom. r pelo menos tolerável. OUTO É muito bom, https: //m.media-amazon.com/images/i/61fxsvtlnnl._sy88.jpg.better size e design agradável, boa qualidade melhor do que imagens. entrega rápida. Melhor compra que já fiz, o produto é bom e grande o suficiente, mas preço e qualidade podem ser um pouco aprimorados., Acabei de receber a caixa! Era exatamente o mesmo que na descrição! Eu amei! Eu escolhi essa cor porque nenhum mosquito será atraído com a cor clara! Produto incrível! Vale a pena comprar!</v>
      </c>
    </row>
    <row r="1272">
      <c r="A1272" s="9" t="s">
        <v>5155</v>
      </c>
      <c r="B1272" s="29" t="str">
        <f>VLOOKUP(dados!A1272, reviews!A:G, 5, FALSE)</f>
        <v>Good product,Decent product,nice n powerful but delicate,Good product. It’s a bit difficult to insert cells.,Worked well for a month,Extremely useful,Waste product,Value for money</v>
      </c>
      <c r="C1272" s="29" t="str">
        <f>VLOOKUP(dados!A1272, reviews!A:G, 6, FALSE)</f>
        <v>It’s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v>
      </c>
      <c r="D1272" s="29" t="str">
        <f>IFERROR(__xludf.DUMMYFUNCTION("GOOGLETRANSLATE(B1272, ""en"", ""pt-br"")"),"Bom produto, produto decente, bom e bom, mas delicado, bom produto. É um pouco difícil inserir células., Funcionou bem por um mês, extremamente útil, resíduos de resíduos, valor ao dinheiro")</f>
        <v>Bom produto, produto decente, bom e bom, mas delicado, bom produto. É um pouco difícil inserir células., Funcionou bem por um mês, extremamente útil, resíduos de resíduos, valor ao dinheiro</v>
      </c>
      <c r="E1272" s="29" t="str">
        <f>IFERROR(__xludf.DUMMYFUNCTION("GOOGLETRANSLATE(C1272, ""en"", ""pt-br"")"),"É bom e fácil de usar, o produto parece barato, mas funciona bem. Como você deve saber pela descrição do produto, existem configurações de velocidade. Produto decente para essa faixa de preço., É muito bom n pó, mas precisa de cuidados adequados e limpar "&amp;"após cada uso, você também deve continuar trocando as baterias quando vê a energia baixa. Usa -o há anos há anos, no entanto, a 1 peça dura cerca de um ano se tomada cuidado., O compartimento para inserir células deveria ter sido um pouco maior. Isso pode"&amp;" quebrar ao tentar espremer as células. ,, Este é um produto útil. Muito fácil de usar e limpar. Parece muito leve, mas é de boa qualidade. Froths Milk com eficiência ... um deve comprar se você gosta de café ou leite espumoso., Resíduos. Não compre isso "&amp;"por sua marca ou por seu preço. Um produto muito delicado., Este é certamente um ótimo produto. Economiza tempo como uma espuma de maneira convencional, você precisa ser muito paciente. Atualmente, todos precisam de algo rápido. Isso serviu ao meu propósi"&amp;"to. Comprei 2 extra que estou planejando presentear. Obrigado.")</f>
        <v>É bom e fácil de usar, o produto parece barato, mas funciona bem. Como você deve saber pela descrição do produto, existem configurações de velocidade. Produto decente para essa faixa de preço., É muito bom n pó, mas precisa de cuidados adequados e limpar após cada uso, você também deve continuar trocando as baterias quando vê a energia baixa. Usa -o há anos há anos, no entanto, a 1 peça dura cerca de um ano se tomada cuidado., O compartimento para inserir células deveria ter sido um pouco maior. Isso pode quebrar ao tentar espremer as células. ,, Este é um produto útil. Muito fácil de usar e limpar. Parece muito leve, mas é de boa qualidade. Froths Milk com eficiência ... um deve comprar se você gosta de café ou leite espumoso., Resíduos. Não compre isso por sua marca ou por seu preço. Um produto muito delicado., Este é certamente um ótimo produto. Economiza tempo como uma espuma de maneira convencional, você precisa ser muito paciente. Atualmente, todos precisam de algo rápido. Isso serviu ao meu propósito. Comprei 2 extra que estou planejando presentear. Obrigado.</v>
      </c>
    </row>
    <row r="1273">
      <c r="A1273" s="9" t="s">
        <v>5161</v>
      </c>
      <c r="B1273" s="29" t="str">
        <f>VLOOKUP(dados!A1273, reviews!A:G, 5, FALSE)</f>
        <v>Go for it,Good steam iron,Plage big size,Good Product and worth Buying,Nice,Easy to use,Good,Going good so far</v>
      </c>
      <c r="C1273" s="29" t="str">
        <f>VLOOKUP(dados!A1273, reviews!A:G, 6, FALSE)</f>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don’t stick. I use filter water to keep it clean</v>
      </c>
      <c r="D1273" s="29" t="str">
        <f>IFERROR(__xludf.DUMMYFUNCTION("GOOGLETRANSLATE(B1273, ""en"", ""pt-br"")"),"Vá em frente, bom ferro a vapor, tamanho grande da planta, bom produto e vale a pena comprar, agradável, fácil de usar, bom, indo bem até agora")</f>
        <v>Vá em frente, bom ferro a vapor, tamanho grande da planta, bom produto e vale a pena comprar, agradável, fácil de usar, bom, indo bem até agora</v>
      </c>
      <c r="E1273" s="29" t="str">
        <f>IFERROR(__xludf.DUMMYFUNCTION("GOOGLETRANSLATE(C1273, ""en"", ""pt-br"")"),"Escrevendo esta resenha após um mês de uso. Trabalho absolutamente bem, eu a uso para meus projetos de alfaiataria. Eu tive uma pergunta sobre a água pingando a empresa que a empresa foi rápida para enviar o vendedor e resolver minhas perguntas. Também um"&amp;"a dica que ouvi de muito técnico e soa lógica para aumentar a vida de sua máquina é usar o filtro era. A água da torneira tem muitas impurezas e fica presa e reduz a vida do ferro. Eu já vi isso com meu outro ferro a vapor, que deixa pequenas partículas d"&amp;"e poeira na área de Waterstorage. O mesmo acontece com isso, resolverá problemas de vazamento, se você deve ter algum, quisesse um pesado ferro a vapor. Isso funciona muito bem. Muito vapor e facilmente solta as roupas. Muito fácil também de tecidos, para"&amp;" que você possa usar a configuração de vapor alto para remover as rugas nas roupas sem se preocupar com a configuração de tecido demais. Feliz, xícara para derramar água deve ter sido incluída, aqueça muito rapidamente, sem pingando de água, o vapor é bom"&amp;" e não grude. Eu uso a água do filtro para mantê -la limpa")</f>
        <v>Escrevendo esta resenha após um mês de uso. Trabalho absolutamente bem, eu a uso para meus projetos de alfaiataria. Eu tive uma pergunta sobre a água pingando a empresa que a empresa foi rápida para enviar o vendedor e resolver minhas perguntas. Também uma dica que ouvi de muito técnico e soa lógica para aumentar a vida de sua máquina é usar o filtro era. A água da torneira tem muitas impurezas e fica presa e reduz a vida do ferro. Eu já vi isso com meu outro ferro a vapor, que deixa pequenas partículas de poeira na área de Waterstorage. O mesmo acontece com isso, resolverá problemas de vazamento, se você deve ter algum, quisesse um pesado ferro a vapor. Isso funciona muito bem. Muito vapor e facilmente solta as roupas. Muito fácil também de tecidos, para que você possa usar a configuração de vapor alto para remover as rugas nas roupas sem se preocupar com a configuração de tecido demais. Feliz, xícara para derramar água deve ter sido incluída, aqueça muito rapidamente, sem pingando de água, o vapor é bom e não grude. Eu uso a água do filtro para mantê -la limpa</v>
      </c>
    </row>
    <row r="1274">
      <c r="A1274" s="9" t="s">
        <v>5165</v>
      </c>
      <c r="B1274" s="29" t="str">
        <f>VLOOKUP(dados!A1274, reviews!A:G, 5, FALSE)</f>
        <v>Ok,A good water heater,Easy to use inverter,Good product,Screw missing,Nice,Gd product from amazon,Good purchase but costly installation</v>
      </c>
      <c r="C1274" s="29" t="str">
        <f>VLOOKUP(dados!A1274, reviews!A:G, 6, FALSE)</f>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v>
      </c>
      <c r="D1274" s="29" t="str">
        <f>IFERROR(__xludf.DUMMYFUNCTION("GOOGLETRANSLATE(B1274, ""en"", ""pt-br"")"),"Ok, um bom aquecedor de água, fácil de usar o inversor, bom produto, falta de parafuso, bom produto GD da Amazon, boa compra, mas de instalação dispendiosa")</f>
        <v>Ok, um bom aquecedor de água, fácil de usar o inversor, bom produto, falta de parafuso, bom produto GD da Amazon, boa compra, mas de instalação dispendiosa</v>
      </c>
      <c r="E1274" s="29" t="str">
        <f>IFERROR(__xludf.DUMMYFUNCTION("GOOGLETRANSLATE(C1274, ""en"", ""pt-br"")"),"OK, o produto funciona muito bem. O suporte também é bom. O produto não foi entregue com a entrada de água necessária e o tubo de conexão e o plugue elétrico de 15a de 3 pinos. Teve que correr para obtê -los. O Wish Bajaj empacotou isso no produto., Compr"&amp;"ei isso três meses atrás até agora sem queixas e usando sem problemas. -amazon.com/images/w/webp_402378-t2/images/i/81yxc87rpyl._sy88.jpg.,produto é bom, mas as taxas de instalação são altas")</f>
        <v>OK, o produto funciona muito bem. O suporte também é bom. O produto não foi entregue com a entrada de água necessária e o tubo de conexão e o plugue elétrico de 15a de 3 pinos. Teve que correr para obtê -los. O Wish Bajaj empacotou isso no produto., Comprei isso três meses atrás até agora sem queixas e usando sem problemas. -amazon.com/images/w/webp_402378-t2/images/i/81yxc87rpyl._sy88.jpg.,produto é bom, mas as taxas de instalação são altas</v>
      </c>
    </row>
    <row r="1275">
      <c r="A1275" s="9" t="s">
        <v>5169</v>
      </c>
      <c r="B1275" s="29" t="str">
        <f>VLOOKUP(dados!A1275, reviews!A:G, 5, FALSE)</f>
        <v>Good to use,Really good in this price,Lint roller,Adhesive could have been better,I like this,Low effectiveness,Good for those who have pets!,Useful product</v>
      </c>
      <c r="C1275" s="29" t="str">
        <f>VLOOKUP(dados!A1275, reviews!A:G, 6, FALSE)</f>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pet’s hairs always stick on my clothes. This product removes those hairs easily. But in one jeans or shirt, you need at least two sheets and also the roller comes down which make cuts on fingers. So for cleaning, really good but not at all easy to use.,Easy-to-use. Can go for it</v>
      </c>
      <c r="D1275" s="29" t="str">
        <f>IFERROR(__xludf.DUMMYFUNCTION("GOOGLETRANSLATE(B1275, ""en"", ""pt-br"")"),"É bom usar, muito bom nesse preço, rolo de fiapos, adesivo poderia ter sido melhor, eu gosto disso, baixa eficácia, bom para quem tem animais de estimação!, Produto útil")</f>
        <v>É bom usar, muito bom nesse preço, rolo de fiapos, adesivo poderia ter sido melhor, eu gosto disso, baixa eficácia, bom para quem tem animais de estimação!, Produto útil</v>
      </c>
      <c r="E1275" s="29" t="str">
        <f>IFERROR(__xludf.DUMMYFUNCTION("GOOGLETRANSLATE(C1275, ""en"", ""pt-br"")"),"É bom usar, um produto realmente bom nesse preço em comparação com outros produtos caros. É o trabalho corretamente. O rolo não sai se você rolá -lo corretamente. O adesivo é bom na remoção de fiapos febricos. Não vem com uma capa, mas você pode manter a "&amp;"folha usada embrulhada até o próximo uso. Em seguida, você pode removê -lo para obter uma folha nova., Fácil e útil., Trabalha, mas o adesivo poderia ter sido melhor., É exatamente como as imagens do produto. O rolo funciona bem e faz o trabalho. Vá em fr"&amp;"ente se precisar de um. Eu tenho animais de estimação em casa (gatos) e preciso usar isso todos os dias. Definitivamente, recompra novamente !!, o rolo e o quadro estão frouxamente amarrados e corta a mão toda vez que eu uso. Todo o rolo desmonta rapidame"&amp;"nte enquanto estiver em uso. A adesão não é muito boa e termina quando enrolada 2-3 vezes. Eu pedi isso porque os cabelos do meu animal de estimação sempre grudam nas minhas roupas. Este produto remove esses cabelos facilmente. Mas em um jeans ou camisa, "&amp;"você precisa de pelo menos dois lençóis e também o rolo desce o que faz cortes nos dedos. Portanto, para limpar, muito bom, mas nem um pouco fácil de usar., Fácil de usar. Pode ir em frente")</f>
        <v>É bom usar, um produto realmente bom nesse preço em comparação com outros produtos caros. É o trabalho corretamente. O rolo não sai se você rolá -lo corretamente. O adesivo é bom na remoção de fiapos febricos. Não vem com uma capa, mas você pode manter a folha usada embrulhada até o próximo uso. Em seguida, você pode removê -lo para obter uma folha nova., Fácil e útil., Trabalha, mas o adesivo poderia ter sido melhor., É exatamente como as imagens do produto. O rolo funciona bem e faz o trabalho. Vá em frente se precisar de um. Eu tenho animais de estimação em casa (gatos) e preciso usar isso todos os dias. Definitivamente, recompra novamente !!, o rolo e o quadro estão frouxamente amarrados e corta a mão toda vez que eu uso. Todo o rolo desmonta rapidamente enquanto estiver em uso. A adesão não é muito boa e termina quando enrolada 2-3 vezes. Eu pedi isso porque os cabelos do meu animal de estimação sempre grudam nas minhas roupas. Este produto remove esses cabelos facilmente. Mas em um jeans ou camisa, você precisa de pelo menos dois lençóis e também o rolo desce o que faz cortes nos dedos. Portanto, para limpar, muito bom, mas nem um pouco fácil de usar., Fácil de usar. Pode ir em frente</v>
      </c>
    </row>
    <row r="1276">
      <c r="A1276" s="9" t="s">
        <v>5173</v>
      </c>
      <c r="B1276" s="29" t="str">
        <f>VLOOKUP(dados!A1276, reviews!A:G, 5, FALSE)</f>
        <v>So far so good,Good product.,good quality product and create ultra fine mist.,Can be a Great Product,Super,Works as described though difficult to refill water,good one,Amazing</v>
      </c>
      <c r="C1276" s="29" t="str">
        <f>VLOOKUP(dados!A1276, reviews!A:G, 6, FALSE)</f>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v>
      </c>
      <c r="D1276" s="29" t="str">
        <f>IFERROR(__xludf.DUMMYFUNCTION("GOOGLETRANSLATE(B1276, ""en"", ""pt-br"")"),"Até agora, bom, bom produto., Produto de boa qualidade e crie uma névoa ultra fina., Pode ser um ótimo produto, super, funciona como descrito, embora difícil de reabastecer a água, boa, incrível")</f>
        <v>Até agora, bom, bom produto., Produto de boa qualidade e crie uma névoa ultra fina., Pode ser um ótimo produto, super, funciona como descrito, embora difícil de reabastecer a água, boa, incrível</v>
      </c>
      <c r="E1276" s="29" t="str">
        <f>IFERROR(__xludf.DUMMYFUNCTION("GOOGLETRANSLATE(C1276, ""en"", ""pt-br"")"),"Além de deixar uma marca d'água na mesa, tem sido uma boa experiência., Bom produto, mas um problema eu descobri que a cabeça de onde o ar fresco da névoa vem deve ser flexível para girar para qualquer direção. Agora, suponha que você esteja mantendo na m"&amp;"esa e sentado na cadeira, e toda a névoa fria irá acima, em vez de vir para você., Minha qualidade do sono melhorou por este produto e dá a sensação de frescor., Operações manual inadequadamente escrito. O segundo diagrama não é rotulado, o método de ench"&amp;"imento de água não mencionado. O mais importante é que o comprimento do cordão é muito pequeno, por que ser tão econômico. A maioria das placas de comutação tem cerca de 5 pés de altura. O cordão não suporta essa altura. Como dito pode ser um ótimo produt"&amp;"o., Bom produto, a qualidade do produto é normal. Plástico muito fino. O reabastecimento de água é um trabalho complicado, pois temos que preenchê -lo de lado para baixo. As instruções não estão claras. Se o produto for inclinado um pouco, ele se comporta"&amp;" de maneira diferente. As luzes LED são delicadas e acho que solto também, é um produto incrível ... umidificador ajudou meu bebê a dormir melhor devido ao congestionamento nasal ... tão aliviado como mãe,")</f>
        <v>Além de deixar uma marca d'água na mesa, tem sido uma boa experiência., Bom produto, mas um problema eu descobri que a cabeça de onde o ar fresco da névoa vem deve ser flexível para girar para qualquer direção. Agora, suponha que você esteja mantendo na mesa e sentado na cadeira, e toda a névoa fria irá acima, em vez de vir para você., Minha qualidade do sono melhorou por este produto e dá a sensação de frescor., Operações manual inadequadamente escrito. O segundo diagrama não é rotulado, o método de enchimento de água não mencionado. O mais importante é que o comprimento do cordão é muito pequeno, por que ser tão econômico. A maioria das placas de comutação tem cerca de 5 pés de altura. O cordão não suporta essa altura. Como dito pode ser um ótimo produto., Bom produto, a qualidade do produto é normal. Plástico muito fino. O reabastecimento de água é um trabalho complicado, pois temos que preenchê -lo de lado para baixo. As instruções não estão claras. Se o produto for inclinado um pouco, ele se comporta de maneira diferente. As luzes LED são delicadas e acho que solto também, é um produto incrível ... umidificador ajudou meu bebê a dormir melhor devido ao congestionamento nasal ... tão aliviado como mãe,</v>
      </c>
    </row>
    <row r="1277">
      <c r="A1277" s="9" t="s">
        <v>5179</v>
      </c>
      <c r="B1277" s="29" t="str">
        <f>VLOOKUP(dados!A1277, reviews!A:G, 5, FALSE)</f>
        <v>Amazing! Value for money!,Very easy to use,2 in 1,Good product,Easy to clean,Good product to buy and use,Easy to operate that is simple process,Worth</v>
      </c>
      <c r="C1277" s="29" t="str">
        <f>VLOOKUP(dados!A1277, reviews!A:G, 6, FALSE)</f>
        <v>Worth buying for eggetarians,Working great so far!Value for money!4 stars as wire is very short in length!,I like this product and it is worth for money,Very good item,Value for money,Easy to use,Easy to use and easy to handle,It is awsome product,Good qualility,Good product. It's very nice</v>
      </c>
      <c r="D1277" s="29" t="str">
        <f>IFERROR(__xludf.DUMMYFUNCTION("GOOGLETRANSLATE(B1277, ""en"", ""pt-br"")"),"Incrível! Valor pelo dinheiro!, Muito fácil de usar, 2 em 1, bom produto, fácil de limpar, bom produto para comprar e usar, fácil de operar, esse é um processo simples, vale a pena")</f>
        <v>Incrível! Valor pelo dinheiro!, Muito fácil de usar, 2 em 1, bom produto, fácil de limpar, bom produto para comprar e usar, fácil de operar, esse é um processo simples, vale a pena</v>
      </c>
      <c r="E1277" s="29" t="str">
        <f>IFERROR(__xludf.DUMMYFUNCTION("GOOGLETRANSLATE(C1277, ""en"", ""pt-br"")"),"Vale a pena comprar para os eggetários, funcionando muito bem até agora! Valor pelo dinheiro! 4 estrelas como Wire tem muito tempo Uso e fácil de manusear, é um produto incrível, boa qualilidade, bom produto. É muito bom")</f>
        <v>Vale a pena comprar para os eggetários, funcionando muito bem até agora! Valor pelo dinheiro! 4 estrelas como Wire tem muito tempo Uso e fácil de manusear, é um produto incrível, boa qualilidade, bom produto. É muito bom</v>
      </c>
    </row>
    <row r="1278">
      <c r="A1278" s="9" t="s">
        <v>5183</v>
      </c>
      <c r="B1278" s="29" t="str">
        <f>VLOOKUP(dados!A1278, reviews!A:G, 5, FALSE)</f>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v>
      </c>
      <c r="C1278" s="29" t="str">
        <f>VLOOKUP(dados!A1278, reviews!A:G, 6, FALSE)</f>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v>
      </c>
      <c r="D1278" s="29" t="str">
        <f>IFERROR(__xludf.DUMMYFUNCTION("GOOGLETRANSLATE(B1278, ""en"", ""pt-br"")"),"Um bom aquecedor para espaços minúsculos, boa compra, melhor aquecedor de quarto no orçamento, especialmente economia de energia, alça para transportar e um pouco alto teria sido uma adição melhor ao produto., Aquecedor de quarto agradável., Corpo de meta"&amp;"l com elemento de aquecimento de carbono, Precisa de alguns cuidados para lidar quando carregar e usar, bom")</f>
        <v>Um bom aquecedor para espaços minúsculos, boa compra, melhor aquecedor de quarto no orçamento, especialmente economia de energia, alça para transportar e um pouco alto teria sido uma adição melhor ao produto., Aquecedor de quarto agradável., Corpo de metal com elemento de aquecimento de carbono, Precisa de alguns cuidados para lidar quando carregar e usar, bom</v>
      </c>
      <c r="E1278" s="29" t="str">
        <f>IFERROR(__xludf.DUMMYFUNCTION("GOOGLETRANSLATE(C1278, ""en"", ""pt-br"")"),"O produto chegou no prazo e em boas condições. Não é apenas portátil, mas também conveniente, pois usa um plugue padrão que pode ser conectado a soquetes normais de 5 ampadeiras. Eu principalmente uso -o para aquecer meus banheiros como um aquecedor de ba"&amp;"ixa potência e, portanto, assim só pode funcionar bem em pequenos espaços. Importante! Se estiver usando no banheiro, verifique se não há água no chão ou pulverizando sobre ele. Basta aquecer o banheiro e depois afaste o aquecedor antes de usar a área do "&amp;"banho !!!!, é um peso leve fácil de usar. fornece aquecimento suficiente, mesmo pode ser usado com o inversor em lugares onde o corte de energia é uma questão problemática., Não é tão fácil de usar ou movimento regular., Gostei deste aquecedor de quarto. "&amp;"Ele usa apenas 500 watts e, portanto, pode ser conectado a 5 amperes. É exatamente como não há fã. Adequado para uma pequena sala., Parece bom e a sensação é metálica. Há um indicador de linha nas costas e também há um interruptor de lado. O aquecimento p"&amp;"arece poderoso e não há problema de respiração devido a esse aquecedor., Foi muito útil em minha turnê Himachal em janeiro. Eu usei a noite toda em -5 ° C, com poucos cuidados, ou seja, ventilação na sala e poucas águas na sala., Bom")</f>
        <v>O produto chegou no prazo e em boas condições. Não é apenas portátil, mas também conveniente, pois usa um plugue padrão que pode ser conectado a soquetes normais de 5 ampadeiras. Eu principalmente uso -o para aquecer meus banheiros como um aquecedor de baixa potência e, portanto, assim só pode funcionar bem em pequenos espaços. Importante! Se estiver usando no banheiro, verifique se não há água no chão ou pulverizando sobre ele. Basta aquecer o banheiro e depois afaste o aquecedor antes de usar a área do banho !!!!, é um peso leve fácil de usar. fornece aquecimento suficiente, mesmo pode ser usado com o inversor em lugares onde o corte de energia é uma questão problemática., Não é tão fácil de usar ou movimento regular., Gostei deste aquecedor de quarto. Ele usa apenas 500 watts e, portanto, pode ser conectado a 5 amperes. É exatamente como não há fã. Adequado para uma pequena sala., Parece bom e a sensação é metálica. Há um indicador de linha nas costas e também há um interruptor de lado. O aquecimento parece poderoso e não há problema de respiração devido a esse aquecedor., Foi muito útil em minha turnê Himachal em janeiro. Eu usei a noite toda em -5 ° C, com poucos cuidados, ou seja, ventilação na sala e poucas águas na sala., Bom</v>
      </c>
    </row>
    <row r="1279">
      <c r="A1279" s="9" t="s">
        <v>5187</v>
      </c>
      <c r="B1279" s="29" t="str">
        <f>VLOOKUP(dados!A1279, reviews!A:G, 5, FALSE)</f>
        <v>Helpful for my mother,Do Not Buy this product,Very cute solid and comfortable 👌,Very efficient,Not operational product dispatched Also u cant cancel the order, received replacement working ok,Bottom bowl is low quality plastic &amp; not as per in the picture,Overall good product,Good material product.</v>
      </c>
      <c r="C1279" s="29" t="str">
        <f>VLOOKUP(dados!A1279, reviews!A:G, 6, FALSE)</f>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v>
      </c>
      <c r="D1279" s="29" t="str">
        <f>IFERROR(__xludf.DUMMYFUNCTION("GOOGLETRANSLATE(B1279, ""en"", ""pt-br"")"),"Útil para minha mãe, não compre este produto, muito fofo e confortável 👌, muito eficiente, não o operacional despachado também não pode cancelar o pedido, a substituição recebida funcionando bem, a tigela inferior é de plástico de baixa qualidade e não c"&amp;"onforme na imagem , Bom produto geral, bom produto material.")</f>
        <v>Útil para minha mãe, não compre este produto, muito fofo e confortável 👌, muito eficiente, não o operacional despachado também não pode cancelar o pedido, a substituição recebida funcionando bem, a tigela inferior é de plástico de baixa qualidade e não conforme na imagem , Bom produto geral, bom produto material.</v>
      </c>
      <c r="E1279" s="29" t="str">
        <f>IFERROR(__xludf.DUMMYFUNCTION("GOOGLETRANSLATE(C1279, ""en"", ""pt-br"")"),"Máquina agradável para adultos em casa .. que precisam de um pequeno aparelho que pode trabalhar em jiffy. ,, Fácil de usar, a opção de lâmina dupla funciona fantástica ... o corpo é robusto ... CHOPS STUQUE SUPER RÁPIDO E SUPER FINE ...,, Produto de qual"&amp;"idade muito ruim se recusar a operar, a tigela inferior não era tão boa o suficiente, pesada em peso, bom produto.")</f>
        <v>Máquina agradável para adultos em casa .. que precisam de um pequeno aparelho que pode trabalhar em jiffy. ,, Fácil de usar, a opção de lâmina dupla funciona fantástica ... o corpo é robusto ... CHOPS STUQUE SUPER RÁPIDO E SUPER FINE ...,, Produto de qualidade muito ruim se recusar a operar, a tigela inferior não era tão boa o suficiente, pesada em peso, bom produto.</v>
      </c>
    </row>
    <row r="1280">
      <c r="A1280" s="9" t="s">
        <v>5191</v>
      </c>
      <c r="B1280" s="29" t="str">
        <f>VLOOKUP(dados!A1280, reviews!A:G, 5, FALSE)</f>
        <v>Good product st this price,Good Product,Good product,Awesome product,Pipe is not there it's mentioned that pipe is with this order,Easy to install,best price.,Good,Good product</v>
      </c>
      <c r="C1280" s="29" t="str">
        <f>VLOOKUP(dados!A1280, reviews!A:G, 6, FALSE)</f>
        <v>As always amazon never disappointes if you are finding best quality product st low price go for it.,https://m.media-amazon.com/images/W/WEBP_402378-T2/images/I/51-YaFM4jHL._SY88.jpg,I like the product.it’s too cheap on Amazon,Good product,Where is pipes ????? It's with gyser as described,Product is good and price is best but it takes half an hour to fully heat 25 litre of water.,Ok,Good product</v>
      </c>
      <c r="D1280" s="29" t="str">
        <f>IFERROR(__xludf.DUMMYFUNCTION("GOOGLETRANSLATE(B1280, ""en"", ""pt-br"")"),"Bom produto, este preço, bom produto, bom produto, produto incrível, Pipe não está lá é mencionado que o Pipe está com este pedido, fácil de instalar, melhor preço., Bom, bom produto")</f>
        <v>Bom produto, este preço, bom produto, bom produto, produto incrível, Pipe não está lá é mencionado que o Pipe está com este pedido, fácil de instalar, melhor preço., Bom, bom produto</v>
      </c>
      <c r="E1280" s="29" t="str">
        <f>IFERROR(__xludf.DUMMYFUNCTION("GOOGLETRANSLATE(C1280, ""en"", ""pt-br"")"),"Como sempre, a Amazon nunca decepciona se você estiver encontrando o melhor produto de qualidade e o preço baixo. jpg, eu gosto do produto. É muito barato na Amazon, bom produto, onde está os tubos ????? É com Gyser como descrito, o produto é bom e o preç"&amp;"o é melhor, mas leva meia hora para aquecer completamente 25 litros de água., OK, bom produto")</f>
        <v>Como sempre, a Amazon nunca decepciona se você estiver encontrando o melhor produto de qualidade e o preço baixo. jpg, eu gosto do produto. É muito barato na Amazon, bom produto, onde está os tubos ????? É com Gyser como descrito, o produto é bom e o preço é melhor, mas leva meia hora para aquecer completamente 25 litros de água., OK, bom produto</v>
      </c>
    </row>
    <row r="1281">
      <c r="A1281" s="9" t="s">
        <v>5195</v>
      </c>
      <c r="B1281" s="29" t="str">
        <f>VLOOKUP(dados!A1281, reviews!A:G, 5, FALSE)</f>
        <v>Decent product,doesn't pick up sand,Ok ok,Must Buy,Good one for basic use with normal suction power,Super,First review,Perfect product for my car</v>
      </c>
      <c r="C1281" s="29" t="str">
        <f>VLOOKUP(dados!A1281, reviews!A:G, 6, FALSE)</f>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v>
      </c>
      <c r="D1281" s="29" t="str">
        <f>IFERROR(__xludf.DUMMYFUNCTION("GOOGLETRANSLATE(B1281, ""en"", ""pt-br"")"),"Produto decente, não pega areia, ok ok, deve comprar, bom para uso básico com poder de sucção normal, super, primeira revisão, produto perfeito para o meu carro")</f>
        <v>Produto decente, não pega areia, ok ok, deve comprar, bom para uso básico com poder de sucção normal, super, primeira revisão, produto perfeito para o meu carro</v>
      </c>
      <c r="E1281" s="29" t="str">
        <f>IFERROR(__xludf.DUMMYFUNCTION("GOOGLETRANSLATE(C1281, ""en"", ""pt-br"")"),"Faz bem o trabalho, não funciona na areia. Embora a sucção seja muito boa, a areia permanece para trás, não importa o que você use., Ok, ok, fácil de usar o produto (eu o usei pela primeira vez sem saber o conhecimento de seu uso). Limpa quase 90% da sua "&amp;"bagunça dentro do carro. Altamente recomendado., Prós: Olhe e sensação, fácil de segurar e manusear, comprimento do cordão, luz LED útil durante a noite, poder de sucção normal, mas bom o suficiente para o general USECONS: o ruído é um pouco alto, o poder"&amp;" de sucção pode ser melhor, bom, hmm, Design Strudy, acessórios de qualidade, marca renomeada. Vi alguns produtos de limpeza de vácios de carros, especialmente o baixo custo, onde a poeira sai da máquina devido ao mau mecanismo de travamento, então é clar"&amp;"o que você não quer que a poeira esteja voltando quando o único propósito é para removê -lo !!! Você recebe o que você paga, eu tenho o Vaccum Home Clear da mesma empresa com uma boa sucção e faz bem o trabalho, eu queria um corredor de bateria, onde poss"&amp;"o usá -lo em qualquer lugar. Acredite -me sem vaccum mais limpo é bom o suficiente para carros muito sujos, por isso, se você estiver esperando uma limpeza de nível comercial, não compre. tats de saída e apenas enfia o limpador e dizem que não é bom. Os m"&amp;"ans precisam ser retirados, o que realmente coleta poeira e derbies, essa pequena máquina pobre não pode lidar com uma limpeza de 100%. Se o carro estiver muito sujo você deve limpá -lo em um corredor profissional e comece a usar o pequeno.Eu descobri que"&amp;" isso estava fazendo o trabalho quando comparado ao corredor da minha casa. É ainda mais magro quando é atingido, mas acho que posso lidar com o trabalho, a qualidade dos acessórios é boa e o abeto e o acabamento são bons. Eu não vi nenhuma poeira escorre"&amp;"ndo pelo compartimento e estava bem contido na câmara de poeira. Você pode dar uma aparência quase limpa e arrumada ao seu carro com esta máquina; novamente, um lavanderias profissionais pode fazer um bom trabalho que não custa nada menos que 15k.Eu diria"&amp;" que vale a pena comprar, usado delgentemente por não esperar muito. Só espero Se a empresa puder fornecer uma bolsa para carregá -la pelo preço ou encontrar uma por conta própria, que pode atender às suas necessidades., Perfeita")</f>
        <v>Faz bem o trabalho, não funciona na areia. Embora a sucção seja muito boa, a areia permanece para trás, não importa o que você use., Ok, ok, fácil de usar o produto (eu o usei pela primeira vez sem saber o conhecimento de seu uso). Limpa quase 90% da sua bagunça dentro do carro. Altamente recomendado., Prós: Olhe e sensação, fácil de segurar e manusear, comprimento do cordão, luz LED útil durante a noite, poder de sucção normal, mas bom o suficiente para o general USECONS: o ruído é um pouco alto, o poder de sucção pode ser melhor, bom, hmm, Design Strudy, acessórios de qualidade, marca renomeada. Vi alguns produtos de limpeza de vácios de carros, especialmente o baixo custo, onde a poeira sai da máquina devido ao mau mecanismo de travamento, então é claro que você não quer que a poeira esteja voltando quando o único propósito é para removê -lo !!! Você recebe o que você paga, eu tenho o Vaccum Home Clear da mesma empresa com uma boa sucção e faz bem o trabalho, eu queria um corredor de bateria, onde posso usá -lo em qualquer lugar. Acredite -me sem vaccum mais limpo é bom o suficiente para carros muito sujos, por isso, se você estiver esperando uma limpeza de nível comercial, não compre. tats de saída e apenas enfia o limpador e dizem que não é bom. Os mans precisam ser retirados, o que realmente coleta poeira e derbies, essa pequena máquina pobre não pode lidar com uma limpeza de 100%. Se o carro estiver muito sujo você deve limpá -lo em um corredor profissional e comece a usar o pequeno.Eu descobri que isso estava fazendo o trabalho quando comparado ao corredor da minha casa. É ainda mais magro quando é atingido, mas acho que posso lidar com o trabalho, a qualidade dos acessórios é boa e o abeto e o acabamento são bons. Eu não vi nenhuma poeira escorrendo pelo compartimento e estava bem contido na câmara de poeira. Você pode dar uma aparência quase limpa e arrumada ao seu carro com esta máquina; novamente, um lavanderias profissionais pode fazer um bom trabalho que não custa nada menos que 15k.Eu diria que vale a pena comprar, usado delgentemente por não esperar muito. Só espero Se a empresa puder fornecer uma bolsa para carregá -la pelo preço ou encontrar uma por conta própria, que pode atender às suas necessidades., Perfeita</v>
      </c>
    </row>
    <row r="1282">
      <c r="A1282" s="9" t="s">
        <v>5199</v>
      </c>
      <c r="B1282" s="29" t="str">
        <f>VLOOKUP(dados!A1282, reviews!A:G, 5, FALSE)</f>
        <v>Only for grill sandwich use cord length is too shorthort,Decent product, has some old flaws,Good 👍,Every home should have this,Weak body material,but overall good product,Good one with a small issue.,Trusted brand,Nice product but cord length had to be replaced..very short</v>
      </c>
      <c r="C1282" s="29" t="str">
        <f>VLOOKUP(dados!A1282, reviews!A:G, 6, FALSE)</f>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v>
      </c>
      <c r="D1282" s="29" t="str">
        <f>IFERROR(__xludf.DUMMYFUNCTION("GOOGLETRANSLATE(B1282, ""en"", ""pt-br"")"),"Somente para o sanduíche da grade, o comprimento do cabo é muito shorthort, produto decente, tem algumas falhas antigas, bom 👍, toda casa deve ter isso, material corporal fraco, mas um bom produto em geral, bom com um pequeno problema. Mas o comprimento "&amp;"do cordão teve que ser substituído ... muito curto")</f>
        <v>Somente para o sanduíche da grade, o comprimento do cabo é muito shorthort, produto decente, tem algumas falhas antigas, bom 👍, toda casa deve ter isso, material corporal fraco, mas um bom produto em geral, bom com um pequeno problema. Mas o comprimento do cordão teve que ser substituído ... muito curto</v>
      </c>
      <c r="E1282" s="29" t="str">
        <f>IFERROR(__xludf.DUMMYFUNCTION("GOOGLETRANSLATE(C1282, ""en"", ""pt-br"")"),"Boa qualidade, mas o cordão é muito curto. É bom para os sanduíches., Produto de valor para dinheiro, faz o que promete. Revestimento de cerâmica. Os designers do peito não fizeram um único sanduíche com isso. Imagens de uso do produto e uso real não corr"&amp;"esponde. O mecanismo da dobradiça é falho e resultará em sanduíches planos. Se você forçar a dobradiça/ clipe a fechar, ele poderá quebrar o design do produto em 2022., bom toster e fácil de limpar um produto excelente. Cada casa deve ter este produto. Es"&amp;"pecialmente se você tem pais idosos, não se sentindo bem. Cozinhando difícil. Pode comer alguma coisa. Mesmo pessoas idosas/ pais podem usá -lo e começar o dia tomando café da manhã a tempo, de manhã. Lanche de noite, etc. o recurso de corte de energia au"&amp;"tomática é a maior atração e fácil limpeza. A qualidade construída é excelente. A maioria das pessoas ocupadas pula o café da manhã, você não precisa pular se tiver este produto e um pacote de pão, e se houver alguns vegetais, café da manhã de luxo com es"&amp;"te produto, você pode fazer um sanduíche grande a pequeno sem problemas, em um Tempo 2 Sanduíche ... mas tenha cuidado, o corpo é fraco, a possibilidade de dano é mais., Pros-1. Revestimento de cerâmica e não tóxico.2. Pode fazer 2 sanduíches jumbo imedia"&amp;"tamente. Leva apenas 3-4 minutos.cons-1. Teve que fechá -lo manualmente, pois o ajustador de altura é pequeno., A marca Vakue é justificada. O produto é bom, fácil de manusear, vá em frente e compre, se a UBR procurando um churrasqueiro de confiança, gost"&amp;"a do produto, mas o comprimento do cordão é curto ... tive para substituí -lo")</f>
        <v>Boa qualidade, mas o cordão é muito curto. É bom para os sanduíches., Produto de valor para dinheiro, faz o que promete. Revestimento de cerâmica. Os designers do peito não fizeram um único sanduíche com isso. Imagens de uso do produto e uso real não corresponde. O mecanismo da dobradiça é falho e resultará em sanduíches planos. Se você forçar a dobradiça/ clipe a fechar, ele poderá quebrar o design do produto em 2022., bom toster e fácil de limpar um produto excelente. Cada casa deve ter este produto. Especialmente se você tem pais idosos, não se sentindo bem. Cozinhando difícil. Pode comer alguma coisa. Mesmo pessoas idosas/ pais podem usá -lo e começar o dia tomando café da manhã a tempo, de manhã. Lanche de noite, etc. o recurso de corte de energia automática é a maior atração e fácil limpeza. A qualidade construída é excelente. A maioria das pessoas ocupadas pula o café da manhã, você não precisa pular se tiver este produto e um pacote de pão, e se houver alguns vegetais, café da manhã de luxo com este produto, você pode fazer um sanduíche grande a pequeno sem problemas, em um Tempo 2 Sanduíche ... mas tenha cuidado, o corpo é fraco, a possibilidade de dano é mais., Pros-1. Revestimento de cerâmica e não tóxico.2. Pode fazer 2 sanduíches jumbo imediatamente. Leva apenas 3-4 minutos.cons-1. Teve que fechá -lo manualmente, pois o ajustador de altura é pequeno., A marca Vakue é justificada. O produto é bom, fácil de manusear, vá em frente e compre, se a UBR procurando um churrasqueiro de confiança, gosta do produto, mas o comprimento do cordão é curto ... tive para substituí -lo</v>
      </c>
    </row>
    <row r="1283">
      <c r="A1283" s="9" t="s">
        <v>5203</v>
      </c>
      <c r="B1283" s="29" t="str">
        <f>VLOOKUP(dados!A1283, reviews!A:G, 5, FALSE)</f>
        <v>Good product,Value for money,Auto cut is not working properly and fan continues even after auto cut...,Room heater,Worth of money,Budget friendly,Best room heater,Not satisfied with the product</v>
      </c>
      <c r="C1283" s="29" t="str">
        <f>VLOOKUP(dados!A1283, reviews!A:G, 6, FALSE)</f>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v>
      </c>
      <c r="D1283" s="29" t="str">
        <f>IFERROR(__xludf.DUMMYFUNCTION("GOOGLETRANSLATE(B1283, ""en"", ""pt-br"")"),"Bom produto, valor ao dinheiro, corte automático não está funcionando corretamente e os ventiladores continuam mesmo após o corte automático ..., aquecedor da sala, valor de dinheiro, orçamento amigável, melhor aquecedor de quarto, não satisfeito com o pr"&amp;"oduto")</f>
        <v>Bom produto, valor ao dinheiro, corte automático não está funcionando corretamente e os ventiladores continuam mesmo após o corte automático ..., aquecedor da sala, valor de dinheiro, orçamento amigável, melhor aquecedor de quarto, não satisfeito com o produto</v>
      </c>
      <c r="E1283" s="29" t="str">
        <f>IFERROR(__xludf.DUMMYFUNCTION("GOOGLETRANSLATE(C1283, ""en"", ""pt-br"")"),"Bom produto, mas preço 800-900 ok, é o produto bom, fácil de usar, muito útil., Corte automático Continue Better Fan ... que abaixe a temperatura., Gostei da ação giratória para espalhar o calor, batendo o produto ,, melhor aquecedor da sala. Obrigado, re"&amp;"cebi o artigo quebrado, mas não há serviço de substituição para este produto")</f>
        <v>Bom produto, mas preço 800-900 ok, é o produto bom, fácil de usar, muito útil., Corte automático Continue Better Fan ... que abaixe a temperatura., Gostei da ação giratória para espalhar o calor, batendo o produto ,, melhor aquecedor da sala. Obrigado, recebi o artigo quebrado, mas não há serviço de substituição para este produto</v>
      </c>
    </row>
    <row r="1284">
      <c r="A1284" s="9" t="s">
        <v>5207</v>
      </c>
      <c r="B1284" s="29" t="str">
        <f>VLOOKUP(dados!A1284, reviews!A:G, 5, FALSE)</f>
        <v>Worth Buying,Very good,Good and sturdy room heater with compact design.,Inalsa Hotty Heater,Good for winter,Don't buy it go for Amazon brand,Package,Decent</v>
      </c>
      <c r="C1284" s="29" t="str">
        <f>VLOOKUP(dados!A1284, reviews!A:G, 6, FALSE)</f>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v>
      </c>
      <c r="D1284" s="29" t="str">
        <f>IFERROR(__xludf.DUMMYFUNCTION("GOOGLETRANSLATE(B1284, ""en"", ""pt-br"")"),"Vale a pena comprar, muito bom, bom e robusto aquecedor com design compacto., Inalsa aquecedor quente, bom para o inverno, não compre para a marca Amazon, pacote, decente")</f>
        <v>Vale a pena comprar, muito bom, bom e robusto aquecedor com design compacto., Inalsa aquecedor quente, bom para o inverno, não compre para a marca Amazon, pacote, decente</v>
      </c>
      <c r="E1284" s="29" t="str">
        <f>IFERROR(__xludf.DUMMYFUNCTION("GOOGLETRANSLATE(C1284, ""en"", ""pt-br"")"),"O aquecedor é bom para a sala de tamanho normal, pode não funcionar em quarto ou salão maior, mas para o quarto de tamanho normal é celestial, como muito., O modelo quente produzido por inalsa é robusto e compacto em design fácil de lidar com boa qualidad"&amp;"e de cabo e rápido Capacidade de aquecimento com sistema de corte automático. Eu recebi este produto com a rede de ar crack de entrada, mas ele foi substituído pelo New One por Inalsa e Amazona à vontade. Seria uma vantagem adicional se o defletor de ar f"&amp;"osse facilitado nisso com boa qualidade de luz indicação. Todo e todo o produto de boa qualidade nessa faixa de preço, este aquecedor de hotel é muito leve e compacto em design, tem uma capacidade de aquecimento rápida e vem com sistema de corte automátic"&amp;"o, é bom para uma sala de tamanho médio que o soprador mantém seu quarto quente Por grande quantidade de período, o preço também é razoável em geral, um ótimo produto da Inalsa. Não há valor pelo dinheiro., O pacote está danificado, mas o produto está em "&amp;"boas condições, desempenho razoável para o preço")</f>
        <v>O aquecedor é bom para a sala de tamanho normal, pode não funcionar em quarto ou salão maior, mas para o quarto de tamanho normal é celestial, como muito., O modelo quente produzido por inalsa é robusto e compacto em design fácil de lidar com boa qualidade de cabo e rápido Capacidade de aquecimento com sistema de corte automático. Eu recebi este produto com a rede de ar crack de entrada, mas ele foi substituído pelo New One por Inalsa e Amazona à vontade. Seria uma vantagem adicional se o defletor de ar fosse facilitado nisso com boa qualidade de luz indicação. Todo e todo o produto de boa qualidade nessa faixa de preço, este aquecedor de hotel é muito leve e compacto em design, tem uma capacidade de aquecimento rápida e vem com sistema de corte automático, é bom para uma sala de tamanho médio que o soprador mantém seu quarto quente Por grande quantidade de período, o preço também é razoável em geral, um ótimo produto da Inalsa. Não há valor pelo dinheiro., O pacote está danificado, mas o produto está em boas condições, desempenho razoável para o preço</v>
      </c>
    </row>
    <row r="1285">
      <c r="A1285" s="9" t="s">
        <v>5211</v>
      </c>
      <c r="B1285" s="29" t="str">
        <f>VLOOKUP(dados!A1285, reviews!A:G, 5, FALSE)</f>
        <v>product good but service bad unexpected,Its good,Very nice product,Efficient Product,Nice,Very good and useful product as expected before buy.,Handle length is too good you can use whole dram,Very fast heating</v>
      </c>
      <c r="C1285" s="29" t="str">
        <f>VLOOKUP(dados!A1285, reviews!A:G, 6, FALSE)</f>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v>
      </c>
      <c r="D1285" s="29" t="str">
        <f>IFERROR(__xludf.DUMMYFUNCTION("GOOGLETRANSLATE(B1285, ""en"", ""pt-br"")"),"Produto bom, mas serviço ruim inesperado, seu produto bom, muito bom, produto eficiente, produto agradável, muito bom e útil, como esperado antes da compra., o comprimento é bom demais, você pode usar drama inteira, aquecimento muito rápido")</f>
        <v>Produto bom, mas serviço ruim inesperado, seu produto bom, muito bom, produto eficiente, produto agradável, muito bom e útil, como esperado antes da compra., o comprimento é bom demais, você pode usar drama inteira, aquecimento muito rápido</v>
      </c>
      <c r="E1285" s="29" t="str">
        <f>IFERROR(__xludf.DUMMYFUNCTION("GOOGLETRANSLATE(C1285, ""en"", ""pt-br"")"),"Sem dúvida, o produto é bom, mas depois da função de corte de energia automática do produto de 2 meses, não está funcionando, então tente reivindicar uma garantia, mas Havells disse que a conversa com a Amazon e a Amazon disse que conversa com Havells, ta"&amp;"nto a Coman que levanta. A propósito, o produto deu 2 anos, mas eles me deram apenas excitação. Experiências muito ruins com Havells. Nunca esperado, é bom o Ony Pro e os contras podem ser a aba. PROMOS POSSO DIZER é que a aba pode ser usada para um balde"&amp;" de água mais amplo para aquecer contras que você pode dizer é o novamente as abas BCOZ, enquanto não em uso, as abas devem Esteja fechado e você não pode pendurar o aquecedor em nenhum lugar de que não há opção. Os retalhos podem causar o problema BCOZ, "&amp;"ele deve ser mantido no chão enquanto não estiver em uso ... o restante é bom. O recurso de corte automático é o melhor, o comprimento do cordão é um bom controle de eficiência de redução de energia. Mas há também falha de design que você não pode inseri "&amp;"-la no balde e a água meio cheia devem estar cheios., INCRÍVEL, muito bom produto ,, eficiência energética não é bom, não é bom")</f>
        <v>Sem dúvida, o produto é bom, mas depois da função de corte de energia automática do produto de 2 meses, não está funcionando, então tente reivindicar uma garantia, mas Havells disse que a conversa com a Amazon e a Amazon disse que conversa com Havells, tanto a Coman que levanta. A propósito, o produto deu 2 anos, mas eles me deram apenas excitação. Experiências muito ruins com Havells. Nunca esperado, é bom o Ony Pro e os contras podem ser a aba. PROMOS POSSO DIZER é que a aba pode ser usada para um balde de água mais amplo para aquecer contras que você pode dizer é o novamente as abas BCOZ, enquanto não em uso, as abas devem Esteja fechado e você não pode pendurar o aquecedor em nenhum lugar de que não há opção. Os retalhos podem causar o problema BCOZ, ele deve ser mantido no chão enquanto não estiver em uso ... o restante é bom. O recurso de corte automático é o melhor, o comprimento do cordão é um bom controle de eficiência de redução de energia. Mas há também falha de design que você não pode inseri -la no balde e a água meio cheia devem estar cheios., INCRÍVEL, muito bom produto ,, eficiência energética não é bom, não é bom</v>
      </c>
    </row>
    <row r="1286">
      <c r="A1286" s="9" t="s">
        <v>5215</v>
      </c>
      <c r="B1286" s="29" t="str">
        <f>VLOOKUP(dados!A1286, reviews!A:G, 5, FALSE)</f>
        <v>Nice Product,Three options (toaster/grill/waffle maker) are  neatly packed into this readily usable device.,Product arrived in under 24 hrs...yet to test it,Good Quality,Very nice,Don't know why I waited so long to get this!,Value for money,Good quality, could have been somewhat lower in price</v>
      </c>
      <c r="C1286" s="29" t="str">
        <f>VLOOKUP(dados!A1286, reviews!A:G, 6, FALSE)</f>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v>
      </c>
      <c r="D1286" s="29" t="str">
        <f>IFERROR(__xludf.DUMMYFUNCTION("GOOGLETRANSLATE(B1286, ""en"", ""pt-br"")"),"Produto agradável, três opções (fabricante de torradeira/churrasqueira/waffle) são cuidadosamente embaladas neste dispositivo prontamente utilizável., Produto chegou em menos de 24 horas ... ainda para testá -lo, boa qualidade, muito bom, não sei por que "&amp;"esperei Tanto tempo para conseguir isso!, Recurso pelo dinheiro, boa qualidade, poderia ter sido um pouco menor de preço")</f>
        <v>Produto agradável, três opções (fabricante de torradeira/churrasqueira/waffle) são cuidadosamente embaladas neste dispositivo prontamente utilizável., Produto chegou em menos de 24 horas ... ainda para testá -lo, boa qualidade, muito bom, não sei por que esperei Tanto tempo para conseguir isso!, Recurso pelo dinheiro, boa qualidade, poderia ter sido um pouco menor de preço</v>
      </c>
      <c r="E1286" s="29" t="str">
        <f>IFERROR(__xludf.DUMMYFUNCTION("GOOGLETRANSLATE(C1286, ""en"", ""pt-br"")"),"No geral, o bom podco é apenas um problema é que o comprimento do cordão é incrível. Fácil de limpar e fácil de manusear., Usamos isso para fabricação de sanduíche e ele teve um bom desempenho. As placas para a fabricação de grade e waffle são prontamente"&amp;" intercambiáveis. O comprimento do cordão é adequado, embora o cordão um pouco mais longo teria sido ótimo. O dispositivo é prontamente portátil devido ao seu tamanho e peso. No geral, muito útil.!, Https: //m.media-amazon.com/images/i/71cciiohxul._sy88.j"&amp;"pg, a qualidade do produto é boa, usada algumas vezes ... Eu queria um sanduíche e me recusei a comprar um de uma loja, já que era todo 2K-4K e não tinha metade dos recursos que eu estava procurando. Vi isso e Love Ibell como uma próxima marca indiana (po"&amp;"ssui uma lixadeira elétrica também), então não pensei duas vezes e entendeu isso. Não se arrependa nem um pouco !! Os profissionais são as três placas intercambiáveis ​​para diferentes nossas posicionas. O Grill One é fantástico ouvir todos os tipos de sa"&amp;"nduíches e rolos e outros alimentos. Todas as placas também são facilmente removíveis e laváveis. Só que eu vi isso era que a trava não estava de maneira adequada enquanto fazia um sanduíche fortemente carregado no sanduíche. Caso contrário, é um produto "&amp;"de primeira linha em comparação com outras grandes marcas!, Todas as três funcionalidades funcionam muito bem. A única coisa é que deveria ter o recurso de desligamento automático. No entanto, é um produto muito bom e vale o dinheiro. O sanduíche também é"&amp;" feito rápido., Encomendei o sanduíche de placas removíveis do VGUARD, mas ficou com defeito. O botão de ejeção das placas teve um problema. Mais tarde, pedi este, como foi recomendado por alguém que eu conheço. É de boa qualidade, apenas isso poderia ter"&amp;" sido um preço um pouco mais baixo")</f>
        <v>No geral, o bom podco é apenas um problema é que o comprimento do cordão é incrível. Fácil de limpar e fácil de manusear., Usamos isso para fabricação de sanduíche e ele teve um bom desempenho. As placas para a fabricação de grade e waffle são prontamente intercambiáveis. O comprimento do cordão é adequado, embora o cordão um pouco mais longo teria sido ótimo. O dispositivo é prontamente portátil devido ao seu tamanho e peso. No geral, muito útil.!, Https: //m.media-amazon.com/images/i/71cciiohxul._sy88.jpg, a qualidade do produto é boa, usada algumas vezes ... Eu queria um sanduíche e me recusei a comprar um de uma loja, já que era todo 2K-4K e não tinha metade dos recursos que eu estava procurando. Vi isso e Love Ibell como uma próxima marca indiana (possui uma lixadeira elétrica também), então não pensei duas vezes e entendeu isso. Não se arrependa nem um pouco !! Os profissionais são as três placas intercambiáveis ​​para diferentes nossas posicionas. O Grill One é fantástico ouvir todos os tipos de sanduíches e rolos e outros alimentos. Todas as placas também são facilmente removíveis e laváveis. Só que eu vi isso era que a trava não estava de maneira adequada enquanto fazia um sanduíche fortemente carregado no sanduíche. Caso contrário, é um produto de primeira linha em comparação com outras grandes marcas!, Todas as três funcionalidades funcionam muito bem. A única coisa é que deveria ter o recurso de desligamento automático. No entanto, é um produto muito bom e vale o dinheiro. O sanduíche também é feito rápido., Encomendei o sanduíche de placas removíveis do VGUARD, mas ficou com defeito. O botão de ejeção das placas teve um problema. Mais tarde, pedi este, como foi recomendado por alguém que eu conheço. É de boa qualidade, apenas isso poderia ter sido um preço um pouco mais baixo</v>
      </c>
    </row>
    <row r="1287">
      <c r="A1287" s="9" t="s">
        <v>5219</v>
      </c>
      <c r="B1287" s="29" t="str">
        <f>VLOOKUP(dados!A1287, reviews!A:G, 5, FALSE)</f>
        <v>Great value,Very Nice product,Very good product at reasonable price,Nice Product. Cost efficient,Value for money,good product for the price,very powerfull motor best product i like it,Good product</v>
      </c>
      <c r="C1287" s="29" t="str">
        <f>VLOOKUP(dados!A1287, reviews!A:G, 6, FALSE)</f>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v>
      </c>
      <c r="D1287" s="29" t="str">
        <f>IFERROR(__xludf.DUMMYFUNCTION("GOOGLETRANSLATE(B1287, ""en"", ""pt-br"")"),"Ótimo valor, produto muito bom, produto muito bom a um preço razoável, bom produto. Econômico, valor ao dinheiro, bom produto para o preço, muito poderoso produto METOR METOR DE MOTOR GOSTO, bom produto")</f>
        <v>Ótimo valor, produto muito bom, produto muito bom a um preço razoável, bom produto. Econômico, valor ao dinheiro, bom produto para o preço, muito poderoso produto METOR METOR DE MOTOR GOSTO, bom produto</v>
      </c>
      <c r="E1287" s="29" t="str">
        <f>IFERROR(__xludf.DUMMYFUNCTION("GOOGLETRANSLATE(C1287, ""en"", ""pt-br"")"),"Comprei isso há quase um mês, até agora funciona bem. O poder de sucção está acima da média. Recurso do soprador é uma boa adição. Só é um pouco alto., Produto muito bom ..... realmente incrível, é muito robusto, as rodas são muito boas para que você poss"&amp;"a levá -lo aonde quiser. O cabo elétrico é longo., Merece o objetivo., Apenas valor ao dinheiro, bom para uso doméstico, melhor produto de motor muito poderoso que eu gosto, o produto é bom honestamente, eu o testei para limpar a sujeira seca. E, na medid"&amp;"a em que isso funciona muito bem. Bom acorde de potência e acessórios agradáveis ​​que oferecem à limpeza uma abordagem melhor.")</f>
        <v>Comprei isso há quase um mês, até agora funciona bem. O poder de sucção está acima da média. Recurso do soprador é uma boa adição. Só é um pouco alto., Produto muito bom ..... realmente incrível, é muito robusto, as rodas são muito boas para que você possa levá -lo aonde quiser. O cabo elétrico é longo., Merece o objetivo., Apenas valor ao dinheiro, bom para uso doméstico, melhor produto de motor muito poderoso que eu gosto, o produto é bom honestamente, eu o testei para limpar a sujeira seca. E, na medida em que isso funciona muito bem. Bom acorde de potência e acessórios agradáveis ​​que oferecem à limpeza uma abordagem melhor.</v>
      </c>
    </row>
    <row r="1288">
      <c r="A1288" s="9" t="s">
        <v>5223</v>
      </c>
      <c r="B1288" s="29" t="str">
        <f>VLOOKUP(dados!A1288, reviews!A:G, 5, FALSE)</f>
        <v>Portable but not much powerful,not so good. power back up is very poor.its more like a toy for my 9 years old girl.,500 rs ok,Don't be fooled by ratings, not a good product,Not recommended,Worst Battery, no use,It is affordable .,User friendly blender, Recommended to buy nice products</v>
      </c>
      <c r="C1288" s="29" t="str">
        <f>VLOOKUP(dados!A1288, reviews!A:G, 6, FALSE)</f>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v>
      </c>
      <c r="D1288" s="29" t="str">
        <f>IFERROR(__xludf.DUMMYFUNCTION("GOOGLETRANSLATE(B1288, ""en"", ""pt-br"")"),"Portátil, mas não muito poderoso, não tão bom. O Power Back Up é muito ruim. Mais como um brinquedo para minha menina de 9 anos., 500 Rs Ok, não se deixe enganar pelas classificações, não um bom produto, não recomendado, pior bateria, sem uso, é acessível"&amp;". , Liquidificador amigável, recomendado para comprar produtos agradáveis")</f>
        <v>Portátil, mas não muito poderoso, não tão bom. O Power Back Up é muito ruim. Mais como um brinquedo para minha menina de 9 anos., 500 Rs Ok, não se deixe enganar pelas classificações, não um bom produto, não recomendado, pior bateria, sem uso, é acessível. , Liquidificador amigável, recomendado para comprar produtos agradáveis</v>
      </c>
      <c r="E1288" s="29" t="str">
        <f>IFERROR(__xludf.DUMMYFUNCTION("GOOGLETRANSLATE(C1288, ""en"", ""pt-br"")"),"Não é poder suficiente, o produto é mais como um brinquedo para crianças. Não posso usá -lo como um espremedor adequado. O backup de energia é muito ruim., OK, eu tive que substituir este produto pela primeira vez porque estava vazando e agora depois de s"&amp;"ubstituir o novo não tem backup de bateria e vibra demais. O MRP está acima de 2000 rúpias, o que não é de todo justo pelo produto. Depois de comprar o produto, descobri que, com o produto, eles estão oferecendo uma oferta de reembolso de 25 a 100 Rs se v"&amp;"ocê fizer uma revisão de 5 estrelas, provavelmente é por isso que ele tem boas classificações. Sinto que fui enganado com as classificações., Resíduos, resíduos, pois o espremedor está vazando, o que cria toda a bagunça do lugar e o espremedor não tritura"&amp;" corretamente onde os pedaços de frutas permanecem sem recepção. Geralmente, não escrevo resenhas, mas fui forçado a escrever este, pois isso é apenas um desperdício de dinheiro com sabedoria por algo melhor, não funciona corretamente, depois de cobrar po"&amp;"r 4 horas a bateria dura apenas 30 - 45 segundos. Produto muito ruim. E eles deram um cupom de reembolso para atrair uma boa classificação. Informações sobre a manutenção são fornecidas na página de detalhes., Comprei isso principalmente para o Milk Shake"&amp;" e faz um trabalho incrível e é acessível, mas não funcionou enquanto Carregamento, liquidificador amigável, muito útil para os acomodadores do PG. Estou usando isso para fazer um shake de proteína desde o primeiro dia em que fui recebido da Amazon.")</f>
        <v>Não é poder suficiente, o produto é mais como um brinquedo para crianças. Não posso usá -lo como um espremedor adequado. O backup de energia é muito ruim., OK, eu tive que substituir este produto pela primeira vez porque estava vazando e agora depois de substituir o novo não tem backup de bateria e vibra demais. O MRP está acima de 2000 rúpias, o que não é de todo justo pelo produto. Depois de comprar o produto, descobri que, com o produto, eles estão oferecendo uma oferta de reembolso de 25 a 100 Rs se você fizer uma revisão de 5 estrelas, provavelmente é por isso que ele tem boas classificações. Sinto que fui enganado com as classificações., Resíduos, resíduos, pois o espremedor está vazando, o que cria toda a bagunça do lugar e o espremedor não tritura corretamente onde os pedaços de frutas permanecem sem recepção. Geralmente, não escrevo resenhas, mas fui forçado a escrever este, pois isso é apenas um desperdício de dinheiro com sabedoria por algo melhor, não funciona corretamente, depois de cobrar por 4 horas a bateria dura apenas 30 - 45 segundos. Produto muito ruim. E eles deram um cupom de reembolso para atrair uma boa classificação. Informações sobre a manutenção são fornecidas na página de detalhes., Comprei isso principalmente para o Milk Shake e faz um trabalho incrível e é acessível, mas não funcionou enquanto Carregamento, liquidificador amigável, muito útil para os acomodadores do PG. Estou usando isso para fazer um shake de proteína desde o primeiro dia em que fui recebido da Amazon.</v>
      </c>
    </row>
    <row r="1289">
      <c r="A1289" s="9" t="s">
        <v>5227</v>
      </c>
      <c r="B1289" s="29" t="str">
        <f>VLOOKUP(dados!A1289, reviews!A:G, 5, FALSE)</f>
        <v>Good Fan for this Price,Good fan with high speed,A decent product for the price.,Good,Good in price,Very happy with Amazon,Good,Good</v>
      </c>
      <c r="C1289" s="29" t="str">
        <f>VLOOKUP(dados!A1289, reviews!A:G, 6, FALSE)</f>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👍,Good , while running time slightly shaking . We don't no why .. but it's fixed properly,Good</v>
      </c>
      <c r="D1289" s="29" t="str">
        <f>IFERROR(__xludf.DUMMYFUNCTION("GOOGLETRANSLATE(B1289, ""en"", ""pt-br"")"),"Bom fã por esse preço, bom fã com alta velocidade, um produto decente para o preço., Bom, bom em preço, muito feliz com a Amazon, bom, bom")</f>
        <v>Bom fã por esse preço, bom fã com alta velocidade, um produto decente para o preço., Bom, bom em preço, muito feliz com a Amazon, bom, bom</v>
      </c>
      <c r="E1289" s="29" t="str">
        <f>IFERROR(__xludf.DUMMYFUNCTION("GOOGLETRANSLATE(C1289, ""en"", ""pt-br"")"),"Não faz barulho. Velocidade Ok para esta faixa de preço. Peso leve. Eu não enfrento nenhum problema neste fã. Over são bons., Um bom fã de Crompton, os fãs foram bem construídos e uma relação custo / benefício. O barulho na velocidade máxima é meio alto. "&amp;"(Não é possível reclamar com esse preço.), Controle de velocidade não está funcionando, bom, bom produto 👍, bom, ao longo do tempo, tremendo um pouco. Não não, não, porquê ... mas é fixo corretamente, bom")</f>
        <v>Não faz barulho. Velocidade Ok para esta faixa de preço. Peso leve. Eu não enfrento nenhum problema neste fã. Over são bons., Um bom fã de Crompton, os fãs foram bem construídos e uma relação custo / benefício. O barulho na velocidade máxima é meio alto. (Não é possível reclamar com esse preço.), Controle de velocidade não está funcionando, bom, bom produto 👍, bom, ao longo do tempo, tremendo um pouco. Não não, não, porquê ... mas é fixo corretamente, bom</v>
      </c>
    </row>
    <row r="1290">
      <c r="A1290" s="9" t="s">
        <v>5231</v>
      </c>
      <c r="B1290" s="29" t="str">
        <f>VLOOKUP(dados!A1290, reviews!A:G, 5, FALSE)</f>
        <v>Best mixer juicer,Nice,Best product in this price,Good Product, can buy it.,Very easy to handle and very sturdy mixer,Realy great product... Noone providing such heavy motor.,Good product,Value for Money</v>
      </c>
      <c r="C1290" s="29" t="str">
        <f>VLOOKUP(dados!A1290, reviews!A:G, 6, FALSE)</f>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v>
      </c>
      <c r="D1290" s="29" t="str">
        <f>IFERROR(__xludf.DUMMYFUNCTION("GOOGLETRANSLATE(B1290, ""en"", ""pt-br"")"),"Melhor misturador espremedor, bom e melhor produto nesse preço, bom produto, pode comprá -lo., Muito fácil de manusear e misturador muito robusto, muito bom produto ... ninguém fornecendo um motor tão pesado., Bom produto, valor para dinheiro")</f>
        <v>Melhor misturador espremedor, bom e melhor produto nesse preço, bom produto, pode comprá -lo., Muito fácil de manusear e misturador muito robusto, muito bom produto ... ninguém fornecendo um motor tão pesado., Bom produto, valor para dinheiro</v>
      </c>
      <c r="E1290" s="29" t="str">
        <f>IFERROR(__xludf.DUMMYFUNCTION("GOOGLETRANSLATE(C1290, ""en"", ""pt-br"")"),"Um dos melhores misturadores de espremedor que já usei até a data. Usou quase todas as marcas de renome, mas essa é uma classe separada. 3ª compra no círculo familiar, bom, é uma máquina única, pode fazer tudo o que passamos de um. Juicer Machine Qualidad"&amp;"e fina de moedor de mistura em poucos segundos e usa doméstico ou lojas e muito fácil de usar e limpar eu escolho depois que muitas máquinas usam é melhor todas elas., Se você quiser tirar o suco após vários dias de lacuna Então você pode preferir, um pou"&amp;"co regularmente não é bom, porque eu havia retirado o suco de Mausambi, mas seu desperdício não estava contendo um pouco de suco, o que pode dar uma perda para você. Caso contrário, é bom., Eu não usei Juicer Assim, 4 estrelas. Mas o misturador é excelent"&amp;"e. Mesmo itens duros, como o coco 🥥, as peças trituram em apenas 3-4 voltas. Muito feliz com o produto . Fácil de limpar. Apenas esperando para usar o espremedor., Experiência muito boa usando esse produto a partir de um ano., Produtos muito agradáveis ​"&amp;"​e mais poderosos motores, uma máquina agradável encontra o objetivo, pois eu estava procurando um espremedor de desempenho forte. é só isso. A qualidade da fabricação também é boa e resistente. Embora eu sinta")</f>
        <v>Um dos melhores misturadores de espremedor que já usei até a data. Usou quase todas as marcas de renome, mas essa é uma classe separada. 3ª compra no círculo familiar, bom, é uma máquina única, pode fazer tudo o que passamos de um. Juicer Machine Qualidade fina de moedor de mistura em poucos segundos e usa doméstico ou lojas e muito fácil de usar e limpar eu escolho depois que muitas máquinas usam é melhor todas elas., Se você quiser tirar o suco após vários dias de lacuna Então você pode preferir, um pouco regularmente não é bom, porque eu havia retirado o suco de Mausambi, mas seu desperdício não estava contendo um pouco de suco, o que pode dar uma perda para você. Caso contrário, é bom., Eu não usei Juicer Assim, 4 estrelas. Mas o misturador é excelente. Mesmo itens duros, como o coco 🥥, as peças trituram em apenas 3-4 voltas. Muito feliz com o produto . Fácil de limpar. Apenas esperando para usar o espremedor., Experiência muito boa usando esse produto a partir de um ano., Produtos muito agradáveis ​​e mais poderosos motores, uma máquina agradável encontra o objetivo, pois eu estava procurando um espremedor de desempenho forte. é só isso. A qualidade da fabricação também é boa e resistente. Embora eu sinta</v>
      </c>
    </row>
    <row r="1291">
      <c r="A1291" s="9" t="s">
        <v>5235</v>
      </c>
      <c r="B1291" s="29" t="str">
        <f>VLOOKUP(dados!A1291, reviews!A:G, 5, FALSE)</f>
        <v>service is excellent,  installation guy is very professional,  I liked the service,Amazing,Value for money,Nice product,Water is clean and tasty also. Its cleans very well,Good. Happy with the installation,Nice product at affordable price.,Affordable and we'll functioning R.O.</v>
      </c>
      <c r="C1291" s="29" t="str">
        <f>VLOOKUP(dados!A1291, reviews!A:G, 6, FALSE)</f>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v>
      </c>
      <c r="D1291" s="29" t="str">
        <f>IFERROR(__xludf.DUMMYFUNCTION("GOOGLETRANSLATE(B1291, ""en"", ""pt-br"")"),"O serviço é excelente, o cara da instalação é muito profissional, gostei do serviço, incrível, valor ao dinheiro, bom produto, a água também é limpa e saborosa. É muito bem limpa, bom. Feliz com a instalação, bom produto a preço acessível., Acessível e fu"&amp;"ncionaremos R.O.")</f>
        <v>O serviço é excelente, o cara da instalação é muito profissional, gostei do serviço, incrível, valor ao dinheiro, bom produto, a água também é limpa e saborosa. É muito bem limpa, bom. Feliz com a instalação, bom produto a preço acessível., Acessível e funcionaremos R.O.</v>
      </c>
      <c r="E1291" s="29" t="str">
        <f>IFERROR(__xludf.DUMMYFUNCTION("GOOGLETRANSLATE(C1291, ""en"", ""pt-br"")"),"Gosto mais do serviço e do produto, observe: escrever o produto logo após a instalação. O produto parece bom e a capacidade de armazenamento é boa o suficiente para uma família de 5. O técnico é muito amigável e instalou o produto sem problemas. Escreverá"&amp;" uma revisão detalhada depois de usar o produto minuciosamente., Seu produto de valor para dinheiro. Trabalho bem e a instalação foi pontual., Produto agradável e o serviço também é bom, o produto é muito bom. A pureza da água é excelente., Https: //m.med"&amp;"ia-amazon.com/images/w/webp_402378-t1/images/i/71nxtz0rvwl._sy88.jpg.product e a instalação é excelente. , Valor ao dinheiro R.O. capacidade de distribuição de água")</f>
        <v>Gosto mais do serviço e do produto, observe: escrever o produto logo após a instalação. O produto parece bom e a capacidade de armazenamento é boa o suficiente para uma família de 5. O técnico é muito amigável e instalou o produto sem problemas. Escreverá uma revisão detalhada depois de usar o produto minuciosamente., Seu produto de valor para dinheiro. Trabalho bem e a instalação foi pontual., Produto agradável e o serviço também é bom, o produto é muito bom. A pureza da água é excelente., Https: //m.media-amazon.com/images/w/webp_402378-t1/images/i/71nxtz0rvwl._sy88.jpg.product e a instalação é excelente. , Valor ao dinheiro R.O. capacidade de distribuição de água</v>
      </c>
    </row>
    <row r="1292">
      <c r="A1292" s="9" t="s">
        <v>5239</v>
      </c>
      <c r="B1292" s="29" t="str">
        <f>VLOOKUP(dados!A1292, reviews!A:G, 5, FALSE)</f>
        <v>Okay to use,Good value for a well finished product - recommended,Do not buy this product,Better than expected.,Best carafe from amazon,Build quality is not that great,Replacement parts not available or sold for twice as much as the value of the entire product,Good product</v>
      </c>
      <c r="C1292" s="29" t="str">
        <f>VLOOKUP(dados!A1292, reviews!A:G, 6, FALSE)</f>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v>
      </c>
      <c r="D1292" s="29" t="str">
        <f>IFERROR(__xludf.DUMMYFUNCTION("GOOGLETRANSLATE(B1292, ""en"", ""pt-br"")"),"Ok para usar, um bom valor para um produto bem acabado - recomendado, não compre este produto, melhor do que o esperado., Melhor jága da Amazon, a qualidade de construção não é tão boa, peças de reposição não disponíveis ou vendidas por duas vezes mais do"&amp;" que o valor de todo o produto, bom produto")</f>
        <v>Ok para usar, um bom valor para um produto bem acabado - recomendado, não compre este produto, melhor do que o esperado., Melhor jága da Amazon, a qualidade de construção não é tão boa, peças de reposição não disponíveis ou vendidas por duas vezes mais do que o valor de todo o produto, bom produto</v>
      </c>
      <c r="E1292" s="29" t="str">
        <f>IFERROR(__xludf.DUMMYFUNCTION("GOOGLETRANSLATE(C1292, ""en"", ""pt-br"")"),"O preço é bom, o uso é muito fácil, mas o produto não vale muito a pena comprar. Eu uso um percolator de café semelhante há mais de 20 anos - e meu antigo cavalo de trabalho, um chinês (Nova) ainda é capaz. Como era branco e, portanto, uma visão muito ape"&amp;"titiva agora, eu precisava de uma nova. chaleira, toda a unidade dentro de uma cobertura espessa. Francamente, esse tipo de embalagem é mais comum em equipamentos de áudio de ponta. 5 * mais para o design da embalagem.Size: Esta é uma pequena máquina - e "&amp;"fabrica cerca de 600 ml de café - suficiente para 2 canecas de uma só vez. Se você precisar de um volume maior - procure em outro lugar. A placa de metal inferior é perfeita e preta - terá que esperar e ver quando as manchas aparecem. A chaleira é de vidr"&amp;"o de boa qualidade e, embora nenhuma marca esteja presente, parece espessa o suficiente para suportar pequenos solavancos de lavagem. O balde de filtro e o suporte com a mola de controle de fluxo estão ok - espero que a mola e a arruela - que sejam fixa -"&amp;" durarão. A tampa se move suavemente e as dobradiças e o aspersor também parecem resistentes. Switch é firme.Function: Funcionou muito bem no primeiro uso. Eu tinha usado um papel de filtro de café extra em cima do balde de filtro de nylon. O fluxo era su"&amp;"ave. O licor de café começa fraco e depois pega força. O gotejamento pára bem com a remoção da chaleira - e embora o manual indique cautelosamente uma lacuna de 10 segundos para parada de gotejamento, não encontrei nenhum vazamento em remoção mais longa. "&amp;"No geral: muito satisfeito com minha nova cafeteira. Recomenda a compra. O produto não funciona dentro de um mês, fácil de usar, e ficou melhor do que eu esperava que fosse pelo preço., Apenas magnífico. Economiza muito tempo., A qualidade de plástico par"&amp;"a este produto é ruim. Parece um brinquedo. Eu havia comprado uma fritadeira no Amazon Basics, que tinha uma ótima qualidade de construção em comparação com este produto básico da Amazon, se você tentar encontrar uma parte de substituição que custa duas v"&amp;"ezes seu valor, é barato e quebrável. E o café é muito leve, desperdício de café e também não é um bom sabor., Bom produto e simples de usar")</f>
        <v>O preço é bom, o uso é muito fácil, mas o produto não vale muito a pena comprar. Eu uso um percolator de café semelhante há mais de 20 anos - e meu antigo cavalo de trabalho, um chinês (Nova) ainda é capaz. Como era branco e, portanto, uma visão muito apetitiva agora, eu precisava de uma nova. chaleira, toda a unidade dentro de uma cobertura espessa. Francamente, esse tipo de embalagem é mais comum em equipamentos de áudio de ponta. 5 * mais para o design da embalagem.Size: Esta é uma pequena máquina - e fabrica cerca de 600 ml de café - suficiente para 2 canecas de uma só vez. Se você precisar de um volume maior - procure em outro lugar. A placa de metal inferior é perfeita e preta - terá que esperar e ver quando as manchas aparecem. A chaleira é de vidro de boa qualidade e, embora nenhuma marca esteja presente, parece espessa o suficiente para suportar pequenos solavancos de lavagem. O balde de filtro e o suporte com a mola de controle de fluxo estão ok - espero que a mola e a arruela - que sejam fixa - durarão. A tampa se move suavemente e as dobradiças e o aspersor também parecem resistentes. Switch é firme.Function: Funcionou muito bem no primeiro uso. Eu tinha usado um papel de filtro de café extra em cima do balde de filtro de nylon. O fluxo era suave. O licor de café começa fraco e depois pega força. O gotejamento pára bem com a remoção da chaleira - e embora o manual indique cautelosamente uma lacuna de 10 segundos para parada de gotejamento, não encontrei nenhum vazamento em remoção mais longa. No geral: muito satisfeito com minha nova cafeteira. Recomenda a compra. O produto não funciona dentro de um mês, fácil de usar, e ficou melhor do que eu esperava que fosse pelo preço., Apenas magnífico. Economiza muito tempo., A qualidade de plástico para este produto é ruim. Parece um brinquedo. Eu havia comprado uma fritadeira no Amazon Basics, que tinha uma ótima qualidade de construção em comparação com este produto básico da Amazon, se você tentar encontrar uma parte de substituição que custa duas vezes seu valor, é barato e quebrável. E o café é muito leve, desperdício de café e também não é um bom sabor., Bom produto e simples de usar</v>
      </c>
    </row>
    <row r="1293">
      <c r="A1293" s="9" t="s">
        <v>5243</v>
      </c>
      <c r="B1293" s="29" t="str">
        <f>VLOOKUP(dados!A1293, reviews!A:G, 5, FALSE)</f>
        <v>no,Good and reliable product 👍,Overall very fine Quality,Useful product helped my family a lot in winter,Operating switch is too hard for aged person,Sabse badhiya,Good product,Good product at this price</v>
      </c>
      <c r="C1293" s="29" t="str">
        <f>VLOOKUP(dados!A1293, reviews!A:G, 6, FALSE)</f>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v>
      </c>
      <c r="D1293" s="29" t="str">
        <f>IFERROR(__xludf.DUMMYFUNCTION("GOOGLETRANSLATE(B1293, ""en"", ""pt-br"")"),"Não, produto bom e confiável 👍, em geral, um produto de qualidade muito fino e útil ajudou muito minha família no inverno, o interruptor de operação é muito difícil para a pessoa envelhecida, sabse badhiya, bom produto, bom produto a esse preço")</f>
        <v>Não, produto bom e confiável 👍, em geral, um produto de qualidade muito fino e útil ajudou muito minha família no inverno, o interruptor de operação é muito difícil para a pessoa envelhecida, sabse badhiya, bom produto, bom produto a esse preço</v>
      </c>
      <c r="E1293" s="29" t="str">
        <f>IFERROR(__xludf.DUMMYFUNCTION("GOOGLETRANSLATE(C1293, ""en"", ""pt-br"")"),"Não, deve haver uma opção de controle de velocidade do ventilador. No geral, muito bom, pouco barulhento, mas esperado, o ventilador é um interruptor de operação de ruído é muito difícil para a pessoa envelhecida, melhor no mercado, bom produto. Fácil de "&amp;"usar., Recebido 2 dias atrás, a aparência, cor é boa. Aquecimento Nice, 3 ajustes para aquecimento 660W 1200W 2000W, o que você exige, o corte automático ou a proteção contra o calor disponível")</f>
        <v>Não, deve haver uma opção de controle de velocidade do ventilador. No geral, muito bom, pouco barulhento, mas esperado, o ventilador é um interruptor de operação de ruído é muito difícil para a pessoa envelhecida, melhor no mercado, bom produto. Fácil de usar., Recebido 2 dias atrás, a aparência, cor é boa. Aquecimento Nice, 3 ajustes para aquecimento 660W 1200W 2000W, o que você exige, o corte automático ou a proteção contra o calor disponível</v>
      </c>
    </row>
    <row r="1294">
      <c r="A1294" s="9" t="s">
        <v>5247</v>
      </c>
      <c r="B1294" s="29" t="str">
        <f>VLOOKUP(dados!A1294, reviews!A:G, 5, FALSE)</f>
        <v>It's working perfect,Excellent 👍🤠 piece,Value for money,Very good product,Good product,Good Quality 👌,Late delivery 12 days,Totally money West</v>
      </c>
      <c r="C1294" s="29" t="str">
        <f>VLOOKUP(dados!A1294, reviews!A:G, 6, FALSE)</f>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v>
      </c>
      <c r="D1294" s="29" t="str">
        <f>IFERROR(__xludf.DUMMYFUNCTION("GOOGLETRANSLATE(B1294, ""en"", ""pt-br"")"),"Está funcionando perfeito, excelente 👍🤠 peça, valor para dinheiro, produto muito bom, bom produto, boa qualidade 👌, entrega tardia 12 dias, totalmente dinheiro oeste")</f>
        <v>Está funcionando perfeito, excelente 👍🤠 peça, valor para dinheiro, produto muito bom, bom produto, boa qualidade 👌, entrega tardia 12 dias, totalmente dinheiro oeste</v>
      </c>
      <c r="E1294" s="29" t="str">
        <f>IFERROR(__xludf.DUMMYFUNCTION("GOOGLETRANSLATE(C1294, ""en"", ""pt-br"")"),"Tudo está bem sobre o produto, leve peso, bom soprador de ar e bom aquecimento, o preço mais importante é bom, melhor que você pode neste inverno sem dúvida, obrigado, obrigado pela Amazon por esse aquecedor, qualidade construída conforme descrição, Haneu"&amp;"l Brand Mesmo Como mencionado, um produto incrível a um preço incrível, trabalho de acordo com a descrição, a mesma marca recebida qualidade de construção também é excelente, ótima para o bolso de inverno com frequência, em comparação com outra marca, rec"&amp;"omendada, é um bom produto, peso e processo de aquecimento tão fácil e móvel , Valor ao dinheiro e qualidade também é bom., Não estou satisfeito porque o produto da qualidade do produto é ruim e use isso no heter semll muito iterando e de alto consumo elé"&amp;"trico elétrico")</f>
        <v>Tudo está bem sobre o produto, leve peso, bom soprador de ar e bom aquecimento, o preço mais importante é bom, melhor que você pode neste inverno sem dúvida, obrigado, obrigado pela Amazon por esse aquecedor, qualidade construída conforme descrição, Haneul Brand Mesmo Como mencionado, um produto incrível a um preço incrível, trabalho de acordo com a descrição, a mesma marca recebida qualidade de construção também é excelente, ótima para o bolso de inverno com frequência, em comparação com outra marca, recomendada, é um bom produto, peso e processo de aquecimento tão fácil e móvel , Valor ao dinheiro e qualidade também é bom., Não estou satisfeito porque o produto da qualidade do produto é ruim e use isso no heter semll muito iterando e de alto consumo elétrico elétrico</v>
      </c>
    </row>
    <row r="1295">
      <c r="A1295" s="9" t="s">
        <v>5251</v>
      </c>
      <c r="B1295" s="29" t="str">
        <f>VLOOKUP(dados!A1295, reviews!A:G, 5, FALSE)</f>
        <v>It's good,Happy to purchase,Product is really good.,It was excellent,Very Good Product,Heater,The final finish product is not  elegant.</v>
      </c>
      <c r="C1295" s="29" t="str">
        <f>VLOOKUP(dados!A1295, reviews!A:G, 6, FALSE)</f>
        <v>It's good  nd amazing product,Very nice product. Very low noise, leaves no dryness in air, elegant in looks, very fastly heat the room. Safely design. happy to purchase this  heater . 🤩⭐👍,It maintain the room temperature and provides sufficient heat.,It was really excellent product I like it,Awesome product,Product is very good,</v>
      </c>
      <c r="D1295" s="29" t="str">
        <f>IFERROR(__xludf.DUMMYFUNCTION("GOOGLETRANSLATE(B1295, ""en"", ""pt-br"")"),"É bom, feliz em comprar, o produto é realmente bom., Foi excelente, um produto muito bom, aquecedor, o produto final de acabamento não é elegante.")</f>
        <v>É bom, feliz em comprar, o produto é realmente bom., Foi excelente, um produto muito bom, aquecedor, o produto final de acabamento não é elegante.</v>
      </c>
      <c r="E1295" s="29" t="str">
        <f>IFERROR(__xludf.DUMMYFUNCTION("GOOGLETRANSLATE(C1295, ""en"", ""pt-br"")"),"É um bom produto incrível, produto muito bom. Ruído muito baixo, não deixa a secura no ar, elegante em aparência, aqueça muito rapidamente a sala. Projetar com segurança. Fico feliz em comprar este aquecedor. 🤩⭐👍, mantém a temperatura ambiente e fornece"&amp;" calor suficiente., Foi um produto realmente excelente que eu gosto, produto incrível, produto é muito bom,")</f>
        <v>É um bom produto incrível, produto muito bom. Ruído muito baixo, não deixa a secura no ar, elegante em aparência, aqueça muito rapidamente a sala. Projetar com segurança. Fico feliz em comprar este aquecedor. 🤩⭐👍, mantém a temperatura ambiente e fornece calor suficiente., Foi um produto realmente excelente que eu gosto, produto incrível, produto é muito bom,</v>
      </c>
    </row>
    <row r="1296">
      <c r="A1296" s="9" t="s">
        <v>5255</v>
      </c>
      <c r="B1296" s="29" t="str">
        <f>VLOOKUP(dados!A1296, reviews!A:G, 5, FALSE)</f>
        <v>Nice product,Ok,The lid could be more sturdier. Very thin plastic.,Not very good,Fine,Excellent product,Quality,Very good quality product,can store a week laundary</v>
      </c>
      <c r="C1296" s="29" t="str">
        <f>VLOOKUP(dados!A1296, reviews!A:G, 6, FALSE)</f>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👌,https://m.media-amazon.com/images/I/61g3Yt9YAyL._SY88.jpg</v>
      </c>
      <c r="D1296" s="29" t="str">
        <f>IFERROR(__xludf.DUMMYFUNCTION("GOOGLETRANSLATE(B1296, ""en"", ""pt-br"")"),"Bom produto, ok, a tampa pode ser mais robusta. Plástico muito fino., Produto não muito bom, fino, excelente, qualidade, produto de muito boa qualidade, pode armazenar uma semana de lavanderia")</f>
        <v>Bom produto, ok, a tampa pode ser mais robusta. Plástico muito fino., Produto não muito bom, fino, excelente, qualidade, produto de muito boa qualidade, pode armazenar uma semana de lavanderia</v>
      </c>
      <c r="E1296" s="29" t="str">
        <f>IFERROR(__xludf.DUMMYFUNCTION("GOOGLETRANSLATE(C1296, ""en"", ""pt-br"")"),"É um bom produto para roupas diárias fortes. Qualidade fina!, Flimsy e o alinhamento da tampa não é um bom design. A cor é sóbria, que eu mais gostei e não marrom brilhante. Eu tenho Milton e Size é quase o mesmo, embora Milton Bottom seja um pouco mais a"&amp;"mplo. Gostei mais dessa cor, então comprei isso., Como mostrado na imagem. A qualidade da cesta é boa. Esperava -se um pouco mais espesso. Não é tão resistente quanto o esperado, dada a marca e o preço, bom, bom para casa, também parece")</f>
        <v>É um bom produto para roupas diárias fortes. Qualidade fina!, Flimsy e o alinhamento da tampa não é um bom design. A cor é sóbria, que eu mais gostei e não marrom brilhante. Eu tenho Milton e Size é quase o mesmo, embora Milton Bottom seja um pouco mais amplo. Gostei mais dessa cor, então comprei isso., Como mostrado na imagem. A qualidade da cesta é boa. Esperava -se um pouco mais espesso. Não é tão resistente quanto o esperado, dada a marca e o preço, bom, bom para casa, também parece</v>
      </c>
    </row>
    <row r="1297">
      <c r="A1297" s="9" t="s">
        <v>5259</v>
      </c>
      <c r="B1297" s="29" t="str">
        <f>VLOOKUP(dados!A1297, reviews!A:G, 5, FALSE)</f>
        <v>Decently priced fan,Power saving fan low super qwality,Nice one, go for it,Fan rod was missing,Overall good fan at this price,Good,Love it .. nice product,Okay</v>
      </c>
      <c r="C1297" s="29" t="str">
        <f>VLOOKUP(dados!A1297, reviews!A:G, 6, FALSE)</f>
        <v>A good fan. Very sad no regulator, and had to spend money for a regulator,Iam like this prodect amazing,I’ve been using it since last 4 months and it doesn’t have any issues so far. Product came with all the necessary items and it works perfectly fine.,Rod was missing Kindly resend,Good performance and good fan.Just upper cap not given by company.Rest is good at this price.I hope it long lasts.,Good one,,Just okay don't get too much hype</v>
      </c>
      <c r="D1297" s="29" t="str">
        <f>IFERROR(__xludf.DUMMYFUNCTION("GOOGLETRANSLATE(B1297, ""en"", ""pt-br"")"),"Fã decentemente com preços, fã de economia de energia baixa super qwality, bom, vá em frente, Fan Rod estava faltando, fã geral a esse preço, bom, adoro .. bom produto, ok")</f>
        <v>Fã decentemente com preços, fã de economia de energia baixa super qwality, bom, vá em frente, Fan Rod estava faltando, fã geral a esse preço, bom, adoro .. bom produto, ok</v>
      </c>
      <c r="E1297" s="29" t="str">
        <f>IFERROR(__xludf.DUMMYFUNCTION("GOOGLETRANSLATE(C1297, ""en"", ""pt-br"")"),"Um bom fã. Muito triste sem regulador, e tive que gastar dinheiro para um regulador, como esse produto é incrível, eu o uso desde os últimos 4 meses e não tem problemas até agora. O produto veio com todos os itens necessários e funciona perfeitamente bem."&amp;", Rod estava faltando gentilmente, reenvie, bom desempenho e bom fã. Apenas a tampa superior não dada pela empresa. O restante é bom nesse preço. Espero que dura muito., Bom ,, apenas ok, não fique muito hype")</f>
        <v>Um bom fã. Muito triste sem regulador, e tive que gastar dinheiro para um regulador, como esse produto é incrível, eu o uso desde os últimos 4 meses e não tem problemas até agora. O produto veio com todos os itens necessários e funciona perfeitamente bem., Rod estava faltando gentilmente, reenvie, bom desempenho e bom fã. Apenas a tampa superior não dada pela empresa. O restante é bom nesse preço. Espero que dura muito., Bom ,, apenas ok, não fique muito hype</v>
      </c>
    </row>
    <row r="1298">
      <c r="A1298" s="9" t="s">
        <v>5263</v>
      </c>
      <c r="B1298" s="29" t="str">
        <f>VLOOKUP(dados!A1298, reviews!A:G, 5, FALSE)</f>
        <v>It is very good,Good product,Just go for it,Good product,Value For Money.,Good product easy to use,Pressure is very good but mtr shows 115bar,Nice Product.</v>
      </c>
      <c r="C1298" s="29" t="str">
        <f>VLOOKUP(dados!A1298, reviews!A:G, 6, FALSE)</f>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v>
      </c>
      <c r="D1298" s="29" t="str">
        <f>IFERROR(__xludf.DUMMYFUNCTION("GOOGLETRANSLATE(B1298, ""en"", ""pt-br"")"),"É muito bom, bom produto, basta ir em frente, bom produto, valor para dinheiro., Bom produto fácil de usar, a pressão é muito boa, mas o MTR mostra 115 bar, produto agradável.")</f>
        <v>É muito bom, bom produto, basta ir em frente, bom produto, valor para dinheiro., Bom produto fácil de usar, a pressão é muito boa, mas o MTR mostra 115 bar, produto agradável.</v>
      </c>
      <c r="E1298" s="29" t="str">
        <f>IFERROR(__xludf.DUMMYFUNCTION("GOOGLETRANSLATE(C1298, ""en"", ""pt-br"")"),"O produto funciona muito bem, fácil de usar, recomendo a este produto Shakti S5 para todos, para ruído!, Varie uma boa lavadora, o trabalho do produto varia bem, vá em frente, Paisa Vasool, arruela de carro incrível para uso doméstico. Boa pressão para a "&amp;"limpeza superior. Mas o tubo de entrada deve ter mais comprimento do que tem., Boa lavadora de pressão e fácil de usar, acho que o tubo de entrada precisa ser mais longo. bem como lavar meu carro. O produto é muito bom, com baixo ruído e boa pressão. Reco"&amp;"menda ter este produto para uso pessoal para lavar seu carro, piso, teto etc.")</f>
        <v>O produto funciona muito bem, fácil de usar, recomendo a este produto Shakti S5 para todos, para ruído!, Varie uma boa lavadora, o trabalho do produto varia bem, vá em frente, Paisa Vasool, arruela de carro incrível para uso doméstico. Boa pressão para a limpeza superior. Mas o tubo de entrada deve ter mais comprimento do que tem., Boa lavadora de pressão e fácil de usar, acho que o tubo de entrada precisa ser mais longo. bem como lavar meu carro. O produto é muito bom, com baixo ruído e boa pressão. Recomenda ter este produto para uso pessoal para lavar seu carro, piso, teto etc.</v>
      </c>
    </row>
    <row r="1299">
      <c r="A1299" s="9" t="s">
        <v>5267</v>
      </c>
      <c r="B1299" s="29" t="str">
        <f>VLOOKUP(dados!A1299, reviews!A:G, 5, FALSE)</f>
        <v>Best in its price range,Best suction power,Domestic Beast,Very good suction power and efficient,Beast of a Vaccum Cleaner 🔥💯,Good built quality,Nice product with good suction power,Great Product</v>
      </c>
      <c r="C1299" s="29" t="str">
        <f>VLOOKUP(dados!A1299, reviews!A:G, 6, FALSE)</f>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 Very Good quality steel and plastic build💯• The suction(28kpa) is really really good even with the thick carpets etc💯• The wheels are really good too,They move effortlessly 💯• You get a lot of accessories to clean different surfaces and they're good quality 💯• The blower function is really powerful 💯• The bag inside,which collects the dust &amp; dirt is big and can be cleaned &amp; Washed easily 💯• The noise level isn't much. Its okay, Not loud💯• The cord length is 5mtrs which is enough 💯• The overheating protection is Good💯• All the Accessories can be stored at the given spaces on the base💯Cons:• The only thing that I think should be improved is the locking mechanism of the extension pipes. They are good and fit well but if its a carpet or some other mats you're cleaning you need to tighten it well otherwise it loosens and needs to be tightened again and again.🌟 Overall a 10/10 Product which fits all your needs,Wet and Dry [Cleaning of course;⁠) ].Better than any other Vaccum cleaners in under 10k price range . Go for it 💯( P.s I've tried some other Vaccum cleaners too which are in the 6k and above range but this is the all in one OP Vaccum Cleaner💯),Good suction with great built quality,Good durability,good suction power and quality product,Vacuum cleaner is very fine, suction power is quite good, drying power is also just OK,noise level is high as I expected. Cost is high as compared to other brands. Overall I rated it four star.</v>
      </c>
      <c r="D1299" s="29" t="str">
        <f>IFERROR(__xludf.DUMMYFUNCTION("GOOGLETRANSLATE(B1299, ""en"", ""pt-br"")"),"Melhor em sua faixa de preço, melhor poder de sucção, besta doméstica, poder de sucção muito bom e eficiente, besta de um limpador de vácios 🔥💯, boa qualidade construída, bom produto com bom poder de sucção, ótimo produto")</f>
        <v>Melhor em sua faixa de preço, melhor poder de sucção, besta doméstica, poder de sucção muito bom e eficiente, besta de um limpador de vácios 🔥💯, boa qualidade construída, bom produto com bom poder de sucção, ótimo produto</v>
      </c>
      <c r="E1299" s="29" t="str">
        <f>IFERROR(__xludf.DUMMYFUNCTION("GOOGLETRANSLATE(C1299, ""en"", ""pt-br"")"),"Comprado na Amazon por preço total, sem ofertas, os concorrentes ainda vencidos por Rs.163Order foram colocados na quinta -feira 01/12/22, no final da noite às 23:00. Segunda -feira 05/12/22 às 10h. Parcel, por isso teve que ser baixado da Amazon. Aproxim"&amp;"adamente 10 minutos, o que eu acho que é bom pela primeira vez enquanto se familiariza com todos os vários anexos, etc. Primeiro impressões, o vácuo em si parece resistente, mas alguns apegos podem ser um pouco mais fortes. Especialmente, os tubos de exte"&amp;"nsão podem ser aço inoxidável, iguais ao tambor e telescópico em características / operação. A principal fixação da cabeça aspiradora usada para superfícies duras / piso também pode ser aço inoxidável à medida que é usado e é batido um pouco, prolongaria "&amp;"sua vida Melhor com um fusível de protetor de surto. O cordão é de comprimento decente, bastante impressionado com a qualidade do cordão. Além disso, o cordão, que não possui uma auto -caça e não pode ser inserido no corpo da unidade, após o uso pode ser "&amp;"repousado sobre o tambor de maneira sinuosa, ele meio que funciona e se mantém no lugar sem ser um incômodo. Mangueira, a mesma solução. As 2 travas laterais são razoavelmente fortes. As rodas são fáceis de instalar / inserir e funcionar bem. Seria absolu"&amp;"tamente fantástico se os vários anexos pudessem ser armazenados / trancados à unidade principal, enquanto não estiverem em uso, de armazenamento, mas conseguem entender as limitações nesse sentido. A primeira demo foi para o Vacuum.Noise média (não muito "&amp;"alta ou insuportável), razoável com qualquer outro vácuo doméstico de energia semelhante. Modo de vácuo (sucção) O ar é forçado a sair da saída do soprador, esta tomada é direcionada no lado oposta da unidade e é direcionada diretamente para o nível do pi"&amp;"so. Agora imagine, se você ainda não tivesse limpado essa parte da sala e essa poeira é jogada ao redor ou soprada nas superfícies já limpas, seria um trabalho interminável como um cachorro perseguindo seu rabo. Se essa tomada tivesse uma removível ou a c"&amp;"apacidade de girar algo como uma aba ou aberturas de CA ajustáveis ​​como nos carros, então isso poderia direcionar o ar soprado para cima enquanto aspira as superfícies e isso poderia ter sido de grande sentido. par de descritos ou reivindicados nos anún"&amp;"cios, nada muito emocionante, mas definitivamente não decepcionante, o trabalho que é importante. Então, segue a demo para o soprador. Esse recurso deve ser tecnicamente tão forte quanto o vácuo, porque a força da força de O ar sugou enquanto a aspiração "&amp;"é supostamente a mesma força, deixando a saída do soprador. Para tornar as coisas interessantes, há tainhas de peixe como 2 aberturas em ambos os lados da tampa. Essas aberturas são do tipo fixo, não podem ser fechadas ou abertas. Uma das ventilação muito"&amp;" leve pode ser sentida no ar, enquanto a outra ventilação sopra o ar em uma força significativa. Esse fenômeno em particular que eu fico confuso, porque, como eu entendo, a taxa de fuga de ar através dessa ventilação enfraquecerá a força que deveria deixa"&amp;"r a saída do soprador. Então faça disso o que quiser. Ainda faz o trabalho, se você está olhando para soprar folhas ou assustar o pet. Novamente nada muito emocionante, mas definitivamente não é decepcionante, o trabalho é importante. Pode precisar secar "&amp;"o MOP mesmo depois de usar a função úmida. Em fechamento, a compra, use -a com frequência conforme necessário e também ajuda a manter a forma, não permita que a poeira se acalme no seu soprador de vácuo. Bolsa para AMI-VCD21-1600WDX &amp; AMI-VCD15-1600WDXII)"&amp;" RODAK 35 mm de colchão e bico de estofamento para a vácuo de limpeza molhada e a seco, a importação da UE, ela tem a melhor potência de sucção entre os mais úmidos e secos, mais limpos, melhor que alguns dos limpadores de vácios secos. Comprei isso para "&amp;"minha mãe sogra. Ela gosta de ser fácil de usar. É simples e fácil conectar e remover tampas e tubos de poeira, os tubos de extensão são pouco soltos. É fácil limpar esses pêlos de gato agora. E não precisa se preocupar em sugar acidentalmente a água do c"&amp;"hão, porque é um limpador molhado e seco de vácuo. Espero que o atendimento ao cliente seja bom no caso de qualquer necessidade. Eles me enviam o pacote já aberto, mas não usados, eu acho. Eles poderiam ter nos enviado um novo pacote fechado perfeitamente"&amp;" selado. Sem queixas até agora. Gostei do recurso de capa de poeira reutilizável, também é fácil conectá -lo dentro. Fácil de lidar, não tem muito peso. Seria melhor se houvesse um enrolamento automático de cabos de energia com um interruptor., Este é um "&amp;"animal doméstico ... grande sucção. Somente coisa que deveria ter sido lá é o controle de velocidade. Contanto que limpe tudo sem ne para refazê -lo repetidamente, estou bem ... descanse como vai ficar com o tempo será algo para ver., É muito fácil de lim"&amp;"par, pois o poder de sucção é ótimo 👍 muito Máquina poderosa, de fato, estou procurando um bom limpador de vácios há muito tempo. Recentemente, me deparei com isso e li os comentários, etc. Alguns eram bons e outros eram ruins. Mas, ao mesmo tempo, não c"&amp;"onsegui encontrar especificações melhores em nenhum dos outros limpadores de vácios nesse segmento de preços, então finalmente o comprei. Vi uma grande caixa da Amazon bem embalada e protegida. UNBOXED e foi tão perfeito quanto nas imagens de estoque. Aqu"&amp;"i está a lista para você entender os prós e os contras o mais facilmente possível: ⁠-⁠) • Build de aço e plástico de muito boa qualidade 💯 • A sucção (28kpa) é realmente muito boa, mesmo com os tapetes grossos etc. • As rodas são realmente bons também, e"&amp;"les se movem sem esforço 💯 • Você obtém muitos acessórios para limpar diferentes superfícies e são de boa qualidade 💯 • A função do soprador é realmente poderosa 💯 • A bolsa dentro, que coleta a poeira e a sujeira é grande e pode ser limpo e lavado fac"&amp;"ilmente 💯 • O nível de ruído não é muito. Tudo bem, não é alto. é o mecanismo de travamento dos tubos de extensão. Eles são bons e em forma bem, mas se é um tapete ou alguns outros tapetes que você está limpando, você precisa apertá -lo bem, caso contrár"&amp;"io, afrouxe e precisa ser apertado repetidamente. Molhado e seco [limpeza, é claro; ⁠)]. Vá em frente 💯 (P.S eu tentei outros produtos de limpeza de vácuo que estão no intervalo de 6k e acima, mas este é o tudo em um limpador de vácuo OP), boa sucção com"&amp;" ótima qualidade construída, boa durabilidade, bom poder de sucção e poder de sucção e Produto de qualidade, o aspirador de pó é muito bom, a energia de sucção é muito boa, a potência de secagem também é boa, o nível de ruído é alto como eu esperava. O cu"&amp;"sto é alto em comparação com outras marcas. No geral, eu classifiquei com quatro estrelas.")</f>
        <v>Comprado na Amazon por preço total, sem ofertas, os concorrentes ainda vencidos por Rs.163Order foram colocados na quinta -feira 01/12/22, no final da noite às 23:00. Segunda -feira 05/12/22 às 10h. Parcel, por isso teve que ser baixado da Amazon. Aproximadamente 10 minutos, o que eu acho que é bom pela primeira vez enquanto se familiariza com todos os vários anexos, etc. Primeiro impressões, o vácuo em si parece resistente, mas alguns apegos podem ser um pouco mais fortes. Especialmente, os tubos de extensão podem ser aço inoxidável, iguais ao tambor e telescópico em características / operação. A principal fixação da cabeça aspiradora usada para superfícies duras / piso também pode ser aço inoxidável à medida que é usado e é batido um pouco, prolongaria sua vida Melhor com um fusível de protetor de surto. O cordão é de comprimento decente, bastante impressionado com a qualidade do cordão. Além disso, o cordão, que não possui uma auto -caça e não pode ser inserido no corpo da unidade, após o uso pode ser repousado sobre o tambor de maneira sinuosa, ele meio que funciona e se mantém no lugar sem ser um incômodo. Mangueira, a mesma solução. As 2 travas laterais são razoavelmente fortes. As rodas são fáceis de instalar / inserir e funcionar bem. Seria absolutamente fantástico se os vários anexos pudessem ser armazenados / trancados à unidade principal, enquanto não estiverem em uso, de armazenamento, mas conseguem entender as limitações nesse sentido. A primeira demo foi para o Vacuum.Noise média (não muito alta ou insuportável), razoável com qualquer outro vácuo doméstico de energia semelhante. Modo de vácuo (sucção) O ar é forçado a sair da saída do soprador, esta tomada é direcionada no lado oposta da unidade e é direcionada diretamente para o nível do piso. Agora imagine, se você ainda não tivesse limpado essa parte da sala e essa poeira é jogada ao redor ou soprada nas superfícies já limpas, seria um trabalho interminável como um cachorro perseguindo seu rabo. Se essa tomada tivesse uma removível ou a capacidade de girar algo como uma aba ou aberturas de CA ajustáveis ​​como nos carros, então isso poderia direcionar o ar soprado para cima enquanto aspira as superfícies e isso poderia ter sido de grande sentido. par de descritos ou reivindicados nos anúncios, nada muito emocionante, mas definitivamente não decepcionante, o trabalho que é importante. Então, segue a demo para o soprador. Esse recurso deve ser tecnicamente tão forte quanto o vácuo, porque a força da força de O ar sugou enquanto a aspiração é supostamente a mesma força, deixando a saída do soprador. Para tornar as coisas interessantes, há tainhas de peixe como 2 aberturas em ambos os lados da tampa. Essas aberturas são do tipo fixo, não podem ser fechadas ou abertas. Uma das ventilação muito leve pode ser sentida no ar, enquanto a outra ventilação sopra o ar em uma força significativa. Esse fenômeno em particular que eu fico confuso, porque, como eu entendo, a taxa de fuga de ar através dessa ventilação enfraquecerá a força que deveria deixar a saída do soprador. Então faça disso o que quiser. Ainda faz o trabalho, se você está olhando para soprar folhas ou assustar o pet. Novamente nada muito emocionante, mas definitivamente não é decepcionante, o trabalho é importante. Pode precisar secar o MOP mesmo depois de usar a função úmida. Em fechamento, a compra, use -a com frequência conforme necessário e também ajuda a manter a forma, não permita que a poeira se acalme no seu soprador de vácuo. Bolsa para AMI-VCD21-1600WDX &amp; AMI-VCD15-1600WDXII) RODAK 35 mm de colchão e bico de estofamento para a vácuo de limpeza molhada e a seco, a importação da UE, ela tem a melhor potência de sucção entre os mais úmidos e secos, mais limpos, melhor que alguns dos limpadores de vácios secos. Comprei isso para minha mãe sogra. Ela gosta de ser fácil de usar. É simples e fácil conectar e remover tampas e tubos de poeira, os tubos de extensão são pouco soltos. É fácil limpar esses pêlos de gato agora. E não precisa se preocupar em sugar acidentalmente a água do chão, porque é um limpador molhado e seco de vácuo. Espero que o atendimento ao cliente seja bom no caso de qualquer necessidade. Eles me enviam o pacote já aberto, mas não usados, eu acho. Eles poderiam ter nos enviado um novo pacote fechado perfeitamente selado. Sem queixas até agora. Gostei do recurso de capa de poeira reutilizável, também é fácil conectá -lo dentro. Fácil de lidar, não tem muito peso. Seria melhor se houvesse um enrolamento automático de cabos de energia com um interruptor., Este é um animal doméstico ... grande sucção. Somente coisa que deveria ter sido lá é o controle de velocidade. Contanto que limpe tudo sem ne para refazê -lo repetidamente, estou bem ... descanse como vai ficar com o tempo será algo para ver., É muito fácil de limpar, pois o poder de sucção é ótimo 👍 muito Máquina poderosa, de fato, estou procurando um bom limpador de vácios há muito tempo. Recentemente, me deparei com isso e li os comentários, etc. Alguns eram bons e outros eram ruins. Mas, ao mesmo tempo, não consegui encontrar especificações melhores em nenhum dos outros limpadores de vácios nesse segmento de preços, então finalmente o comprei. Vi uma grande caixa da Amazon bem embalada e protegida. UNBOXED e foi tão perfeito quanto nas imagens de estoque. Aqui está a lista para você entender os prós e os contras o mais facilmente possível: ⁠-⁠) • Build de aço e plástico de muito boa qualidade 💯 • A sucção (28kpa) é realmente muito boa, mesmo com os tapetes grossos etc. • As rodas são realmente bons também, eles se movem sem esforço 💯 • Você obtém muitos acessórios para limpar diferentes superfícies e são de boa qualidade 💯 • A função do soprador é realmente poderosa 💯 • A bolsa dentro, que coleta a poeira e a sujeira é grande e pode ser limpo e lavado facilmente 💯 • O nível de ruído não é muito. Tudo bem, não é alto. é o mecanismo de travamento dos tubos de extensão. Eles são bons e em forma bem, mas se é um tapete ou alguns outros tapetes que você está limpando, você precisa apertá -lo bem, caso contrário, afrouxe e precisa ser apertado repetidamente. Molhado e seco [limpeza, é claro; ⁠)]. Vá em frente 💯 (P.S eu tentei outros produtos de limpeza de vácuo que estão no intervalo de 6k e acima, mas este é o tudo em um limpador de vácuo OP), boa sucção com ótima qualidade construída, boa durabilidade, bom poder de sucção e poder de sucção e Produto de qualidade, o aspirador de pó é muito bom, a energia de sucção é muito boa, a potência de secagem também é boa, o nível de ruído é alto como eu esperava. O custo é alto em comparação com outras marcas. No geral, eu classifiquei com quatro estrelas.</v>
      </c>
    </row>
    <row r="1300">
      <c r="A1300" s="9" t="s">
        <v>5271</v>
      </c>
      <c r="B1300" s="29" t="str">
        <f>VLOOKUP(dados!A1300, reviews!A:G, 5, FALSE)</f>
        <v>Good,It's a good product. Go for it.,Easy to use,Good product, but quality is ok ok,Value for money,Gave new life to my old clothes-magical,I could not believe that this product is so good ✨✨,Good for woolen clothes</v>
      </c>
      <c r="C1300" s="29" t="str">
        <f>VLOOKUP(dados!A1300, reviews!A:G, 6, FALSE)</f>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💖,It's easy to use and useful especially in winters...</v>
      </c>
      <c r="D1300" s="29" t="str">
        <f>IFERROR(__xludf.DUMMYFUNCTION("GOOGLETRANSLATE(B1300, ""en"", ""pt-br"")"),"Bom, é um bom produto. Vá em frente., Fácil de usar, bom produto, mas a qualidade está ok, valor ao dinheiro, deu uma nova vida à minha velha roupa mágica, eu não podia acreditar que este produto é tão bom ✨✨, bom para roupas de lã")</f>
        <v>Bom, é um bom produto. Vá em frente., Fácil de usar, bom produto, mas a qualidade está ok, valor ao dinheiro, deu uma nova vida à minha velha roupa mágica, eu não podia acreditar que este produto é tão bom ✨✨, bom para roupas de lã</v>
      </c>
      <c r="E1300" s="29" t="str">
        <f>IFERROR(__xludf.DUMMYFUNCTION("GOOGLETRANSLATE(C1300, ""en"", ""pt-br"")"),"O plástico não é de pensamento de muito boa qualidade, mas faz bem o trabalho e é fácil de usar. Por muito tempo, ele funcionará, pois as lâminas são de baixa qualidade, o plástico do corpo é bom, o comprimento do cordão também é muito bom. Eu o usei em m"&amp;"inhas roupas de lã velhas, elas se tornaram novas, usadas em calça de algodão também, também é como novo, eu gosto deste produto, apenas os fabricantes devem melhorar sua qualidade., Valor por dinheiro, o produto é literalmente mágico . Isso deu uma nova "&amp;"vida a todas as minhas roupas de inverno velhas descartadas. Deve deve comprar coisas. Altamente recomendado. Estou muito feliz por ter comprado isso porque todas as minhas roupas se tornaram novas compras 💖, é fácil de usar e útil, especialmente em inve"&amp;"rnos ...")</f>
        <v>O plástico não é de pensamento de muito boa qualidade, mas faz bem o trabalho e é fácil de usar. Por muito tempo, ele funcionará, pois as lâminas são de baixa qualidade, o plástico do corpo é bom, o comprimento do cordão também é muito bom. Eu o usei em minhas roupas de lã velhas, elas se tornaram novas, usadas em calça de algodão também, também é como novo, eu gosto deste produto, apenas os fabricantes devem melhorar sua qualidade., Valor por dinheiro, o produto é literalmente mágico . Isso deu uma nova vida a todas as minhas roupas de inverno velhas descartadas. Deve deve comprar coisas. Altamente recomendado. Estou muito feliz por ter comprado isso porque todas as minhas roupas se tornaram novas compras 💖, é fácil de usar e útil, especialmente em invernos ...</v>
      </c>
    </row>
    <row r="1301">
      <c r="A1301" s="9" t="s">
        <v>5275</v>
      </c>
      <c r="B1301" s="29" t="str">
        <f>VLOOKUP(dados!A1301, reviews!A:G, 5, FALSE)</f>
        <v>Loved it,Good product,Good product,It's easy to use.,Fine product,Awesome Product,Nice product &amp; user friendly,Correct size and easy to use.</v>
      </c>
      <c r="C1301" s="29" t="str">
        <f>VLOOKUP(dados!A1301, reviews!A:G, 6, FALSE)</f>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v>
      </c>
      <c r="D1301" s="29" t="str">
        <f>IFERROR(__xludf.DUMMYFUNCTION("GOOGLETRANSLATE(B1301, ""en"", ""pt-br"")"),"Adorei, bom produto, bom produto, é fácil de usar., Produto fino, produto incrível, bom produto e amigável, tamanho correto e fácil de usar.")</f>
        <v>Adorei, bom produto, bom produto, é fácil de usar., Produto fino, produto incrível, bom produto e amigável, tamanho correto e fácil de usar.</v>
      </c>
      <c r="E1301" s="29" t="str">
        <f>IFERROR(__xludf.DUMMYFUNCTION("GOOGLETRANSLATE(C1301, ""en"", ""pt-br"")"),"Eu usei várias fritadeiras de ar. Mas este é o melhor e o valor pelo dinheiro, um bom produto e uma excelente demonstração foi dada por Manikandan em vídeo. A instalação virtual e a demonstração dada por Manikandan foram muito úteis e facilitaram o uso., "&amp;"Fácil de usar. Fácil de limpar. De fácil manutenção. Bom produto. O valor pelo dinheiro deve recomendar a todos. Muito obrigado., Este Airfryer, como esperado, é uma alternativa para pessoas que odeiam fritas profundas e petróleo menos alimentos. Não apen"&amp;"as esse maconha instantâneo poderia ser melhor do que outros aeronaves no mercado. A Manikandan deu uma demonstração do produto. Obrigado, uma explicação muito boa sobre o produto e sua função, em seguida, as precauções de segurança e esclarecem nossas dú"&amp;"vidas por Manikandan, e essa demonstração foi muito útil para nós., Nice Product &amp; Friendly, obteve uma sessão de vídeo para demonstração e instalação dada hoje pela Zafar. Ele explicou todas as opções muito bem e prontas para apoiar, mesmo após a demonst"&amp;"ração. Estou dando 5 estrelas para produtos e instalação., Este airfryer é mais satisfatório, compacto, não tamanho e fácil de limpar. Eu estava preocupado que seja muito grande.")</f>
        <v>Eu usei várias fritadeiras de ar. Mas este é o melhor e o valor pelo dinheiro, um bom produto e uma excelente demonstração foi dada por Manikandan em vídeo. A instalação virtual e a demonstração dada por Manikandan foram muito úteis e facilitaram o uso., Fácil de usar. Fácil de limpar. De fácil manutenção. Bom produto. O valor pelo dinheiro deve recomendar a todos. Muito obrigado., Este Airfryer, como esperado, é uma alternativa para pessoas que odeiam fritas profundas e petróleo menos alimentos. Não apenas esse maconha instantâneo poderia ser melhor do que outros aeronaves no mercado. A Manikandan deu uma demonstração do produto. Obrigado, uma explicação muito boa sobre o produto e sua função, em seguida, as precauções de segurança e esclarecem nossas dúvidas por Manikandan, e essa demonstração foi muito útil para nós., Nice Product &amp; Friendly, obteve uma sessão de vídeo para demonstração e instalação dada hoje pela Zafar. Ele explicou todas as opções muito bem e prontas para apoiar, mesmo após a demonstração. Estou dando 5 estrelas para produtos e instalação., Este airfryer é mais satisfatório, compacto, não tamanho e fácil de limpar. Eu estava preocupado que seja muito grande.</v>
      </c>
    </row>
    <row r="1302">
      <c r="A1302" s="9" t="s">
        <v>5279</v>
      </c>
      <c r="B1302" s="29" t="str">
        <f>VLOOKUP(dados!A1302, reviews!A:G, 5, FALSE)</f>
        <v>Sound is pretty annoying,Best Normal Water Purifier,Good product,Good,Good,Perfect product for a small family..,It’s a nice mid budget by product.,Great product truely satisfied</v>
      </c>
      <c r="C1302" s="29" t="str">
        <f>VLOOKUP(dados!A1302, reviews!A:G, 6, FALSE)</f>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it’s a nice mid budget product.,Good product great company service support HUL keep it up👍🏻</v>
      </c>
      <c r="D1302" s="29" t="str">
        <f>IFERROR(__xludf.DUMMYFUNCTION("GOOGLETRANSLATE(B1302, ""en"", ""pt-br"")"),"O som é bastante irritante, o melhor purificador de água normal, bom produto, bom, bom, produto perfeito para uma família pequena .., é um bom orçamento intermediário por produto., Ótimo produto verdadeiramente satisfeito")</f>
        <v>O som é bastante irritante, o melhor purificador de água normal, bom produto, bom, bom, produto perfeito para uma família pequena .., é um bom orçamento intermediário por produto., Ótimo produto verdadeiramente satisfeito</v>
      </c>
      <c r="E1302" s="29" t="str">
        <f>IFERROR(__xludf.DUMMYFUNCTION("GOOGLETRANSLATE(C1302, ""en"", ""pt-br"")"),"https://m.media-amazon.com/images/w/webp_402378-t2/images/i/71udr616rpl._sy88.jpg. nossa missão é purificar água potável e tornar seguro beber. Nesse caso, este economizador de água ecológico 10L é muito útil. Os TDs da minha água de poço são 472 ppm e os"&amp;" TDs de água purificada são 64 ppm e testam muito bem. A água rejeitada é de 40% em 100% da empresa é muito cuidadosa em termos de serviço, mas o serviço local é LAX. É nosso infortúnio que não exista um agente de serviço em nossa sede do distrito (742101"&amp;",2,3). Estou muito feliz e dirá a todos para comprar. Obrigado Amazon., Sim, o produto é bom e a instalação foi muito boa. O comportamento do provedor de serviços foi muito bom em geral, uma boa experiência, bom e bom produto por entrega oportuna da Amazo"&amp;"n. O Instalação levou o tempo de 5 dias, mas o Pureit enviou uma pessoa muito humilde e conhecida para a instalação. Obrigado pela Amazon e Pureit para entrega e instalação de produtos de boa qualidade a preço acessível, a torneira para dispensador de águ"&amp;"a está no meio do purificador. Com isso, quero dizer, quando o produto é montado na parede, a torneira do purificador também está em uma altura, causando um pouco de inconveniência.")</f>
        <v>https://m.media-amazon.com/images/w/webp_402378-t2/images/i/71udr616rpl._sy88.jpg. nossa missão é purificar água potável e tornar seguro beber. Nesse caso, este economizador de água ecológico 10L é muito útil. Os TDs da minha água de poço são 472 ppm e os TDs de água purificada são 64 ppm e testam muito bem. A água rejeitada é de 40% em 100% da empresa é muito cuidadosa em termos de serviço, mas o serviço local é LAX. É nosso infortúnio que não exista um agente de serviço em nossa sede do distrito (742101,2,3). Estou muito feliz e dirá a todos para comprar. Obrigado Amazon., Sim, o produto é bom e a instalação foi muito boa. O comportamento do provedor de serviços foi muito bom em geral, uma boa experiência, bom e bom produto por entrega oportuna da Amazon. O Instalação levou o tempo de 5 dias, mas o Pureit enviou uma pessoa muito humilde e conhecida para a instalação. Obrigado pela Amazon e Pureit para entrega e instalação de produtos de boa qualidade a preço acessível, a torneira para dispensador de água está no meio do purificador. Com isso, quero dizer, quando o produto é montado na parede, a torneira do purificador também está em uma altura, causando um pouco de inconveniência.</v>
      </c>
    </row>
    <row r="1303">
      <c r="A1303" s="9" t="s">
        <v>5283</v>
      </c>
      <c r="B1303" s="29" t="str">
        <f>VLOOKUP(dados!A1303, reviews!A:G, 5, FALSE)</f>
        <v>Livpure water filter reviews,Good product,overall good product, works great,Livepure Water purifier,Excellent.,Amazing product,Superb performance,Very good</v>
      </c>
      <c r="C1303" s="29" t="str">
        <f>VLOOKUP(dados!A1303, reviews!A:G, 6, FALSE)</f>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v>
      </c>
      <c r="D1303" s="29" t="str">
        <f>IFERROR(__xludf.DUMMYFUNCTION("GOOGLETRANSLATE(B1303, ""en"", ""pt-br"")"),"Revisões de filtro de água Livpure, bom produto, bom produto geral, funciona muito bem, purificador de água ao vivo, excelente., Produto incrível, excelente desempenho, muito bom")</f>
        <v>Revisões de filtro de água Livpure, bom produto, bom produto geral, funciona muito bem, purificador de água ao vivo, excelente., Produto incrível, excelente desempenho, muito bom</v>
      </c>
      <c r="E1303" s="29" t="str">
        <f>IFERROR(__xludf.DUMMYFUNCTION("GOOGLETRANSLATE(C1303, ""en"", ""pt-br"")"),", Bom produto. no dia seguinte e corrigiu o problema do plugue e vazamento. Você pode ir em frente. Mas não se esqueça de verificar a genuinidade., No primeiro produto defeituoso, foi corrigido, foi corrigido por uma pessoa da instalação, um bom produto g"&amp;"eral, funciona muito bem, indo até agora, surpreso e feliz com esta compra. Eu substituí meu antigo modelo Purit Top por este: -1. Excelente preço 8,5k2. Possui todos os recursos mais recentes do ROS de ponta atual em relação ao mercado caro no mercado, c"&amp;"omo UV no tanque, mineralizador, nenhum pré-filtro necessário, ajustador de TDS, intensificador de paladar.3. Belo design.4. A velocidade de distribuição de água é rápida, então menos esperando o preenchimento de vidro. Pressione e segure a alavanca da al"&amp;"avanca é ótima. No geral, excelente e melhor modelo que carrega todos os recursos mais recentes de outros recursos caros de marca. , Muito bom, mas teste de água não é bom")</f>
        <v>, Bom produto. no dia seguinte e corrigiu o problema do plugue e vazamento. Você pode ir em frente. Mas não se esqueça de verificar a genuinidade., No primeiro produto defeituoso, foi corrigido, foi corrigido por uma pessoa da instalação, um bom produto geral, funciona muito bem, indo até agora, surpreso e feliz com esta compra. Eu substituí meu antigo modelo Purit Top por este: -1. Excelente preço 8,5k2. Possui todos os recursos mais recentes do ROS de ponta atual em relação ao mercado caro no mercado, como UV no tanque, mineralizador, nenhum pré-filtro necessário, ajustador de TDS, intensificador de paladar.3. Belo design.4. A velocidade de distribuição de água é rápida, então menos esperando o preenchimento de vidro. Pressione e segure a alavanca da alavanca é ótima. No geral, excelente e melhor modelo que carrega todos os recursos mais recentes de outros recursos caros de marca. , Muito bom, mas teste de água não é bom</v>
      </c>
    </row>
    <row r="1304">
      <c r="A1304" s="9" t="s">
        <v>5287</v>
      </c>
      <c r="B1304" s="29" t="str">
        <f>VLOOKUP(dados!A1304, reviews!A:G, 5, FALSE)</f>
        <v>Good,Good product,Heating is less,Good and quality product.,Excellent product,Very good,Easy to use, better in performance,Superb Project 🥰</v>
      </c>
      <c r="C1304" s="29" t="str">
        <f>VLOOKUP(dados!A1304, reviews!A:G, 6, FALSE)</f>
        <v>It's okay,Product good,All ok but heat is less on full speed. Today is 6 October if u replace it with better quality .I will be thankful.today is last day.,Overall good quality product. Like it and recommend it.,I trust the Philips iron and this has delivered as expected.,Very nice 👌👌,पसंद है,Good</v>
      </c>
      <c r="D1304" s="29" t="str">
        <f>IFERROR(__xludf.DUMMYFUNCTION("GOOGLETRANSLATE(B1304, ""en"", ""pt-br"")"),"Bom, bom produto, aquecimento é menor, produto bom e de qualidade., Excelente produto, muito bom, fácil de usar, melhor em desempenho, excelente projeto 🥰")</f>
        <v>Bom, bom produto, aquecimento é menor, produto bom e de qualidade., Excelente produto, muito bom, fácil de usar, melhor em desempenho, excelente projeto 🥰</v>
      </c>
      <c r="E1304" s="29" t="str">
        <f>IFERROR(__xludf.DUMMYFUNCTION("GOOGLETRANSLATE(C1304, ""en"", ""pt-br"")"),"Tudo bem, produto bom, tudo bem, mas o calor é menos a toda velocidade. Hoje é 6 de outubro se você substituí -lo por melhor qualidade. Ficarei agradecido. Todado é o último dia., Produto geral de boa qualidade. Goste e recomendo., Eu confio no Philips Ir"&amp;"on e isso foi entregue conforme o esperado., Muito bom 👌👌, पसंद है, bom")</f>
        <v>Tudo bem, produto bom, tudo bem, mas o calor é menos a toda velocidade. Hoje é 6 de outubro se você substituí -lo por melhor qualidade. Ficarei agradecido. Todado é o último dia., Produto geral de boa qualidade. Goste e recomendo., Eu confio no Philips Iron e isso foi entregue conforme o esperado., Muito bom 👌👌, पसंद है, bom</v>
      </c>
    </row>
    <row r="1305">
      <c r="A1305" s="9" t="s">
        <v>5291</v>
      </c>
      <c r="B1305" s="29" t="str">
        <f>VLOOKUP(dados!A1305, reviews!A:G, 5, FALSE)</f>
        <v>Kids toys,Value for money, good product in this range,Can go for this one,Good,Nice,Ok,Ok,Durable and bigger than my expectations</v>
      </c>
      <c r="C1305" s="29" t="str">
        <f>VLOOKUP(dados!A1305, reviews!A:G, 6, FALSE)</f>
        <v>https://m.media-amazon.com/images/I/61-rEB6Cb2L._SY88.jpg,What do you expect from laundry bag?To store clothes or something like thatSo yeah it's doing the job 😂,It's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v>
      </c>
      <c r="D1305" s="29" t="str">
        <f>IFERROR(__xludf.DUMMYFUNCTION("GOOGLETRANSLATE(B1305, ""en"", ""pt-br"")"),"Kids Toys, valor ao dinheiro, bom produto nesse intervalo, pode optar por este, bom, bom, ok, ok, durável e maior do que minhas expectativas")</f>
        <v>Kids Toys, valor ao dinheiro, bom produto nesse intervalo, pode optar por este, bom, bom, ok, ok, durável e maior do que minhas expectativas</v>
      </c>
      <c r="E1305" s="29" t="str">
        <f>IFERROR(__xludf.DUMMYFUNCTION("GOOGLETRANSLATE(C1305, ""en"", ""pt-br"")"),"https://m.media-amazon.com/images/i/61-reb6cb2l._sy88.jpg, que você espera da bolsa de lavanderia? , Bom, pequeno pequeno pode levar de 5 a 6 camisas., Nice, é de tamanho pequeno., O mesmo que mostrado, recebi este produto três dias atrás e vem com pequen"&amp;"as embalagens, mas quando abri isso .... na verdade era maior que minha expectativa. Ele vem com material padrão e com uma boa cotação escrita sobre ele. Este produto é durável, robusto e valor ao dinheiro.")</f>
        <v>https://m.media-amazon.com/images/i/61-reb6cb2l._sy88.jpg, que você espera da bolsa de lavanderia? , Bom, pequeno pequeno pode levar de 5 a 6 camisas., Nice, é de tamanho pequeno., O mesmo que mostrado, recebi este produto três dias atrás e vem com pequenas embalagens, mas quando abri isso .... na verdade era maior que minha expectativa. Ele vem com material padrão e com uma boa cotação escrita sobre ele. Este produto é durável, robusto e valor ao dinheiro.</v>
      </c>
    </row>
    <row r="1306">
      <c r="A1306" s="9" t="s">
        <v>5295</v>
      </c>
      <c r="B1306" s="29" t="str">
        <f>VLOOKUP(dados!A1306, reviews!A:G, 5, FALSE)</f>
        <v>Good,Goos product which you can trust,Good,Cost effective,Good,Ok,Very good product,Quality</v>
      </c>
      <c r="C1306" s="29" t="str">
        <f>VLOOKUP(dados!A1306, reviews!A:G, 6, FALSE)</f>
        <v>You can buy a good product.,Purchased this spare jar after 6 yrs of use.,Good product,It's nice,not cheaper same cost of shop.good result when using this jar,Best but not the same as the original one which we get in the box when we buy a mixxer,Like,Quality is good,Same as original</v>
      </c>
      <c r="D1306" s="29" t="str">
        <f>IFERROR(__xludf.DUMMYFUNCTION("GOOGLETRANSLATE(B1306, ""en"", ""pt-br"")"),"Produto bom e de gansas em que você pode confiar, bom, econômico, bom, ok, muito bom produto, qualidade")</f>
        <v>Produto bom e de gansas em que você pode confiar, bom, econômico, bom, ok, muito bom produto, qualidade</v>
      </c>
      <c r="E1306" s="29" t="str">
        <f>IFERROR(__xludf.DUMMYFUNCTION("GOOGLETRANSLATE(C1306, ""en"", ""pt-br"")"),"Você pode comprar um bom produto., Comprou este frasco de reposição após 6 anos de uso., Bom produto, é bom, não mais barato, o mesmo custo da loja. Entre na caixa quando compramos um mixxer, como, a qualidade é boa, igual ao original")</f>
        <v>Você pode comprar um bom produto., Comprou este frasco de reposição após 6 anos de uso., Bom produto, é bom, não mais barato, o mesmo custo da loja. Entre na caixa quando compramos um mixxer, como, a qualidade é boa, igual ao original</v>
      </c>
    </row>
    <row r="1307">
      <c r="A1307" s="9" t="s">
        <v>5302</v>
      </c>
      <c r="B1307" s="29" t="str">
        <f>VLOOKUP(dados!A1307, reviews!A:G, 5, FALSE)</f>
        <v>Not so good,Good,Best best from market.,Very good iron,V Good,Light weight value for money,Really good iron at this price,Overall good.</v>
      </c>
      <c r="C1307" s="29" t="str">
        <f>VLOOKUP(dados!A1307, reviews!A:G, 6, FALSE)</f>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v>
      </c>
      <c r="D1307" s="29" t="str">
        <f>IFERROR(__xludf.DUMMYFUNCTION("GOOGLETRANSLATE(B1307, ""en"", ""pt-br"")"),"Não é tão bom, bom, melhor do mercado., Iron muito bom, v bom, valor leve para o dinheiro, um ferro muito bom a esse preço, em geral.")</f>
        <v>Não é tão bom, bom, melhor do mercado., Iron muito bom, v bom, valor leve para o dinheiro, um ferro muito bom a esse preço, em geral.</v>
      </c>
      <c r="E1307" s="29" t="str">
        <f>IFERROR(__xludf.DUMMYFUNCTION("GOOGLETRANSLATE(C1307, ""en"", ""pt-br"")"),"O revestimento da placa de ferro não é bom. Gosta de roupas, especialmente em camisas impressas., É bom usar, valor por dinheiro., Valor por dinheiro, v bom e bom produto aquecimento rápido muito bom produto, passa pelo trabalho diário facilmente. Temp. O"&amp;" controle é bom. O indicador é brilhante. O cordão é fácil com o movimento na articulação., Está tudo bem")</f>
        <v>O revestimento da placa de ferro não é bom. Gosta de roupas, especialmente em camisas impressas., É bom usar, valor por dinheiro., Valor por dinheiro, v bom e bom produto aquecimento rápido muito bom produto, passa pelo trabalho diário facilmente. Temp. O controle é bom. O indicador é brilhante. O cordão é fácil com o movimento na articulação., Está tudo bem</v>
      </c>
    </row>
    <row r="1308">
      <c r="A1308" s="9" t="s">
        <v>5306</v>
      </c>
      <c r="B1308" s="29" t="str">
        <f>VLOOKUP(dados!A1308, reviews!A:G, 5, FALSE)</f>
        <v>A perfect balance of price and performance,Great Suction and above average mopping | Good Buy</v>
      </c>
      <c r="C1308" s="29" t="str">
        <f>VLOOKUP(dados!A1308, reviews!A:G, 6, FALSE)</f>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v>
      </c>
      <c r="D1308" s="29" t="str">
        <f>IFERROR(__xludf.DUMMYFUNCTION("GOOGLETRANSLATE(B1308, ""en"", ""pt-br"")"),"Um equilíbrio perfeito de preço e desempenho, ótima sucção e esfregaço acima da média | Boa compra")</f>
        <v>Um equilíbrio perfeito de preço e desempenho, ótima sucção e esfregaço acima da média | Boa compra</v>
      </c>
      <c r="E1308" s="29" t="str">
        <f>IFERROR(__xludf.DUMMYFUNCTION("GOOGLETRANSLATE(C1308, ""en"", ""pt-br"")"),"Muito feliz com o desempenho do produto. Instalação: Muito fácil de começar a usar. Tive que esperar 2 dias para o técnico, mas com as instruções da caixa, você pode começar sem esperar. Na caixa: 10 MOPS descartáveis, 1 esfregaço lavável, 2 escovas later"&amp;"ais, 1 pincel principal, limpeza Com filtro HEPA, dock de carregamento, cabo, manual do usuário, limpeza do desempenho do pincel: limpeza excelente com 4 opções de energia - silencioso, normal, max e max+. Sucção mais baixa significa menor consumo de bate"&amp;"ria. Com maior poder de sucção, mesmo as minúsculas partículas de poeira serão limpas (bom se você tiver filhos em casa). Sucção mais alta também significa que você precisa limpar a câmara de poeira com mais frequência. Em todas as 4 opções de energia, a "&amp;"casa parecerá limpa e coletará a poeira mais visível. As opções mais altas são para limpeza profunda. Além disso, se você tiver bosques ou áreas que acumulam poeira ao longo do tempo no piso, a potência superior retirará a poeira desses pequenos lugares. "&amp;"Padrão de liquidação: 1ª bordas da sala são limpas e depois executará um norte ou leste- Padrão de limpeza oeste dentro das bordas. Não há padrões específicos como Y ou Spiral) Desempenho de limpeza: o esfregão também possui uso de água controlado eletron"&amp;"icamente - baixo, médio, alto, ultra alto. O aplicativo mostra avisos ao usar alto e ultra alto (o robô pode escorregar devido à água no chão), mas eu tenho usado alto fluxo de água em telhas de cerâmica e não enfrentei esse problema. As rodas do robô têm"&amp;" uma boa aderência que ajudam nas configurações mais altas de água. O esfregão se tornará cada vez mais eficaz ao longo do tempo, com o uso da almofada de esfregaço reutilizável (à medida que envelhece, mais área tocará no chão do que um novo bloco de esf"&amp;"regaço. Na 1ª semana, o esfregão não é tão bom quanto o bloco de esfregaço Não toca completamente o piso, mas com o uso, a forma do bloco se adaptará e você obterá melhores resultados.) Limpeza de canto: 1-2 cm de cantos da parede não podem ser limpos, es"&amp;"p. Se você não tiver paredes retas (por exemplo, se você tiver uma porta do banheiro, que tem um recorte de 1 cm na parede, a área da esquina ao redor da porta pode não ser limpa). Os cantos da parede de 90 graus podem ter uma área de 1-2 cm que não é lim"&amp;"pa, no entanto, os escovas laterais são grandes o suficiente para a maioria desses cantos. Todas as outras áreas com obstáculos, como as pernas da cadeira ou da mesa, serão limpas adequadamente (o Deebot pode correr ao redor deles 2 ou 3 vezes). Corneiro "&amp;"esfregando: como o esfregão do Deebot é redondo, não atingirá os cantos, esperam um 5-6 Área cm nos cantos da parede de 90 graus que não estão sendo esfregados. No entanto, em paredes retas, a limpeza é muito eficaz, pois pode perder apenas 1-2 cm, que, n"&amp;"o entanto, serão limpos por escovas laterais. Altura onde está localizado o laser montado no topo de Deebot, a área da esquina perto dos móveis pretos não será limpa por Deebot. O laser não é capaz de reconhecer adequadamente que é uma parede e ficará a a"&amp;"lguns centímetros daquela parede. É importante considerar se você tiver uma quantidade substancial de negros em sua casa, pois a limpeza será menos eficaz. As execuções subsequentes atualizarão o mapa com quaisquer obstáculos, por exemplo, cadeiras e mesa"&amp;"s se não forem mapeadas inicialmente. A versão N8 não possui sensores adicionais como a versão Pro. Portanto, pode colidir com itens menores que o laser montado superior não pode ver diretamente. Além disso, você pode economizar no máximo de 2 mapas por v"&amp;"ez (2 andares). A 1ª execução será um padrão de limpeza muito aleatório. Após a 1ª corrida, você pode editar os quartos (dividir ou mesclar áreas) e renomear os quartos com base em algumas opções predefinidas, como sala de estar, quarto de cama, cozinha e"&amp;"tc.). Depois que os quartos forem mapeados, o DEEBOT limpará cada sala na execução subsequente e você poderá ver o padrão de limpeza adequado) Os mapas criados não são editáveis ​​(você não pode mover ou ajustar os limites). Você tem opção para adicionar "&amp;"limites virtuais (como uma linha ou como uma caixa de retângulo) onde o robô não deve ir. Isso é extremamente útil se você tiver espelhos ou refletir móveis no auge do Deebot. O laser de Deebot reflete os espelhos e assume que há uma área da casa onde pod"&amp;"e ir (atrás do espelho). Portanto, você precisa bloquear manualmente essa área mapeada atrás do espelho com um limite ou caixa virtual. O DEEBOT detectará automaticamente tapetes e não esfregará sobre eles (se você instalou a placa de limpeza, o Deebot ig"&amp;"norará a área do tapete). Também existe uma opção para marcar áreas como áreas de esfregona (semelhante ao limite virtual). Uso de aplicativo: usei o aplicativo Android para funções de configuração e limpeza regular. O aplicativo possui um modo avançado, "&amp;"que funciona de acordo com o mapa armazenado. Se você desligá -lo, o DEEBOT começará a limpar onde quer que você o coloque. Por exemplo. Eu tenho uma varanda que não pode ser acessada diretamente pelo Deebot. Posso pegar e colocá -lo na varanda, desligar "&amp;"o modo avançado e começar a limpar. Uma vez feito, ele retornará ao local onde você o coloca e notificará que a estação de encaixe não está acessível. O aplicativo também possui 3 modos de limpeza com modo avançado ligado. Limpeza de área (selecione uma s"&amp;"ala ou várias salas para limpar), limpe automaticamente (limpe a casa inteira), limpeza personalizada (selecione uma área no mapa para limpar). Você pode predefinir a sequência na qual deseja limpar os quartos. Você também pode definir níveis diferentes d"&amp;"e vácuo e água para cada sala (ou pode usar uma configuração comum para toda a casa). Você também pode predefinir quantas vezes (as opções são uma ou duas vezes) Você deseja limpar uma sala específica. Você também pode definir vários horários de limpeza c"&amp;"om base em qual sala deseja limpar a que horas do dia. O DEEBOT começará a funcionar automaticamente. No entanto, isso não é aconselhável se você estiver limpando. De acordo com o técnico, você deve remover a placa de limpeza após o uso. Se alguma água va"&amp;"zar para as peças, ele pode anular a garantia. Existe uma opção para aumentar a sucção automática em tapetes (para o máximo). Você pode definir a opção para limpeza contínua, ou seja, se você deseja que o DEEBOT reinicie automaticamente a limpeza se ela f"&amp;"icar esgotada no meio do caminho. (O DEEBOT apenas recarregará parcialmente com base na área de limpeza restante, retomará a limpeza e depois retornará à recarga - isso economiza tempo) O aplicativo também mostra o período de uso de acessórios em horas e "&amp;"o tempo total de uso esperado. É uma recomendação de EcoVACS para substituir os acessórios - pincel lateral, pincel principal, filtro HEPA. Esta área do aplicativo também mostra como limpar ou manter com imagens, o que é realmente útil. O aplicativo mostr"&amp;"a um histórico de ciclos de limpeza com mapas. Isso ajuda a verificar se nenhuma área não foi limpa. Cleaning e manutenção: Espere que, em vez de limpar a casa diariamente, você estará lavando a almofada de limpeza todos os dias e limpando o Deebot uma ve"&amp;"z por semana (dependendo do tamanho da sua casa). A limpeza levará cerca de 30 a 40 minutos - remova todos os pêlos da escova lateral, escova principal e rodas, remova a câmara de poeira, remova o filtro HEPA e lave a câmara de poeira, lave as escovas pri"&amp;"ncipais e laterais (se necessário), limpe todo o Sensores de deebot com um pano seco, deixe os acessórios lavados secarem e depois reinstalá -los. Além disso, lembre -se de que o investimento em um robô não é um custo único. Você precisará substituir os a"&amp;"cessórios a cada 6 a 12 meses com base no uso e manutenção. Considere o custo de reposição também ao avaliar um preço para investimento em um vácuo de robô. Classificação geral: 9/10 O desempenho de limpeza e limpeza é muito bom e melhor do que uma empreg"&amp;"ada doméstica na maioria das circunstâncias. (Por exemplo, Deebot fica sob os sofás). Espere trabalho manual, como limpar os quartos antes de executar o ciclo de limpeza e limpar as áreas fora do alcance do Deebot. Nesta faixa de preço, estou muito satisf"&amp;"eito com o desempenho.,")</f>
        <v>Muito feliz com o desempenho do produto. Instalação: Muito fácil de começar a usar. Tive que esperar 2 dias para o técnico, mas com as instruções da caixa, você pode começar sem esperar. Na caixa: 10 MOPS descartáveis, 1 esfregaço lavável, 2 escovas laterais, 1 pincel principal, limpeza Com filtro HEPA, dock de carregamento, cabo, manual do usuário, limpeza do desempenho do pincel: limpeza excelente com 4 opções de energia - silencioso, normal, max e max+. Sucção mais baixa significa menor consumo de bateria. Com maior poder de sucção, mesmo as minúsculas partículas de poeira serão limpas (bom se você tiver filhos em casa). Sucção mais alta também significa que você precisa limpar a câmara de poeira com mais frequência. Em todas as 4 opções de energia, a casa parecerá limpa e coletará a poeira mais visível. As opções mais altas são para limpeza profunda. Além disso, se você tiver bosques ou áreas que acumulam poeira ao longo do tempo no piso, a potência superior retirará a poeira desses pequenos lugares. Padrão de liquidação: 1ª bordas da sala são limpas e depois executará um norte ou leste- Padrão de limpeza oeste dentro das bordas. Não há padrões específicos como Y ou Spiral) Desempenho de limpeza: o esfregão também possui uso de água controlado eletronicamente - baixo, médio, alto, ultra alto. O aplicativo mostra avisos ao usar alto e ultra alto (o robô pode escorregar devido à água no chão), mas eu tenho usado alto fluxo de água em telhas de cerâmica e não enfrentei esse problema. As rodas do robô têm uma boa aderência que ajudam nas configurações mais altas de água. O esfregão se tornará cada vez mais eficaz ao longo do tempo, com o uso da almofada de esfregaço reutilizável (à medida que envelhece, mais área tocará no chão do que um novo bloco de esfregaço. Na 1ª semana, o esfregão não é tão bom quanto o bloco de esfregaço Não toca completamente o piso, mas com o uso, a forma do bloco se adaptará e você obterá melhores resultados.) Limpeza de canto: 1-2 cm de cantos da parede não podem ser limpos, esp. Se você não tiver paredes retas (por exemplo, se você tiver uma porta do banheiro, que tem um recorte de 1 cm na parede, a área da esquina ao redor da porta pode não ser limpa). Os cantos da parede de 90 graus podem ter uma área de 1-2 cm que não é limpa, no entanto, os escovas laterais são grandes o suficiente para a maioria desses cantos. Todas as outras áreas com obstáculos, como as pernas da cadeira ou da mesa, serão limpas adequadamente (o Deebot pode correr ao redor deles 2 ou 3 vezes). Corneiro esfregando: como o esfregão do Deebot é redondo, não atingirá os cantos, esperam um 5-6 Área cm nos cantos da parede de 90 graus que não estão sendo esfregados. No entanto, em paredes retas, a limpeza é muito eficaz, pois pode perder apenas 1-2 cm, que, no entanto, serão limpos por escovas laterais. Altura onde está localizado o laser montado no topo de Deebot, a área da esquina perto dos móveis pretos não será limpa por Deebot. O laser não é capaz de reconhecer adequadamente que é uma parede e ficará a alguns centímetros daquela parede. É importante considerar se você tiver uma quantidade substancial de negros em sua casa, pois a limpeza será menos eficaz. As execuções subsequentes atualizarão o mapa com quaisquer obstáculos, por exemplo, cadeiras e mesas se não forem mapeadas inicialmente. A versão N8 não possui sensores adicionais como a versão Pro. Portanto, pode colidir com itens menores que o laser montado superior não pode ver diretamente. Além disso, você pode economizar no máximo de 2 mapas por vez (2 andares). A 1ª execução será um padrão de limpeza muito aleatório. Após a 1ª corrida, você pode editar os quartos (dividir ou mesclar áreas) e renomear os quartos com base em algumas opções predefinidas, como sala de estar, quarto de cama, cozinha etc.). Depois que os quartos forem mapeados, o DEEBOT limpará cada sala na execução subsequente e você poderá ver o padrão de limpeza adequado) Os mapas criados não são editáveis ​​(você não pode mover ou ajustar os limites). Você tem opção para adicionar limites virtuais (como uma linha ou como uma caixa de retângulo) onde o robô não deve ir. Isso é extremamente útil se você tiver espelhos ou refletir móveis no auge do Deebot. O laser de Deebot reflete os espelhos e assume que há uma área da casa onde pode ir (atrás do espelho). Portanto, você precisa bloquear manualmente essa área mapeada atrás do espelho com um limite ou caixa virtual. O DEEBOT detectará automaticamente tapetes e não esfregará sobre eles (se você instalou a placa de limpeza, o Deebot ignorará a área do tapete). Também existe uma opção para marcar áreas como áreas de esfregona (semelhante ao limite virtual). Uso de aplicativo: usei o aplicativo Android para funções de configuração e limpeza regular. O aplicativo possui um modo avançado, que funciona de acordo com o mapa armazenado. Se você desligá -lo, o DEEBOT começará a limpar onde quer que você o coloque. Por exemplo. Eu tenho uma varanda que não pode ser acessada diretamente pelo Deebot. Posso pegar e colocá -lo na varanda, desligar o modo avançado e começar a limpar. Uma vez feito, ele retornará ao local onde você o coloca e notificará que a estação de encaixe não está acessível. O aplicativo também possui 3 modos de limpeza com modo avançado ligado. Limpeza de área (selecione uma sala ou várias salas para limpar), limpe automaticamente (limpe a casa inteira), limpeza personalizada (selecione uma área no mapa para limpar). Você pode predefinir a sequência na qual deseja limpar os quartos. Você também pode definir níveis diferentes de vácuo e água para cada sala (ou pode usar uma configuração comum para toda a casa). Você também pode predefinir quantas vezes (as opções são uma ou duas vezes) Você deseja limpar uma sala específica. Você também pode definir vários horários de limpeza com base em qual sala deseja limpar a que horas do dia. O DEEBOT começará a funcionar automaticamente. No entanto, isso não é aconselhável se você estiver limpando. De acordo com o técnico, você deve remover a placa de limpeza após o uso. Se alguma água vazar para as peças, ele pode anular a garantia. Existe uma opção para aumentar a sucção automática em tapetes (para o máximo). Você pode definir a opção para limpeza contínua, ou seja, se você deseja que o DEEBOT reinicie automaticamente a limpeza se ela ficar esgotada no meio do caminho. (O DEEBOT apenas recarregará parcialmente com base na área de limpeza restante, retomará a limpeza e depois retornará à recarga - isso economiza tempo) O aplicativo também mostra o período de uso de acessórios em horas e o tempo total de uso esperado. É uma recomendação de EcoVACS para substituir os acessórios - pincel lateral, pincel principal, filtro HEPA. Esta área do aplicativo também mostra como limpar ou manter com imagens, o que é realmente útil. O aplicativo mostra um histórico de ciclos de limpeza com mapas. Isso ajuda a verificar se nenhuma área não foi limpa. Cleaning e manutenção: Espere que, em vez de limpar a casa diariamente, você estará lavando a almofada de limpeza todos os dias e limpando o Deebot uma vez por semana (dependendo do tamanho da sua casa). A limpeza levará cerca de 30 a 40 minutos - remova todos os pêlos da escova lateral, escova principal e rodas, remova a câmara de poeira, remova o filtro HEPA e lave a câmara de poeira, lave as escovas principais e laterais (se necessário), limpe todo o Sensores de deebot com um pano seco, deixe os acessórios lavados secarem e depois reinstalá -los. Além disso, lembre -se de que o investimento em um robô não é um custo único. Você precisará substituir os acessórios a cada 6 a 12 meses com base no uso e manutenção. Considere o custo de reposição também ao avaliar um preço para investimento em um vácuo de robô. Classificação geral: 9/10 O desempenho de limpeza e limpeza é muito bom e melhor do que uma empregada doméstica na maioria das circunstâncias. (Por exemplo, Deebot fica sob os sofás). Espere trabalho manual, como limpar os quartos antes de executar o ciclo de limpeza e limpar as áreas fora do alcance do Deebot. Nesta faixa de preço, estou muito satisfeito com o desempenho.,</v>
      </c>
    </row>
    <row r="1309">
      <c r="A1309" s="9" t="s">
        <v>5311</v>
      </c>
      <c r="B1309" s="29" t="str">
        <f>VLOOKUP(dados!A1309, reviews!A:G, 5, FALSE)</f>
        <v>Good quality, plz add 1 syringe with this kit,Original product,Genuine product,very good product,nice,good product,Good product no issues,ಉತ್ತಮ</v>
      </c>
      <c r="C1309" s="29" t="str">
        <f>VLOOKUP(dados!A1309, reviews!A:G, 6, FALSE)</f>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complaints.,ಉತ್ತಮ</v>
      </c>
      <c r="D1309" s="29" t="str">
        <f>IFERROR(__xludf.DUMMYFUNCTION("GOOGLETRANSLATE(B1309, ""en"", ""pt-br"")"),"Boa qualidade, por favor, adicione 1 seringa com este kit, produto original, produto genuíno, produto muito bom, bom, bom produto, bom produto sem problemas, ಉತ್ತಮ")</f>
        <v>Boa qualidade, por favor, adicione 1 seringa com este kit, produto original, produto genuíno, produto muito bom, bom, bom produto, bom produto sem problemas, ಉತ್ತಮ</v>
      </c>
      <c r="E1309" s="29" t="str">
        <f>IFERROR(__xludf.DUMMYFUNCTION("GOOGLETRANSLATE(C1309, ""en"", ""pt-br"")"),"Qualidade muito boa, mas 1 seringa de injeção deve ser adicionada neste kit, é um produto original. Peguei a um preço com desconto. Todo mundo deve considerá -lo., Produto genuíno de Kent, Kent Gold, Optima, Gold+ Spare Kit é um produto muito bom, compro "&amp;"este produto 2ª vez. É muito bom para uso, bom, bom produto, eu o comprei pela segunda vez bom produto sem queixas., ಉತ್ತಮ")</f>
        <v>Qualidade muito boa, mas 1 seringa de injeção deve ser adicionada neste kit, é um produto original. Peguei a um preço com desconto. Todo mundo deve considerá -lo., Produto genuíno de Kent, Kent Gold, Optima, Gold+ Spare Kit é um produto muito bom, compro este produto 2ª vez. É muito bom para uso, bom, bom produto, eu o comprei pela segunda vez bom produto sem queixas., ಉತ್ತಮ</v>
      </c>
    </row>
    <row r="1310">
      <c r="A1310" s="9" t="s">
        <v>5315</v>
      </c>
      <c r="B1310" s="29" t="str">
        <f>VLOOKUP(dados!A1310, reviews!A:G, 5, FALSE)</f>
        <v>Filter not effective,The best water purifier,Worth for money,Best water purifier,Sheer waste of money,Fits well for kitchen faucet,Lousy product,Waste of money</v>
      </c>
      <c r="C1310" s="29" t="str">
        <f>VLOOKUP(dados!A1310, reviews!A:G, 6, FALSE)</f>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v>
      </c>
      <c r="D1310" s="29" t="str">
        <f>IFERROR(__xludf.DUMMYFUNCTION("GOOGLETRANSLATE(B1310, ""en"", ""pt-br"")"),"Filtro não é eficaz, o melhor purificador de água, valor por dinheiro, melhor purificador de água, puro desperdício de dinheiro, se encaixa bem na torneira de cozinha, produto ruim, desperdício de dinheiro")</f>
        <v>Filtro não é eficaz, o melhor purificador de água, valor por dinheiro, melhor purificador de água, puro desperdício de dinheiro, se encaixa bem na torneira de cozinha, produto ruim, desperdício de dinheiro</v>
      </c>
      <c r="E1310" s="29" t="str">
        <f>IFERROR(__xludf.DUMMYFUNCTION("GOOGLETRANSLATE(C1310, ""en"", ""pt-br"")"),"Filtro não eficaz, o melhor purificador de água que já vi. Purifica a água e não há impurezas presentes nela. Eu usei outros produtos, mas este é o melhor. A qualidade também é muito boa e durável. Altamente recomendado, eu sou literalmente valor ao dinhe"&amp;"iro e muito fácil de instalar tudo o que é escrito na caixa de descrição também é amigável ao orçamento. anexos dados. O parafuso não pode ser apertado e, como tal, não se mantém na torneira. Depois que a torneira é aberta, ela escorrega e cai. Um produto"&amp;" muito barato e não consigo devolvê -lo agora., Filtra bem, a qualidade extremamente ruim sem identidade do fabricante. Produto inútil. Aconselho a todos a não comprar este produto., Não compre este produto, não sirva o propósito")</f>
        <v>Filtro não eficaz, o melhor purificador de água que já vi. Purifica a água e não há impurezas presentes nela. Eu usei outros produtos, mas este é o melhor. A qualidade também é muito boa e durável. Altamente recomendado, eu sou literalmente valor ao dinheiro e muito fácil de instalar tudo o que é escrito na caixa de descrição também é amigável ao orçamento. anexos dados. O parafuso não pode ser apertado e, como tal, não se mantém na torneira. Depois que a torneira é aberta, ela escorrega e cai. Um produto muito barato e não consigo devolvê -lo agora., Filtra bem, a qualidade extremamente ruim sem identidade do fabricante. Produto inútil. Aconselho a todos a não comprar este produto., Não compre este produto, não sirva o propósito</v>
      </c>
    </row>
    <row r="1311">
      <c r="A1311" s="9" t="s">
        <v>5319</v>
      </c>
      <c r="B1311" s="29" t="str">
        <f>VLOOKUP(dados!A1311, reviews!A:G, 5, FALSE)</f>
        <v>Bad quality,Amazing product..</v>
      </c>
      <c r="C1311" s="29" t="str">
        <f>VLOOKUP(dados!A1311, reviews!A:G, 6, FALSE)</f>
        <v>The heating capacity is zero .Moreover i have initiated return request. Noone has come to collect it,Best heater at this price. Quality is very good . Suggest everyone to purchase this heater.......... amazing product to buy...</v>
      </c>
      <c r="D1311" s="29" t="str">
        <f>IFERROR(__xludf.DUMMYFUNCTION("GOOGLETRANSLATE(B1311, ""en"", ""pt-br"")"),"Mada qualidade, produto incrível ..")</f>
        <v>Mada qualidade, produto incrível ..</v>
      </c>
      <c r="E1311" s="29" t="str">
        <f>IFERROR(__xludf.DUMMYFUNCTION("GOOGLETRANSLATE(C1311, ""en"", ""pt-br"")"),"A capacidade de aquecimento é zero. Além disso, iniciei a solicitação de retorno. Ninguém veio para colecioná -lo, melhor aquecedor a esse preço. A qualidade é muito boa. Sugira todos para comprar este aquecedor .......... Produto incrível para comprar .."&amp;".")</f>
        <v>A capacidade de aquecimento é zero. Além disso, iniciei a solicitação de retorno. Ninguém veio para colecioná -lo, melhor aquecedor a esse preço. A qualidade é muito boa. Sugira todos para comprar este aquecedor .......... Produto incrível para comprar ...</v>
      </c>
    </row>
    <row r="1312">
      <c r="A1312" s="9" t="s">
        <v>5323</v>
      </c>
      <c r="B1312" s="29" t="str">
        <f>VLOOKUP(dados!A1312, reviews!A:G, 5, FALSE)</f>
        <v>Good,Superb,Nice mixer,Value for money 💰,Good product,His desine,Nice,Nice</v>
      </c>
      <c r="C1312" s="29" t="str">
        <f>VLOOKUP(dados!A1312, reviews!A:G, 6, FALSE)</f>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v>
      </c>
      <c r="D1312" s="29" t="str">
        <f>IFERROR(__xludf.DUMMYFUNCTION("GOOGLETRANSLATE(B1312, ""en"", ""pt-br"")"),"Bom, excelente e legal, uma mixer, valor ao dinheiro 💰, bom produto, seu desine, bom, bom")</f>
        <v>Bom, excelente e legal, uma mixer, valor ao dinheiro 💰, bom produto, seu desine, bom, bom</v>
      </c>
      <c r="E1312" s="29" t="str">
        <f>IFERROR(__xludf.DUMMYFUNCTION("GOOGLETRANSLATE(C1312, ""en"", ""pt-br"")"),"Bom produto para comprar, valor para dinheiro, fácil de usar, bom produto, o misturador é bom, fácil de usar e parecer um pouco alto. Mas toda a tampa da jarra não é boa, tão barata tampa de qualidade, ela é removida da tampa superior, a alça de plástico "&amp;"sai de cima, mas no geral é bom e fácil de usar., Seu sistema de tampa não é bom, bom, bom 👌👌👌👌")</f>
        <v>Bom produto para comprar, valor para dinheiro, fácil de usar, bom produto, o misturador é bom, fácil de usar e parecer um pouco alto. Mas toda a tampa da jarra não é boa, tão barata tampa de qualidade, ela é removida da tampa superior, a alça de plástico sai de cima, mas no geral é bom e fácil de usar., Seu sistema de tampa não é bom, bom, bom 👌👌👌👌</v>
      </c>
    </row>
    <row r="1313">
      <c r="A1313" s="9" t="s">
        <v>5327</v>
      </c>
      <c r="B1313" s="29" t="str">
        <f>VLOOKUP(dados!A1313, reviews!A:G, 5, FALSE)</f>
        <v>Nice products,Compact,Items is not good because it's tap is not good for output,Good,Good Product,Not suitable,I liked good product,So nuc</v>
      </c>
      <c r="C1313" s="29" t="str">
        <f>VLOOKUP(dados!A1313, reviews!A:G, 6, FALSE)</f>
        <v>https://m.media-amazon.com/images/I/61PfDZp8UzL._SY88.jpg,Easy to use,Items tap is not good for users,Very good 😊,Value for money, working fine,It is not suitable for my tap,I liked..so product good. So happy amazon.. Liked amazon products provided Sum like this,</v>
      </c>
      <c r="D1313" s="29" t="str">
        <f>IFERROR(__xludf.DUMMYFUNCTION("GOOGLETRANSLATE(B1313, ""en"", ""pt-br"")"),"Produtos agradáveis, compactos, itens não são bons porque é a torneira não é boa para produção, bom, bom produto, não adequado, gostei de um bom produto, então nuc")</f>
        <v>Produtos agradáveis, compactos, itens não são bons porque é a torneira não é boa para produção, bom, bom produto, não adequado, gostei de um bom produto, então nuc</v>
      </c>
      <c r="E1313" s="29" t="str">
        <f>IFERROR(__xludf.DUMMYFUNCTION("GOOGLETRANSLATE(C1313, ""en"", ""pt-br"")"),"https://m.media-amazon.com/images/i/61pfdzp8uzl._sy88.jpg,easy para usar, os itens TAP não são bons para usuários, muito bom 😊, valor ao dinheiro, funcionando bem, não é adequado para Minha torneira, eu gostei ... o produto bom. Tão feliz Amazon .. Goste"&amp;"i de produtos da Amazon fornecidos como essa,")</f>
        <v>https://m.media-amazon.com/images/i/61pfdzp8uzl._sy88.jpg,easy para usar, os itens TAP não são bons para usuários, muito bom 😊, valor ao dinheiro, funcionando bem, não é adequado para Minha torneira, eu gostei ... o produto bom. Tão feliz Amazon .. Gostei de produtos da Amazon fornecidos como essa,</v>
      </c>
    </row>
    <row r="1314">
      <c r="A1314" s="9" t="s">
        <v>5330</v>
      </c>
      <c r="B1314" s="29" t="str">
        <f>VLOOKUP(dados!A1314, reviews!A:G, 5, FALSE)</f>
        <v>plastic material not good just ok,Good for middle class range,Good,Havells fan,Oscillating knob cannot be fitted,OK toofan,In this price range very good fan,Good but you have to install the item.No one will come to install the product</v>
      </c>
      <c r="C1314" s="29" t="str">
        <f>VLOOKUP(dados!A1314, reviews!A:G, 6, FALSE)</f>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v>
      </c>
      <c r="D1314" s="29" t="str">
        <f>IFERROR(__xludf.DUMMYFUNCTION("GOOGLETRANSLATE(B1314, ""en"", ""pt-br"")"),"Material plástico não é bom apenas ok, bom para o intervalo de classe média, bom, fã de havells, botão oscilante não pode ser montado, ok toofan, nessa faixa de preço muito bom fã, bom, mas você precisa instalar o item. o produto")</f>
        <v>Material plástico não é bom apenas ok, bom para o intervalo de classe média, bom, fã de havells, botão oscilante não pode ser montado, ok toofan, nessa faixa de preço muito bom fã, bom, mas você precisa instalar o item. o produto</v>
      </c>
      <c r="E1314" s="29" t="str">
        <f>IFERROR(__xludf.DUMMYFUNCTION("GOOGLETRANSLATE(C1314, ""en"", ""pt-br"")"),"Material de plástico não é bom apenas ok ,, bom ventilador de pedestal para a Havells Company .., fornecido sem controle remoto., Não posso encaixar o botão oscilante do ventilador, para que o ventilador não possa ser tornado estável. Receio que o encaixe"&amp;" interno para este botão seja quebrado ou incorreto, portanto, o problema. Por favor, corrija o problema imediatamente, se não conseguir corrigir, por favor me substitua. fã ..., boa qualidade")</f>
        <v>Material de plástico não é bom apenas ok ,, bom ventilador de pedestal para a Havells Company .., fornecido sem controle remoto., Não posso encaixar o botão oscilante do ventilador, para que o ventilador não possa ser tornado estável. Receio que o encaixe interno para este botão seja quebrado ou incorreto, portanto, o problema. Por favor, corrija o problema imediatamente, se não conseguir corrigir, por favor me substitua. fã ..., boa qualidade</v>
      </c>
    </row>
    <row r="1315">
      <c r="A1315" s="9" t="s">
        <v>5334</v>
      </c>
      <c r="B1315" s="29" t="str">
        <f>VLOOKUP(dados!A1315, reviews!A:G, 5, FALSE)</f>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v>
      </c>
      <c r="C1315" s="29" t="str">
        <f>VLOOKUP(dados!A1315, reviews!A:G, 6, FALSE)</f>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v>
      </c>
      <c r="D1315" s="29" t="str">
        <f>IFERROR(__xludf.DUMMYFUNCTION("GOOGLETRANSLATE(B1315, ""en"", ""pt-br"")"),"Bom produto, inclui anexos relevantes neste preço, 2 em 1 é exatamente o que eu precisava! (Leia o restante para prós e contras), valor ao dinheiro, o aspirador adequado para meus requisitos, faz o trabalho, não tão satisfatório, se você tiver outras opçõ"&amp;"es para não escolher, então vá para essa outra opção., Ok, ok produto , O produto é muito agradável e útil, mas aquecido após 10 minutos. O desempenho geral é bom.")</f>
        <v>Bom produto, inclui anexos relevantes neste preço, 2 em 1 é exatamente o que eu precisava! (Leia o restante para prós e contras), valor ao dinheiro, o aspirador adequado para meus requisitos, faz o trabalho, não tão satisfatório, se você tiver outras opções para não escolher, então vá para essa outra opção., Ok, ok produto , O produto é muito agradável e útil, mas aquecido após 10 minutos. O desempenho geral é bom.</v>
      </c>
      <c r="E1315" s="29" t="str">
        <f>IFERROR(__xludf.DUMMYFUNCTION("GOOGLETRANSLATE(C1315, ""en"", ""pt-br"")"),"Produto agradável, baixo ruído e bom poder de sucção na faixa de preço, recebido pacote danificado e sem tubo de mangueira, mas em todo o produto tem um bom valor, recebeu o produto no prazo. Usei -o uma vez para limpar e é fácil de usar, funciona bem. A "&amp;"preocupação do aquecimento mencionada pelos revisores anteriores é adequada, mas não um amortecedor para uma compra a esse preço. É um produto decente na categoria acessível. O acessório do piso funciona particularmente muito bem. É leve e, portanto, a li"&amp;"mpeza inferior dos ventiladores de teto foi fácil. O poder de sucção ao usar o acessório de sofá é muito bom na limpeza da poeira presa em costurar cantos. No geral, se você deseja gastar minimamente e obter todos os anexos relevantes e seu uso é para uma"&amp;" cama de 1 ou um apartamento de tamanho menor, este produto é um bom começo. Kar Deta He., Conseguiu esse aspirador de pó após muita pesquisa e tem sido uma boa escolha até agora. Eu queria um aspirador de mão de mão para fins de limpeza de carros e resid"&amp;"enciais. Meus requisitos principais estavam limpando meu carro e cadeiras de jogos/sofás. Um aspirador de pó de carros só não teria se adequado ao objetivo. Além disso, eu queria um aspirador de pó de potência, pois aquele com uma bateria pode ser usado a"&amp;"penas por um certo período de tempo, e há um longo período de espera de espera. Este produto é executado todos os requisitos. Possui um cabo de alimentação de 5m que é longo o suficiente para usar confortavelmente. A energia de sucção é boa em 16kpa, ao c"&amp;"ontrário dos 6kpa da maioria dos produtos de limpeza movidos a bateria. O barulho está bem, quero dizer, não é muito perturbar alguém até e, a menos que alguém seja realmente alérgico ao ruído. Ele tem vários componentes que ajudaram a limpar meu carro e "&amp;"até minha cadeira de jogos de tecido. E eu também pude ver uma diferença visível nas malhas da janela. Sim, ele é aquecido após vários minutos de uso, mas eu poderia usá-lo com uma espera de 2-3 minutos de cada vez. Seu peso é amplo para uso horizontal e "&amp;"descendente. Eu não usei o bastão fornecido e acho que pode ser um pouco difícil usá -lo para cima nas paredes, se eu precisar usá -lo continuamente por 10 minutos ou mais. Eu tinha que ter certeza de que os acessórios estavam disponíveis após a compra ap"&amp;"ós a compra após a compra após a compra após a compra após a compra após a compra após a compra após a compra após a compra após , como o filtro, que pude confirmar com atendimento ao cliente. É uma boa compra. Vamos ver a longo prazo. É feito na China. A"&amp;" empresa fornece 6 meses de uma garantia estendida se uma revisão for dada e compartilhada com eles. Este é um requisito um pouco estranho para prosseguir. No entanto, esta não é uma revisão patrocinada e é baseada no uso de um mês. Mas, de outra forma, s"&amp;"atisfatório. A qualidade da construção é muito deplorável, eles estão apenas forçando os compradores a darem 5 estrelas por qualquer meio de prestar melhor serviço e assistência com garantia de um cartão dentro da caixa, isso parece realmente ameaçador. M"&amp;"as o trabalho geral desta máquina está de alguma forma ok. Prefiro sugerir se você tiver opções para não escolhê -la, então opte por essa opção., Bom para a limpeza de superfície, a qualidade de construção não é adequada, mas é bom ter a esse preço, https"&amp;": //m.media-amazon.com/images/i/81ix5q8wywl._sy88.jpg")</f>
        <v>Produto agradável, baixo ruído e bom poder de sucção na faixa de preço, recebido pacote danificado e sem tubo de mangueira, mas em todo o produto tem um bom valor, recebeu o produto no prazo. Usei -o uma vez para limpar e é fácil de usar, funciona bem. A preocupação do aquecimento mencionada pelos revisores anteriores é adequada, mas não um amortecedor para uma compra a esse preço. É um produto decente na categoria acessível. O acessório do piso funciona particularmente muito bem. É leve e, portanto, a limpeza inferior dos ventiladores de teto foi fácil. O poder de sucção ao usar o acessório de sofá é muito bom na limpeza da poeira presa em costurar cantos. No geral, se você deseja gastar minimamente e obter todos os anexos relevantes e seu uso é para uma cama de 1 ou um apartamento de tamanho menor, este produto é um bom começo. Kar Deta He., Conseguiu esse aspirador de pó após muita pesquisa e tem sido uma boa escolha até agora. Eu queria um aspirador de mão de mão para fins de limpeza de carros e residenciais. Meus requisitos principais estavam limpando meu carro e cadeiras de jogos/sofás. Um aspirador de pó de carros só não teria se adequado ao objetivo. Além disso, eu queria um aspirador de pó de potência, pois aquele com uma bateria pode ser usado apenas por um certo período de tempo, e há um longo período de espera de espera. Este produto é executado todos os requisitos. Possui um cabo de alimentação de 5m que é longo o suficiente para usar confortavelmente. A energia de sucção é boa em 16kpa, ao contrário dos 6kpa da maioria dos produtos de limpeza movidos a bateria. O barulho está bem, quero dizer, não é muito perturbar alguém até e, a menos que alguém seja realmente alérgico ao ruído. Ele tem vários componentes que ajudaram a limpar meu carro e até minha cadeira de jogos de tecido. E eu também pude ver uma diferença visível nas malhas da janela. Sim, ele é aquecido após vários minutos de uso, mas eu poderia usá-lo com uma espera de 2-3 minutos de cada vez. Seu peso é amplo para uso horizontal e descendente. Eu não usei o bastão fornecido e acho que pode ser um pouco difícil usá -lo para cima nas paredes, se eu precisar usá -lo continuamente por 10 minutos ou mais. Eu tinha que ter certeza de que os acessórios estavam disponíveis após a compra após a compra após a compra após a compra após a compra após a compra após a compra após a compra após a compra após a compra após , como o filtro, que pude confirmar com atendimento ao cliente. É uma boa compra. Vamos ver a longo prazo. É feito na China. A empresa fornece 6 meses de uma garantia estendida se uma revisão for dada e compartilhada com eles. Este é um requisito um pouco estranho para prosseguir. No entanto, esta não é uma revisão patrocinada e é baseada no uso de um mês. Mas, de outra forma, satisfatório. A qualidade da construção é muito deplorável, eles estão apenas forçando os compradores a darem 5 estrelas por qualquer meio de prestar melhor serviço e assistência com garantia de um cartão dentro da caixa, isso parece realmente ameaçador. Mas o trabalho geral desta máquina está de alguma forma ok. Prefiro sugerir se você tiver opções para não escolhê -la, então opte por essa opção., Bom para a limpeza de superfície, a qualidade de construção não é adequada, mas é bom ter a esse preço, https: //m.media-amazon.com/images/i/81ix5q8wywl._sy88.jpg</v>
      </c>
    </row>
    <row r="1316">
      <c r="A1316" s="9" t="s">
        <v>5338</v>
      </c>
      <c r="B1316" s="29" t="str">
        <f>VLOOKUP(dados!A1316, reviews!A:G, 5, FALSE)</f>
        <v>Running Time is less,Not much useful.,Good one,Not so good,Useful product but improper blades,Overall good ...but can blend only very very softer fruits,Worth your Money,Worest item</v>
      </c>
      <c r="C1316" s="29" t="str">
        <f>VLOOKUP(dados!A1316, reviews!A:G, 6, FALSE)</f>
        <v>Average products,This isn’t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v>
      </c>
      <c r="D1316" s="29" t="str">
        <f>IFERROR(__xludf.DUMMYFUNCTION("GOOGLETRANSLATE(B1316, ""en"", ""pt-br"")"),"O tempo de execução é menor, não muito útil., Bom, não é tão bom e útil produto, mas lâminas impróprias, em geral, bom ... mas pode misturar apenas frutas muito mais macias, que vale o seu dinheiro, o item mais pior")</f>
        <v>O tempo de execução é menor, não muito útil., Bom, não é tão bom e útil produto, mas lâminas impróprias, em geral, bom ... mas pode misturar apenas frutas muito mais macias, que vale o seu dinheiro, o item mais pior</v>
      </c>
      <c r="E1316" s="29" t="str">
        <f>IFERROR(__xludf.DUMMYFUNCTION("GOOGLETRANSLATE(C1316, ""en"", ""pt-br"")"),"Produtos médios, isso não é útil para smoothies. Bom para lassi ou café frio que também estava vazando., É bom para frutas leves, não continua obras, em geral, mas pode misturar apenas comida ou frutas mais suaves, estou usando esse liquidificador por uma"&amp;" semana e agora devo dizer que vale a pena dinheiro Vá em frente, eu sou estudante universitário e geralmente faço aveia+Banana Milkshake no café da manhã, o que, para minha surpresa É perfeito para estudantes universitários, o produto não é bom, é muito "&amp;"mais pior que a banana também não suporta problemas de carregamento e a bateria é concluída por 2 minutos e vai parar automaticamente")</f>
        <v>Produtos médios, isso não é útil para smoothies. Bom para lassi ou café frio que também estava vazando., É bom para frutas leves, não continua obras, em geral, mas pode misturar apenas comida ou frutas mais suaves, estou usando esse liquidificador por uma semana e agora devo dizer que vale a pena dinheiro Vá em frente, eu sou estudante universitário e geralmente faço aveia+Banana Milkshake no café da manhã, o que, para minha surpresa É perfeito para estudantes universitários, o produto não é bom, é muito mais pior que a banana também não suporta problemas de carregamento e a bateria é concluída por 2 minutos e vai parar automaticamente</v>
      </c>
    </row>
    <row r="1317">
      <c r="A1317" s="9" t="s">
        <v>5342</v>
      </c>
      <c r="B1317" s="29" t="str">
        <f>VLOOKUP(dados!A1317, reviews!A:G, 5, FALSE)</f>
        <v>Not worth the hype,Gud,Really useful 😃,Product is good but when we press to seal lower part of sealer is get out automatically...,Ok product. Not generating enough heat to pack,Not up to the mark,Pocket friendly, effective and easy to use,Average</v>
      </c>
      <c r="C1317" s="29" t="str">
        <f>VLOOKUP(dados!A1317, reviews!A:G, 6, FALSE)</f>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it’s sealing well. The only thing is you hv to press it hard while sealing.takes only few seconds to seal an entire packet.  Good when you are travelling with a toddler and carrying lots of snack packets. Pocket friendly and cute,Average working</v>
      </c>
      <c r="D1317" s="29" t="str">
        <f>IFERROR(__xludf.DUMMYFUNCTION("GOOGLETRANSLATE(B1317, ""en"", ""pt-br"")"),"Não vale a pena o hype, Gud, realmente útil 😃, o produto é bom, mas quando pressionamos para selar a parte inferior do selador é sair automaticamente ..., ok produto. Não gerando calor suficiente para embalar, não até a marca, amigável, eficaz e fácil de"&amp;" usar, média")</f>
        <v>Não vale a pena o hype, Gud, realmente útil 😃, o produto é bom, mas quando pressionamos para selar a parte inferior do selador é sair automaticamente ..., ok produto. Não gerando calor suficiente para embalar, não até a marca, amigável, eficaz e fácil de usar, média</v>
      </c>
      <c r="E1317" s="29" t="str">
        <f>IFERROR(__xludf.DUMMYFUNCTION("GOOGLETRANSLATE(C1317, ""en"", ""pt-br"")"),"Olá espectadores, comprei este produto depois de assistir aos intermináveis ​​transportes de #amazonfinds. Por mais que fiquei empolgado com o uso do produto, ele não provou ser tão útil. O lado de vedação não aquece o suficiente para que um pacote seja b"&amp;"em selado. O lado do cortador funciona bem. Mas, principalmente, o lado do aquecimento deve ser pressionado com tanta força que a caixa celular se abre enquanto desliza com a pressão do polegar, para que eu sinta que podemos trabalhar totalmente sem esse "&amp;"produto em nossa casa. É definitivamente elegante, vem com um manual, células e um gancho para pendurá -lo, mas a cobertura celular deslizante falha na minha condenação. Aquecimento de energia esmagadora para aquecer e embalar a tampa de plástico, a quali"&amp;"dade do produto não é boa. A parte de espera e pressionar para aquecimento e vedação não são consistentes. Às vezes sela, às vezes queima o plástico. Além disso, o selo sai da pressão certa é aplicada, por isso também não é confiável., A qualidade do sela"&amp;"dor é muito boa e está selando bem. A única coisa é que você pressiona com força durante a vedação. Toca apenas alguns segundos para selar um pacote inteiro. Bom quando você está viajando com uma criança e carregando muitos pacotes de lanches. Bolso amigá"&amp;"vel e fofo, funcionando médio")</f>
        <v>Olá espectadores, comprei este produto depois de assistir aos intermináveis ​​transportes de #amazonfinds. Por mais que fiquei empolgado com o uso do produto, ele não provou ser tão útil. O lado de vedação não aquece o suficiente para que um pacote seja bem selado. O lado do cortador funciona bem. Mas, principalmente, o lado do aquecimento deve ser pressionado com tanta força que a caixa celular se abre enquanto desliza com a pressão do polegar, para que eu sinta que podemos trabalhar totalmente sem esse produto em nossa casa. É definitivamente elegante, vem com um manual, células e um gancho para pendurá -lo, mas a cobertura celular deslizante falha na minha condenação. Aquecimento de energia esmagadora para aquecer e embalar a tampa de plástico, a qualidade do produto não é boa. A parte de espera e pressionar para aquecimento e vedação não são consistentes. Às vezes sela, às vezes queima o plástico. Além disso, o selo sai da pressão certa é aplicada, por isso também não é confiável., A qualidade do selador é muito boa e está selando bem. A única coisa é que você pressiona com força durante a vedação. Toca apenas alguns segundos para selar um pacote inteiro. Bom quando você está viajando com uma criança e carregando muitos pacotes de lanches. Bolso amigável e fofo, funcionando médio</v>
      </c>
    </row>
    <row r="1318">
      <c r="A1318" s="9" t="s">
        <v>5346</v>
      </c>
      <c r="B1318" s="29" t="str">
        <f>VLOOKUP(dados!A1318, reviews!A:G, 5, FALSE)</f>
        <v>Very good product,Good,Good,Good product,Not a quality product.,good,Not value for money,Great purchase.</v>
      </c>
      <c r="C1318" s="29" t="str">
        <f>VLOOKUP(dados!A1318, reviews!A:G, 6, FALSE)</f>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v>
      </c>
      <c r="D1318" s="29" t="str">
        <f>IFERROR(__xludf.DUMMYFUNCTION("GOOGLETRANSLATE(B1318, ""en"", ""pt-br"")"),"Produto muito bom, bom, bom, bom produto, não um produto de qualidade., Bom, não valor ao dinheiro, ótima compra.")</f>
        <v>Produto muito bom, bom, bom, bom produto, não um produto de qualidade., Bom, não valor ao dinheiro, ótima compra.</v>
      </c>
      <c r="E1318" s="29" t="str">
        <f>IFERROR(__xludf.DUMMYFUNCTION("GOOGLETRANSLATE(C1318, ""en"", ""pt-br"")"),"Muito bom produto ... apenas coisa que eu achei que falta a qualidade de não bastão deve ser um pouco mais melhor ... bom para usar .., bom, mas Lock tem pouca ferrugem, como mostrado na imagem, executa conforme o esperado., Bom produto, é uma luz Produto"&amp;" de peso., bom produto .... brinde bem ... tamanho também um pouco maior comparativamente a outros produtos ... feliz com a compra ..., o produto não é pegajoso, mas não até a marca ..,@Rs 99 Esta é uma ótima compra da Amazon. Após quatro compras sem dúvi"&amp;"da ou fracassada, finalmente, este item é entregue para mim. Antes disso, pedi quatro itens diferentes, que não eram de preço muito baixo por um minuto, mas após meu pedido e pagamento, o pedido é cancelado automaticamente no dia seguinte. Mas desta vez e"&amp;"le é entregue. Eu estou muito satisfeito.")</f>
        <v>Muito bom produto ... apenas coisa que eu achei que falta a qualidade de não bastão deve ser um pouco mais melhor ... bom para usar .., bom, mas Lock tem pouca ferrugem, como mostrado na imagem, executa conforme o esperado., Bom produto, é uma luz Produto de peso., bom produto .... brinde bem ... tamanho também um pouco maior comparativamente a outros produtos ... feliz com a compra ..., o produto não é pegajoso, mas não até a marca ..,@Rs 99 Esta é uma ótima compra da Amazon. Após quatro compras sem dúvida ou fracassada, finalmente, este item é entregue para mim. Antes disso, pedi quatro itens diferentes, que não eram de preço muito baixo por um minuto, mas após meu pedido e pagamento, o pedido é cancelado automaticamente no dia seguinte. Mas desta vez ele é entregue. Eu estou muito satisfeito.</v>
      </c>
    </row>
    <row r="1319">
      <c r="A1319" s="9" t="s">
        <v>5350</v>
      </c>
      <c r="B1319" s="29" t="str">
        <f>VLOOKUP(dados!A1319, reviews!A:G, 5, FALSE)</f>
        <v>Gud product and gud service,Good product in this range.,Useful,Good,Water taste is good and installation also done on prioritu basis worth for your money,Very good purifier in this range,Satisfactory performance,Installation charges extra</v>
      </c>
      <c r="C1319" s="29" t="str">
        <f>VLOOKUP(dados!A1319, reviews!A:G, 6, FALSE)</f>
        <v>Like the product with decent look,Newely installed , now there is no issue,Batter than buying 15k 20k branded ro. Just use 3-4 yrs and buy a new one. Best 👍💯hai,https://m.media-amazon.com/images/I/61HN2ZnNzFL._SY88.jpg,Indication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v>
      </c>
      <c r="D1319" s="29" t="str">
        <f>IFERROR(__xludf.DUMMYFUNCTION("GOOGLETRANSLATE(B1319, ""en"", ""pt-br"")"),"Gud Product and Gud Service, bom produto nessa faixa., Útil, bom, sabor aquático é bom e a instalação também é feita com base prioritu no seu dinheiro, muito bom purificador nessa faixa, desempenho satisfatório, cobranças de instalação extra")</f>
        <v>Gud Product and Gud Service, bom produto nessa faixa., Útil, bom, sabor aquático é bom e a instalação também é feita com base prioritu no seu dinheiro, muito bom purificador nessa faixa, desempenho satisfatório, cobranças de instalação extra</v>
      </c>
      <c r="E1319" s="29" t="str">
        <f>IFERROR(__xludf.DUMMYFUNCTION("GOOGLETRANSLATE(C1319, ""en"", ""pt-br"")"),"Como o produto com uma aparência decente, recém -instalada, agora não há problema, mas a compra de 15k de marca de 20k. Basta usar 3-4 anos e comprar um novo. Best 👍💯hai, https: //m.media-amazon.com/images/i/61hn2znnzfl._sy88.jpg, o interruptor deve est"&amp;"ar lá depois que a água é filtrada, desempenho satisfatório, comprei este item 2 semanas atrás. Você tem que chamar o técnico autorizado para instalar o sistema, pois ele é complexo e não pode ser corrigido pela pessoa local. Também para verificar os TDs."&amp;" O sistema funciona bem, embora muitas águas residuais tenham sido eliminadas durante a purificação da água")</f>
        <v>Como o produto com uma aparência decente, recém -instalada, agora não há problema, mas a compra de 15k de marca de 20k. Basta usar 3-4 anos e comprar um novo. Best 👍💯hai, https: //m.media-amazon.com/images/i/61hn2znnzfl._sy88.jpg, o interruptor deve estar lá depois que a água é filtrada, desempenho satisfatório, comprei este item 2 semanas atrás. Você tem que chamar o técnico autorizado para instalar o sistema, pois ele é complexo e não pode ser corrigido pela pessoa local. Também para verificar os TDs. O sistema funciona bem, embora muitas águas residuais tenham sido eliminadas durante a purificação da água</v>
      </c>
    </row>
    <row r="1320">
      <c r="A1320" s="9" t="s">
        <v>5354</v>
      </c>
      <c r="B1320" s="29" t="str">
        <f>VLOOKUP(dados!A1320, reviews!A:G, 5, FALSE)</f>
        <v>Good health product.,The best dry iron I have owned in last decade!,Value for money,Good,Bang on budget,Bad,light weight,Good for home use</v>
      </c>
      <c r="C1320" s="29" t="str">
        <f>VLOOKUP(dados!A1320, reviews!A:G, 6, FALSE)</f>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v>
      </c>
      <c r="D1320" s="29" t="str">
        <f>IFERROR(__xludf.DUMMYFUNCTION("GOOGLETRANSLATE(B1320, ""en"", ""pt-br"")"),"Bom produto de saúde., O melhor ferro seco que eu tenho na última década!, Recomenda ao dinheiro, bom, bate -se orçamentário, ruim, leve, bom, bom para uso doméstico")</f>
        <v>Bom produto de saúde., O melhor ferro seco que eu tenho na última década!, Recomenda ao dinheiro, bom, bate -se orçamentário, ruim, leve, bom, bom para uso doméstico</v>
      </c>
      <c r="E1320" s="29" t="str">
        <f>IFERROR(__xludf.DUMMYFUNCTION("GOOGLETRANSLATE(C1320, ""en"", ""pt-br"")"),"Eu aceito meus hábitos alimentares em três semanas. Melhor resultado., LightGreat Designeasy Manouverabilityfast Aquecimento que mais se pode querer ... Vá para o produto Manuseie e funciona bem com esta placa única como ferro seco, esta caixa de ferro fa"&amp;"z o trabalho. Seu peso leve e ferros bem.")</f>
        <v>Eu aceito meus hábitos alimentares em três semanas. Melhor resultado., LightGreat Designeasy Manouverabilityfast Aquecimento que mais se pode querer ... Vá para o produto Manuseie e funciona bem com esta placa única como ferro seco, esta caixa de ferro faz o trabalho. Seu peso leve e ferros bem.</v>
      </c>
    </row>
    <row r="1321">
      <c r="A1321" s="9" t="s">
        <v>5358</v>
      </c>
      <c r="B1321" s="29" t="str">
        <f>VLOOKUP(dados!A1321, reviews!A:G, 5, FALSE)</f>
        <v>The wire is short,God,Rahul Mallah,Very nice 👍,Good ✌️🤝❤️👏👍❤️❤️,Stopped working after a few days.,Excellent product pls buy,Very useful</v>
      </c>
      <c r="C1321" s="29" t="str">
        <f>VLOOKUP(dados!A1321, reviews!A:G, 6, FALSE)</f>
        <v>Very short wire to connect to my switch,Nice,,Very good product,Good,Turns on heat initially and then doesn’t heat up. Eventually needs to cool down completely to again start heating again. Wouldn’t recommend buying.,Excellent product pls buy.,Nice</v>
      </c>
      <c r="D1321" s="29" t="str">
        <f>IFERROR(__xludf.DUMMYFUNCTION("GOOGLETRANSLATE(B1321, ""en"", ""pt-br"")"),"O fio é curto, Deus, Rahul Mallah, muito bom 👍, bom ✌️🤝❤️👏👍❤️❤️, parou de funcionar depois de alguns dias., Excelente produto, por favor, compra, muito útil")</f>
        <v>O fio é curto, Deus, Rahul Mallah, muito bom 👍, bom ✌️🤝❤️👏👍❤️❤️, parou de funcionar depois de alguns dias., Excelente produto, por favor, compra, muito útil</v>
      </c>
      <c r="E1321" s="29" t="str">
        <f>IFERROR(__xludf.DUMMYFUNCTION("GOOGLETRANSLATE(C1321, ""en"", ""pt-br"")"),"Fio muito curto para conectar -se ao meu interruptor, bom produto, muito bom, bom, liga o calor inicialmente e depois não aquece. Eventualmente, precisa esfriar completamente para começar a aquecer novamente. Não recomendaria a compra., Excelente produto,"&amp;" por favor, compra., Nice")</f>
        <v>Fio muito curto para conectar -se ao meu interruptor, bom produto, muito bom, bom, liga o calor inicialmente e depois não aquece. Eventualmente, precisa esfriar completamente para começar a aquecer novamente. Não recomendaria a compra., Excelente produto, por favor, compra., Nice</v>
      </c>
    </row>
    <row r="1322">
      <c r="A1322" s="9" t="s">
        <v>5362</v>
      </c>
      <c r="B1322" s="29" t="str">
        <f>VLOOKUP(dados!A1322, reviews!A:G, 5, FALSE)</f>
        <v>It is very good product value for your money go for it and save some money,Nice,Easy ro use for children as well,Less time more work,Must buy 😊 I would recommend just go for it,Super fast,No need to wait for a long time,It's a good product</v>
      </c>
      <c r="C1322" s="29" t="str">
        <f>VLOOKUP(dados!A1322, reviews!A:G, 6, FALSE)</f>
        <v>Very good product go for it and save for your money.,Nice product,Good and easy to use,Good work done with a whole family,Must buy ...genuinely I would recommend this for boiling eggs...it boils egg so fast and I wonder how does it peel so perfectly 🥰  just on love with this 😍,It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v>
      </c>
      <c r="D1322" s="29" t="str">
        <f>IFERROR(__xludf.DUMMYFUNCTION("GOOGLETRANSLATE(B1322, ""en"", ""pt-br"")"),"É um valor muito bom do produto para o seu dinheiro vá em frente e economize algum dinheiro, bom e fácil uso para crianças também, menos tempo mais trabalho, deve comprar 😊 Eu recomendaria apenas ir em frente, super rápido, sem necessidade de esperar por"&amp;" um longo tempo, é um bom produto")</f>
        <v>É um valor muito bom do produto para o seu dinheiro vá em frente e economize algum dinheiro, bom e fácil uso para crianças também, menos tempo mais trabalho, deve comprar 😊 Eu recomendaria apenas ir em frente, super rápido, sem necessidade de esperar por um longo tempo, é um bom produto</v>
      </c>
      <c r="E1322" s="29" t="str">
        <f>IFERROR(__xludf.DUMMYFUNCTION("GOOGLETRANSLATE(C1322, ""en"", ""pt-br"")"),"Produto muito bom vá em frente e economize seu dinheiro., Produto agradável, bom e fácil de usar, bom trabalho feito com uma família inteira, deve comprar ... genuinamente eu recomendaria isso para ferver ovos ... ferve o ovo assim Rápido e eu me pergunto"&amp;" como isso descreve tão perfeitamente 🥰 apenas no amor com isso 😍, isso realmente facilita meu trabalho ... também não preciso de navios ou panela para ferver ovos ... também ferve o ovo. .LOVE para recomendar, ele apenas ferve em menos de 10 minutos, t"&amp;"odos fáceis de usar não precisam de muita água e têm uma opção automática, para que não precise manter e um olho em amar esse produto, é um bom produto")</f>
        <v>Produto muito bom vá em frente e economize seu dinheiro., Produto agradável, bom e fácil de usar, bom trabalho feito com uma família inteira, deve comprar ... genuinamente eu recomendaria isso para ferver ovos ... ferve o ovo assim Rápido e eu me pergunto como isso descreve tão perfeitamente 🥰 apenas no amor com isso 😍, isso realmente facilita meu trabalho ... também não preciso de navios ou panela para ferver ovos ... também ferve o ovo. .LOVE para recomendar, ele apenas ferve em menos de 10 minutos, todos fáceis de usar não precisam de muita água e têm uma opção automática, para que não precise manter e um olho em amar esse produto, é um bom produto</v>
      </c>
    </row>
    <row r="1323">
      <c r="A1323" s="9" t="s">
        <v>5366</v>
      </c>
      <c r="B1323" s="29" t="str">
        <f>VLOOKUP(dados!A1323, reviews!A:G, 5, FALSE)</f>
        <v>Nice Gyser,Good child I am say,Great product in this budget,Good product,Good,Amazing Machine highly recommend,Good product,Working Great</v>
      </c>
      <c r="C1323" s="29" t="str">
        <f>VLOOKUP(dados!A1323, reviews!A:G, 6, FALSE)</f>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v>
      </c>
      <c r="D1323" s="29" t="str">
        <f>IFERROR(__xludf.DUMMYFUNCTION("GOOGLETRANSLATE(B1323, ""en"", ""pt-br"")"),"Nice gyser, boa criança, eu sou, ótimo produto neste orçamento, bom produto, boa e incrível máquina altamente recomendável, bom produto, funcionando ótimo")</f>
        <v>Nice gyser, boa criança, eu sou, ótimo produto neste orçamento, bom produto, boa e incrível máquina altamente recomendável, bom produto, funcionando ótimo</v>
      </c>
      <c r="E1323" s="29" t="str">
        <f>IFERROR(__xludf.DUMMYFUNCTION("GOOGLETRANSLATE(C1323, ""en"", ""pt-br"")"),"Dá água quente, mas somente após 25 minutos de corrida, o que me sinto um pouco lento. Vamos esperar anos para apresentar seu desempenho., Bom muito bom, já estou usando 25 litros do mesmo gêisero, mas sem problemas até a data., Bom produto, um con: muito"&amp;" barulhento como água fervente, bom produto, este é minha segunda compra Ao Smith Geyser são incríveis, mas tristes ao compartilhar que seu técnico é muito rude e nunca veio para instalação, então tive que instalá -lo da minha própria pessoa elétrica. Por"&amp;" favor, trabalhe na parte do técnico, caso contrário ., Parcelas muito fáceis, uso esse gêisero há mais de 2 meses. Está funcionando muito bem sem soluços até agora. Aquece a água muito rápido. Permanece em alta e sem problemas devido à alta pressão da ág"&amp;"ua. Eu nunca tentei seu recurso de controle de temperatura, portanto, não é possível que ele se sai. Eu o defina em temperatura máxima e atende aos meus requisitos. Os compradores podem continuar comprando isso sem pensar em segundos.")</f>
        <v>Dá água quente, mas somente após 25 minutos de corrida, o que me sinto um pouco lento. Vamos esperar anos para apresentar seu desempenho., Bom muito bom, já estou usando 25 litros do mesmo gêisero, mas sem problemas até a data., Bom produto, um con: muito barulhento como água fervente, bom produto, este é minha segunda compra Ao Smith Geyser são incríveis, mas tristes ao compartilhar que seu técnico é muito rude e nunca veio para instalação, então tive que instalá -lo da minha própria pessoa elétrica. Por favor, trabalhe na parte do técnico, caso contrário ., Parcelas muito fáceis, uso esse gêisero há mais de 2 meses. Está funcionando muito bem sem soluços até agora. Aquece a água muito rápido. Permanece em alta e sem problemas devido à alta pressão da água. Eu nunca tentei seu recurso de controle de temperatura, portanto, não é possível que ele se sai. Eu o defina em temperatura máxima e atende aos meus requisitos. Os compradores podem continuar comprando isso sem pensar em segundos.</v>
      </c>
    </row>
    <row r="1324">
      <c r="A1324" s="9" t="s">
        <v>5370</v>
      </c>
      <c r="B1324" s="29" t="str">
        <f>VLOOKUP(dados!A1324, reviews!A:G, 5, FALSE)</f>
        <v>Packaging and look wise it is awesome 👍,Perfect fan,Good product,Good looking bit heavy,Nice product,Good,Good fan,Looks classy</v>
      </c>
      <c r="C1324" s="29" t="str">
        <f>VLOOKUP(dados!A1324, reviews!A:G, 6, FALSE)</f>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v>
      </c>
      <c r="D1324" s="29" t="str">
        <f>IFERROR(__xludf.DUMMYFUNCTION("GOOGLETRANSLATE(B1324, ""en"", ""pt-br"")"),"Embalagem e parecer sábio é incrível 👍, fã perfeito, bom produto, um pouco pesado, bom produto, bom, bom fã, parece elegante")</f>
        <v>Embalagem e parecer sábio é incrível 👍, fã perfeito, bom produto, um pouco pesado, bom produto, bom, bom fã, parece elegante</v>
      </c>
      <c r="E1324" s="29" t="str">
        <f>IFERROR(__xludf.DUMMYFUNCTION("GOOGLETRANSLATE(C1324, ""en"", ""pt-br"")"),"https://m.media-amazon.com/images/i/51gbvxgdt3l._sy88.jpg,Best Fan com desempenho perfeito, ótimo ar sem voz., Como na imagem, parecendo mesmo 2 meses usando o produto. Bonito, resistente à poeira. Somente edição, penso em seu padrão de ventilador normais"&amp;". Os fãs são fáceis de instalar, mas nenhum controle remoto. O preço é um pouco alto, acho que por isso deve ser de 2300-2700 rúpias., Bom produto, o produto é bom, mas a cor é monótona se a cor for leve, então pareça muito bom, em geral, boa, a cor mostr"&amp;"ando no aplicativo não é o mesmo em física, Parece elegante")</f>
        <v>https://m.media-amazon.com/images/i/51gbvxgdt3l._sy88.jpg,Best Fan com desempenho perfeito, ótimo ar sem voz., Como na imagem, parecendo mesmo 2 meses usando o produto. Bonito, resistente à poeira. Somente edição, penso em seu padrão de ventilador normais. Os fãs são fáceis de instalar, mas nenhum controle remoto. O preço é um pouco alto, acho que por isso deve ser de 2300-2700 rúpias., Bom produto, o produto é bom, mas a cor é monótona se a cor for leve, então pareça muito bom, em geral, boa, a cor mostrando no aplicativo não é o mesmo em física, Parece elegante</v>
      </c>
    </row>
    <row r="1325">
      <c r="A1325" s="9" t="s">
        <v>5374</v>
      </c>
      <c r="B1325" s="29" t="str">
        <f>VLOOKUP(dados!A1325, reviews!A:G, 5, FALSE)</f>
        <v>Good for now,Worth Buying For Daily Cleaning,Very strong!,Convenient and powerful hand vacuum,Powerful suction of Product,Good budget buy,Powrrfully loaded for the purpose.,Handy Vacuum Cleaner</v>
      </c>
      <c r="C1325" s="29" t="str">
        <f>VLOOKUP(dados!A1325, reviews!A:G, 6, FALSE)</f>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v>
      </c>
      <c r="D1325" s="29" t="str">
        <f>IFERROR(__xludf.DUMMYFUNCTION("GOOGLETRANSLATE(B1325, ""en"", ""pt-br"")"),"Bom por enquanto, vale a pena comprar para a limpeza diária, muito forte!, Vacuum de mão conveniente e poderoso, sucção poderosa do produto, bom orçamento, carregado de maneira geral para esse fim.")</f>
        <v>Bom por enquanto, vale a pena comprar para a limpeza diária, muito forte!, Vacuum de mão conveniente e poderoso, sucção poderosa do produto, bom orçamento, carregado de maneira geral para esse fim.</v>
      </c>
      <c r="E1325" s="29" t="str">
        <f>IFERROR(__xludf.DUMMYFUNCTION("GOOGLETRANSLATE(C1325, ""en"", ""pt-br"")"),"O dispositivo era resistente e prático, o poder de sucção é bastante forte, todos os acessórios são bons, exceto que o tubo de extensão era tão fraco que fica amassado quando entrar em contato com qualquer objeto. Comprei isso para me livrar dos cabelos d"&amp;"e cachorro na minha cama E faz o trabalho muito bem. Ele se livra do pó com muita facilidade. Produto muito útil e durável., Isso é muito forte; portanto, embora seja bom para certas coisas, também pode ser um pouco difícil de aspirar à medida que é péssi"&amp;"mo na superfície, dificultando a deslize ao longo da superfície. O calor faz rapidamente para que você continue pausando. No entanto, no geral por esse preço, é uma compra incrível., Um bom produto que limpa poeira de estofados e pisos. Variedade de acess"&amp;"órios ajuda para diferentes limpeza de superfície. Boa capacidade de sucção. O cordão longo o torna mais útil, pois você pode atingir distâncias maiores do ponto de plugue. A única razão para 4 estrelas no geral é que, ao usá -lo, um pouco de poeira sai d"&amp;"o compartimento da coleção. O selo de fechamento pode ser mais firme para que não haja vazamento de ar., Fácil de sufocar o ninho de aranha na parede e outras poeira de canto., Ótimo produto. Funciona muito bem pelo preço que está chegando. Como de costum"&amp;"e, não é um váculo pesado, o que significa que é aquecido ... Dê 5 minutos de quebra e uso.")</f>
        <v>O dispositivo era resistente e prático, o poder de sucção é bastante forte, todos os acessórios são bons, exceto que o tubo de extensão era tão fraco que fica amassado quando entrar em contato com qualquer objeto. Comprei isso para me livrar dos cabelos de cachorro na minha cama E faz o trabalho muito bem. Ele se livra do pó com muita facilidade. Produto muito útil e durável., Isso é muito forte; portanto, embora seja bom para certas coisas, também pode ser um pouco difícil de aspirar à medida que é péssimo na superfície, dificultando a deslize ao longo da superfície. O calor faz rapidamente para que você continue pausando. No entanto, no geral por esse preço, é uma compra incrível., Um bom produto que limpa poeira de estofados e pisos. Variedade de acessórios ajuda para diferentes limpeza de superfície. Boa capacidade de sucção. O cordão longo o torna mais útil, pois você pode atingir distâncias maiores do ponto de plugue. A única razão para 4 estrelas no geral é que, ao usá -lo, um pouco de poeira sai do compartimento da coleção. O selo de fechamento pode ser mais firme para que não haja vazamento de ar., Fácil de sufocar o ninho de aranha na parede e outras poeira de canto., Ótimo produto. Funciona muito bem pelo preço que está chegando. Como de costume, não é um váculo pesado, o que significa que é aquecido ... Dê 5 minutos de quebra e uso.</v>
      </c>
    </row>
    <row r="1326">
      <c r="A1326" s="9" t="s">
        <v>5378</v>
      </c>
      <c r="B1326" s="29" t="str">
        <f>VLOOKUP(dados!A1326, reviews!A:G, 5, FALSE)</f>
        <v>The Grill and Toaster is good,Ibell,Good product,Does what it claims.,Good product and valu for money spend,I thought Ibell sandwich maker is best brand and I can use use usually easy clean it now easy,Good Product,Good product</v>
      </c>
      <c r="C1326" s="29" t="str">
        <f>VLOOKUP(dados!A1326, reviews!A:G, 6, FALSE)</f>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doesn’t closed fully. Which is something that should be mentioned in the product description,NA</v>
      </c>
      <c r="D1326" s="29" t="str">
        <f>IFERROR(__xludf.DUMMYFUNCTION("GOOGLETRANSLATE(B1326, ""en"", ""pt-br"")"),"A grelha e a torradeira são boas, Ibell, bom produto, faz o que afirma., Bom produto e valor para gastos com dinheiro, eu pensei produtos")</f>
        <v>A grelha e a torradeira são boas, Ibell, bom produto, faz o que afirma., Bom produto e valor para gastos com dinheiro, eu pensei produtos</v>
      </c>
      <c r="E1326" s="29" t="str">
        <f>IFERROR(__xludf.DUMMYFUNCTION("GOOGLETRANSLATE(C1326, ""en"", ""pt-br"")"),"O produto está funcionando bem. Mas nessa faixa de preço deve haver um regulador de temperatura. Estamos sempre usando a espátula de silício, mas o revestimento de Teflon está saindo por conta própria. O produto está funcionando nas especificações descrit"&amp;"as, compactas, boas e razoáveis, fácil de usar, a máquina é super fácil de operar e usar. O 1000watt é o suficiente e funciona rápido como esperado. Feliz com o produto., Muito bom produto tudo e todo pensamento é bom apenas fio de cordão é muito curto, e"&amp;"ntão a empresa tem uma aparência, eu gosto de todos os recursos e serviços do serviço de atendimento ao cliente I Bell que eu posso refazer para outra pessoa para comprar esta marca, O produto é bom. O que é algo que deve ser mencionado na descrição do pr"&amp;"oduto, na")</f>
        <v>O produto está funcionando bem. Mas nessa faixa de preço deve haver um regulador de temperatura. Estamos sempre usando a espátula de silício, mas o revestimento de Teflon está saindo por conta própria. O produto está funcionando nas especificações descritas, compactas, boas e razoáveis, fácil de usar, a máquina é super fácil de operar e usar. O 1000watt é o suficiente e funciona rápido como esperado. Feliz com o produto., Muito bom produto tudo e todo pensamento é bom apenas fio de cordão é muito curto, então a empresa tem uma aparência, eu gosto de todos os recursos e serviços do serviço de atendimento ao cliente I Bell que eu posso refazer para outra pessoa para comprar esta marca, O produto é bom. O que é algo que deve ser mencionado na descrição do produto, na</v>
      </c>
    </row>
    <row r="1327">
      <c r="A1327" s="9" t="s">
        <v>5382</v>
      </c>
      <c r="B1327" s="29" t="str">
        <f>VLOOKUP(dados!A1327, reviews!A:G, 5, FALSE)</f>
        <v>Usable,Good,Awesome,Satisfied,Purifier,Beware to buy it from online,Very Good Quaility,Easy to install</v>
      </c>
      <c r="C1327" s="29" t="str">
        <f>VLOOKUP(dados!A1327, reviews!A:G, 6, FALSE)</f>
        <v>Good service,Good,I like this product,taste is also good 👍👍,Worth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v>
      </c>
      <c r="D1327" s="29" t="str">
        <f>IFERROR(__xludf.DUMMYFUNCTION("GOOGLETRANSLATE(B1327, ""en"", ""pt-br"")"),"Utilizável, bom, incrível, satisfeito, purificador, cuidado para comprá -lo on -line, muito bom, fácil de instalar")</f>
        <v>Utilizável, bom, incrível, satisfeito, purificador, cuidado para comprá -lo on -line, muito bom, fácil de instalar</v>
      </c>
      <c r="E1327" s="29" t="str">
        <f>IFERROR(__xludf.DUMMYFUNCTION("GOOGLETRANSLATE(C1327, ""en"", ""pt-br"")"),"Bom serviço, bom, eu gosto deste produto, o sabor também é bom 👍👍, vale a pena por dinheiro., OK, estou atualizando minha revisão, espero que seja publicado e quem é e quem da marca prestará atenção a ele. Após a cada dois a três meses, a unidade está t"&amp;"endo problemas com o sistema de entrada. Muitas vezes, a entrada para de tomar água, mas o indicador mostra o enchimento do tanque! Foi corrigido pela pessoa do serviço. Novamente, agora o indicador mostrando o enchimento do tanque enquanto a válvula de e"&amp;"ntrada está fechada! Deve mostrar a luz roxa significa baixa ou sem pressão. É uma unidade defeituosa. O cara da instalação e as pessoas do serviço estavam certas, que afirmaram que as unidades de baixa e baixa qualidade são vendidas on -line, cuja declar"&amp;"ação ignorei pensando que todo vendedor offline diz isso. Infelizmente, eu estava errado. Quero que esta unidade seja removida imediatamente e quero meu dinheiro arduamente ganho de volta., A esse preço, este produto é muito adequado., Esy para instalar")</f>
        <v>Bom serviço, bom, eu gosto deste produto, o sabor também é bom 👍👍, vale a pena por dinheiro., OK, estou atualizando minha revisão, espero que seja publicado e quem é e quem da marca prestará atenção a ele. Após a cada dois a três meses, a unidade está tendo problemas com o sistema de entrada. Muitas vezes, a entrada para de tomar água, mas o indicador mostra o enchimento do tanque! Foi corrigido pela pessoa do serviço. Novamente, agora o indicador mostrando o enchimento do tanque enquanto a válvula de entrada está fechada! Deve mostrar a luz roxa significa baixa ou sem pressão. É uma unidade defeituosa. O cara da instalação e as pessoas do serviço estavam certas, que afirmaram que as unidades de baixa e baixa qualidade são vendidas on -line, cuja declaração ignorei pensando que todo vendedor offline diz isso. Infelizmente, eu estava errado. Quero que esta unidade seja removida imediatamente e quero meu dinheiro arduamente ganho de volta., A esse preço, este produto é muito adequado., Esy para instalar</v>
      </c>
    </row>
    <row r="1328">
      <c r="A1328" s="9" t="s">
        <v>5386</v>
      </c>
      <c r="B1328" s="29" t="str">
        <f>VLOOKUP(dados!A1328, reviews!A:G, 5, FALSE)</f>
        <v>Serves unlimited hot water instantly,Very good,Go for it,Instant heating,Just go for it.,Best for instant heat water,Amazing products,Instant got water, quite literally</v>
      </c>
      <c r="C1328" s="29" t="str">
        <f>VLOOKUP(dados!A1328, reviews!A:G, 6, FALSE)</f>
        <v>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v>
      </c>
      <c r="D1328" s="29" t="str">
        <f>IFERROR(__xludf.DUMMYFUNCTION("GOOGLETRANSLATE(B1328, ""en"", ""pt-br"")"),"Serve água quente ilimitada instantaneamente, muito boa, vá em frente, aquecimento instantâneo, basta seguir em frente., Melhor para água térmica instantânea, produtos incríveis, água instantânea, literalmente")</f>
        <v>Serve água quente ilimitada instantaneamente, muito boa, vá em frente, aquecimento instantâneo, basta seguir em frente., Melhor para água térmica instantânea, produtos incríveis, água instantânea, literalmente</v>
      </c>
      <c r="E1328" s="29" t="str">
        <f>IFERROR(__xludf.DUMMYFUNCTION("GOOGLETRANSLATE(C1328, ""en"", ""pt-br"")"),"Comprei ""Havells 3LTS Instant GEYser 4.5kW White/Blue"" e estou muito feliz por ter tomado essa decisão. Deixe-me começar por que fui para o ""gêisero instantâneo"" em vez de ""armazenamento gêise Armazene a água e aqueça. Por outro lado, a água aquece a"&amp;" água de aquecimento instantaneamente dentro de 1 a 3 minutos, mas o captura é que eles não têm um tanque enorme de capacidade, o que significa que, em um determinado instante, ele tem apenas um pequeno volume (dependendo da capacidade do tanque) de água "&amp;"quente que deve optar por "" GEISER instantâneo ""e quem deve optar por"" armazenamento gêiseto ""é a pergunta?- se você gosta de tomar um"" banho de banho ""para o qual precisa de mais de 10 litros de água quente continuamente, deve optar por"" armazenam"&amp;"ento de armazenamento "", pois o armazenamento O gêiser de capacidade mais de 10LTs armazenará 10LTs de água quente e o fornecerá assim que você ligar o chuveiro sem qualquer pausa-instante se considerarmos ""gêiserer instantâneo"" da capacidade de 3LTS p"&amp;"ara banho de banho, não pode fornecer 10 lts de Água quente continuamente, porque a cada 3LTS leva tempo para aquecer a água novamente, portanto, para um banho de chuveiro é melhor para ""armazenar gêiseres""-se você gosta de tomar um ""banho de banheira"&amp;""" do que o gêiser instantâneo é bom para ir porque considerando usando o uso Uma banheira, uma banheira geralmente é de capacidade 350LTS-se você até usar um ""gêiseador de armazenamento"" de alta capacidade até 25LTS, ainda assim você terá 14 pausas de "&amp;"5 a 10 minutos de cada vez em que se tira esse tiro em que este gêiser de armazenamento pode fornecer você Apenas 25 lts de água quente continuamente e você terá que esperar 5-10mins pelos próximos 25LTs para aquecer para encher toda a banheira, você prec"&amp;"isa ter 14 vezes 25 lts de água quente = 350LTS-o tempo total de espera Seria 14 vezes 7 minutos (em média) = 98 minutos no cenário de ""banho de banho"" é melhor ir para gêiseres instantâneos, pois eles fornecem água quente quase instantaneamente e, apes"&amp;"ar de haver pausas para cada 3 mt de água quente ainda as pausas Sendo muito pequeno, você terá uma banheira cheia de água com quantidade suficiente de calor/gostosura. ""É bom que você escolha, com base em: preço, tempo necessário para aquecer (instantan"&amp;"eamente leva menos tempo), o consumo de energia (instantaneas instantâneas menos) agora chegando a"" Havells 3LTS Instant Geyser de 4.5kw "", por que comprei isso?- Havells é uma ótima marca-eu queria tê-la para ""banheira"" -4,5kw aquece 3lts de água em "&amp;"apenas 30 a 50 segundos, que gostei sobre este produto: -Eu tenho testado de uma semana e é realmente ossum como ele está aquecendo 3lts de água em apenas 45 segundos (usei um cronômetro para observar que)-a instalação foi totalmente gratuita, no entanto,"&amp;" lembre-se de que você será cobrado se houver algum ""trabalho de encanamento"". Acesso como tubos, tudo é fornecido na caixa, você só precisa comprar um plugue de 16 ampadeiras que seria menos de 100rs-assim que o produto foi entregue pela Amazon, recebi"&amp;" uma mensagem de Havells dizendo que eles registraram minha solicitação de instalação e No dia seguinte, a insaltação foi feita, muito obrigado (isso pode diferir para você com base na sua localização, eu moro em Hyderabad)-Eu realmente gosto de Havells C"&amp;"ustomer Service-o gêise de Warrenting no tank-it tem um recurso de ""corte automático"" para interromper mais o aquecimento ou o desperdício de eletricidade se você se esqueceu de desligar (no entanto, desligue-o uma vez feito porque, apesar de ter um cor"&amp;"te automático, ainda assim que a água no tanque esfria Para baixo, começará novamente a aquecer e o ciclo se repete) -Is mostra indicação de cor: ""azul quando o aquecimento"" e ""laranja quando tiver aquecido"" (dê uma olhada nas fotos que eu anexei) NOT"&amp;"A: -GO para o 4.5 Modelo KW Se você quiser água quente instantaneamente em 30 a 50 segundos, o modelo de 3kW pode levar de 2 a 5 minutos para aquecer 3LTs de água com certeza de que é modelo de 4,5kw porque vejo críticas de outros clientes que dizem que o"&amp;" gêiseador ""mostarda"" é Não é de 4,5kW, mas 3kW (é melhor procurar a cor branca e azul), produto muito bom, bom produto, aquecedor com classificação de 4,5kW é capaz de aquecer a água em minutos e manter essa temperatura para o fluxo contínuo de água qu"&amp;"ente. Bom produto, ótimo produto a um excelente preço., Valor do dinheiro e água morna instantaneamente vem em apenas 2 minutos, aquecedor de água Havella, a água aquece em 45-60 segundos, dependendo do clima. Essa revisão está após o uso deste aquecedor "&amp;"de água continuamente para 10 -12 dias em dezembro, em Calcutá, com um dos dias sendo extremamente ventoso e a temperatura mais baixa em 14 a 15 graus Celsius (durante a tarde/ início da noite). No dia mais frio até agora, levou cerca de 1min e 10-15 segu"&amp;"ndos para aquecer completamente. Para o banho, acho que pode funcionar perfeitamente para invernos com temperaturas mais baixas de até 9 a 10 graus, porque tenho dor crônica e uso isso para obter água muito quente e para um chuveiro, não usando um balde, "&amp;"e é gerenciável. Não posso ser comparado ao vapor de chuveiros quentes usando um gêiseador de armazenamento, mas isso aquece rapidamente, portanto, pode ser usado no chuveiro, mesmo com a baixa capacidade. Por esse motivo, ele pode ser usado para várias p"&amp;"essoas, porque quando uma pessoa uma pessoa Deixa o banheiro e o próximo entra, você terá água totalmente quente, apenas de menor quantidade, por isso as pessoas também. O suporte de instantação também foi bom.Não contras, apenas que se Havells introduzir"&amp;" um aquecedor instantâneo de 5L na faixa de 4,5kW, isso seria um divisor Quem não tem sua própria casa e pode precisar se movimentar, porque é compacta e fornece água quente instantânea.")</f>
        <v>Comprei "Havells 3LTS Instant GEYser 4.5kW White/Blue" e estou muito feliz por ter tomado essa decisão. Deixe-me começar por que fui para o "gêisero instantâneo" em vez de "armazenamento gêise Armazene a água e aqueça. Por outro lado, a água aquece a água de aquecimento instantaneamente dentro de 1 a 3 minutos, mas o captura é que eles não têm um tanque enorme de capacidade, o que significa que, em um determinado instante, ele tem apenas um pequeno volume (dependendo da capacidade do tanque) de água quente que deve optar por " GEISER instantâneo "e quem deve optar por" armazenamento gêiseto "é a pergunta?- se você gosta de tomar um" banho de banho "para o qual precisa de mais de 10 litros de água quente continuamente, deve optar por" armazenamento de armazenamento ", pois o armazenamento O gêiser de capacidade mais de 10LTs armazenará 10LTs de água quente e o fornecerá assim que você ligar o chuveiro sem qualquer pausa-instante se considerarmos "gêiserer instantâneo" da capacidade de 3LTS para banho de banho, não pode fornecer 10 lts de Água quente continuamente, porque a cada 3LTS leva tempo para aquecer a água novamente, portanto, para um banho de chuveiro é melhor para "armazenar gêiseres"-se você gosta de tomar um "banho de banheira" do que o gêiser instantâneo é bom para ir porque considerando usando o uso Uma banheira, uma banheira geralmente é de capacidade 350LTS-se você até usar um "gêiseador de armazenamento" de alta capacidade até 25LTS, ainda assim você terá 14 pausas de 5 a 10 minutos de cada vez em que se tira esse tiro em que este gêiser de armazenamento pode fornecer você Apenas 25 lts de água quente continuamente e você terá que esperar 5-10mins pelos próximos 25LTs para aquecer para encher toda a banheira, você precisa ter 14 vezes 25 lts de água quente = 350LTS-o tempo total de espera Seria 14 vezes 7 minutos (em média) = 98 minutos no cenário de "banho de banho" é melhor ir para gêiseres instantâneos, pois eles fornecem água quente quase instantaneamente e, apesar de haver pausas para cada 3 mt de água quente ainda as pausas Sendo muito pequeno, você terá uma banheira cheia de água com quantidade suficiente de calor/gostosura. "É bom que você escolha, com base em: preço, tempo necessário para aquecer (instantaneamente leva menos tempo), o consumo de energia (instantaneas instantâneas menos) agora chegando a" Havells 3LTS Instant Geyser de 4.5kw ", por que comprei isso?- Havells é uma ótima marca-eu queria tê-la para "banheira" -4,5kw aquece 3lts de água em apenas 30 a 50 segundos, que gostei sobre este produto: -Eu tenho testado de uma semana e é realmente ossum como ele está aquecendo 3lts de água em apenas 45 segundos (usei um cronômetro para observar que)-a instalação foi totalmente gratuita, no entanto, lembre-se de que você será cobrado se houver algum "trabalho de encanamento". Acesso como tubos, tudo é fornecido na caixa, você só precisa comprar um plugue de 16 ampadeiras que seria menos de 100rs-assim que o produto foi entregue pela Amazon, recebi uma mensagem de Havells dizendo que eles registraram minha solicitação de instalação e No dia seguinte, a insaltação foi feita, muito obrigado (isso pode diferir para você com base na sua localização, eu moro em Hyderabad)-Eu realmente gosto de Havells Customer Service-o gêise de Warrenting no tank-it tem um recurso de "corte automático" para interromper mais o aquecimento ou o desperdício de eletricidade se você se esqueceu de desligar (no entanto, desligue-o uma vez feito porque, apesar de ter um corte automático, ainda assim que a água no tanque esfria Para baixo, começará novamente a aquecer e o ciclo se repete) -Is mostra indicação de cor: "azul quando o aquecimento" e "laranja quando tiver aquecido" (dê uma olhada nas fotos que eu anexei) NOTA: -GO para o 4.5 Modelo KW Se você quiser água quente instantaneamente em 30 a 50 segundos, o modelo de 3kW pode levar de 2 a 5 minutos para aquecer 3LTs de água com certeza de que é modelo de 4,5kw porque vejo críticas de outros clientes que dizem que o gêiseador "mostarda" é Não é de 4,5kW, mas 3kW (é melhor procurar a cor branca e azul), produto muito bom, bom produto, aquecedor com classificação de 4,5kW é capaz de aquecer a água em minutos e manter essa temperatura para o fluxo contínuo de água quente. Bom produto, ótimo produto a um excelente preço., Valor do dinheiro e água morna instantaneamente vem em apenas 2 minutos, aquecedor de água Havella, a água aquece em 45-60 segundos, dependendo do clima. Essa revisão está após o uso deste aquecedor de água continuamente para 10 -12 dias em dezembro, em Calcutá, com um dos dias sendo extremamente ventoso e a temperatura mais baixa em 14 a 15 graus Celsius (durante a tarde/ início da noite). No dia mais frio até agora, levou cerca de 1min e 10-15 segundos para aquecer completamente. Para o banho, acho que pode funcionar perfeitamente para invernos com temperaturas mais baixas de até 9 a 10 graus, porque tenho dor crônica e uso isso para obter água muito quente e para um chuveiro, não usando um balde, e é gerenciável. Não posso ser comparado ao vapor de chuveiros quentes usando um gêiseador de armazenamento, mas isso aquece rapidamente, portanto, pode ser usado no chuveiro, mesmo com a baixa capacidade. Por esse motivo, ele pode ser usado para várias pessoas, porque quando uma pessoa uma pessoa Deixa o banheiro e o próximo entra, você terá água totalmente quente, apenas de menor quantidade, por isso as pessoas também. O suporte de instantação também foi bom.Não contras, apenas que se Havells introduzir um aquecedor instantâneo de 5L na faixa de 4,5kW, isso seria um divisor Quem não tem sua própria casa e pode precisar se movimentar, porque é compacta e fornece água quente instantânea.</v>
      </c>
    </row>
    <row r="1329">
      <c r="A1329" s="9" t="s">
        <v>5390</v>
      </c>
      <c r="B1329" s="29" t="str">
        <f>VLOOKUP(dados!A1329, reviews!A:G, 5, FALSE)</f>
        <v>Ok ok product,Great Tool for Kitchen,Easy and handy,Different frother machine,not as per images,Not good as I thought.,powerful,So glad that I bought this!,Good product, value for money</v>
      </c>
      <c r="C1329" s="29" t="str">
        <f>VLOOKUP(dados!A1329, reviews!A:G, 6, FALSE)</f>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v>
      </c>
      <c r="D1329" s="29" t="str">
        <f>IFERROR(__xludf.DUMMYFUNCTION("GOOGLETRANSLATE(B1329, ""en"", ""pt-br"")"),"Ok ok produto, ótima ferramenta para cozinha, fácil e útil, diferente máquina de caça, não como imagens, não é bom como eu pensava., Poderoso, tão feliz por ter comprado isso!, Bom produto, valor para dinheiro")</f>
        <v>Ok ok produto, ótima ferramenta para cozinha, fácil e útil, diferente máquina de caça, não como imagens, não é bom como eu pensava., Poderoso, tão feliz por ter comprado isso!, Bom produto, valor para dinheiro</v>
      </c>
      <c r="E1329" s="29" t="str">
        <f>IFERROR(__xludf.DUMMYFUNCTION("GOOGLETRANSLATE(C1329, ""en"", ""pt-br"")"),"Bom produto recebido e eu lhe dou essa revisão completa após 7 dias, valor ao dinheiro, fácil e útil para operar, recebi minha máquina Frother, é bom para o preço e o motor também é bom funciona bem, tenha 3 velocidade diferente. No entanto, recebi uma va"&amp;"riante diferente, não conforme as imagens que são exibidas, mas estão funcionando bem, vamos ver agora quantos dias sobrevive fácil de limpar e faz com que a espuma rápida também possa ser usada para ovos. Devo dizer que a área de melhoria seria a venda d"&amp;"e detalhes precisam ser atualizados. Construir a área de qualidade fora da melhoria e o indicador de carregamento da bateria também deve mostrar a quantidade de bateria que permanece esse recurso também está faltando, na variante que recebi. Pode comprar "&amp;"este produto e pode tentar para mim que está trabalhando fazendo o trabalho., Eu pedi um preto, mas peguei um branco. A construção não é boa, como eu acho. Fácil de limpar., É realmente um bom produto, a única coisa que pode ser melhorada são os botões de"&amp;" ajuste de velocidade, pois ele começa diretamente a toda a velocidade, você pode reduzir a velocidade, mas deve estar em uma ordem crescente (botão de velocidade), a energia Os botões de ajuste são ótimos. Frotos em apenas dois minutos. Uma carga pode ma"&amp;"nter até 12 vezes o OD Frothing! Vale a pena o preço !!, eu pedi este produto para bater o café, mas esse produto também é melhor para esmagar ovos, fabricação de lassi e outras obras de cozinha também. Ótima duração da bateria e recarregável em curto per"&amp;"íodo de tempo")</f>
        <v>Bom produto recebido e eu lhe dou essa revisão completa após 7 dias, valor ao dinheiro, fácil e útil para operar, recebi minha máquina Frother, é bom para o preço e o motor também é bom funciona bem, tenha 3 velocidade diferente. No entanto, recebi uma variante diferente, não conforme as imagens que são exibidas, mas estão funcionando bem, vamos ver agora quantos dias sobrevive fácil de limpar e faz com que a espuma rápida também possa ser usada para ovos. Devo dizer que a área de melhoria seria a venda de detalhes precisam ser atualizados. Construir a área de qualidade fora da melhoria e o indicador de carregamento da bateria também deve mostrar a quantidade de bateria que permanece esse recurso também está faltando, na variante que recebi. Pode comprar este produto e pode tentar para mim que está trabalhando fazendo o trabalho., Eu pedi um preto, mas peguei um branco. A construção não é boa, como eu acho. Fácil de limpar., É realmente um bom produto, a única coisa que pode ser melhorada são os botões de ajuste de velocidade, pois ele começa diretamente a toda a velocidade, você pode reduzir a velocidade, mas deve estar em uma ordem crescente (botão de velocidade), a energia Os botões de ajuste são ótimos. Frotos em apenas dois minutos. Uma carga pode manter até 12 vezes o OD Frothing! Vale a pena o preço !!, eu pedi este produto para bater o café, mas esse produto também é melhor para esmagar ovos, fabricação de lassi e outras obras de cozinha também. Ótima duração da bateria e recarregável em curto período de tempo</v>
      </c>
    </row>
    <row r="1330">
      <c r="A1330" s="9" t="s">
        <v>5394</v>
      </c>
      <c r="B1330" s="29" t="str">
        <f>VLOOKUP(dados!A1330, reviews!A:G, 5, FALSE)</f>
        <v>Good,Adequate and efficient are the most apt words.,Good product,Single rice bowl,Good,Gift of god,Nice,Looks elegant</v>
      </c>
      <c r="C1330" s="29" t="str">
        <f>VLOOKUP(dados!A1330, reviews!A:G, 6, FALSE)</f>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v>
      </c>
      <c r="D1330" s="29" t="str">
        <f>IFERROR(__xludf.DUMMYFUNCTION("GOOGLETRANSLATE(B1330, ""en"", ""pt-br"")"),"Bom, adequado e eficiente são as palavras mais adequadas., Bom produto, tigela de arroz único, bom, presente de Deus, legal, parece elegante")</f>
        <v>Bom, adequado e eficiente são as palavras mais adequadas., Bom produto, tigela de arroz único, bom, presente de Deus, legal, parece elegante</v>
      </c>
      <c r="E1330" s="29" t="str">
        <f>IFERROR(__xludf.DUMMYFUNCTION("GOOGLETRANSLATE(C1330, ""en"", ""pt-br"")"),"Bom, adequado e eficiente são as palavras mais adequadas. É realmente de excelente qualidade, uso e VFM. Eu o recomendo a todas as famílias pequenas de um a cinco. Excepcionalmente funcional, excelente qualidade, fácil de manter, limpo. Tem pouco espaço. "&amp;"Ele dobra como fabricante de momo, fabricante de Odiyapithaa, a vapor e, claro, um fabricante de arroz.Eu apresentou três, comprou três para minha família maior até agora. Um para si, um para meus pais, um para a casa da minha aldeia. O mais antigo agora "&amp;"tem cinco anos e ainda está cozinhando. O fogão de arroz, especialmente a cor verde, parece ótima, poderia ter sido marcada em 2500rs")</f>
        <v>Bom, adequado e eficiente são as palavras mais adequadas. É realmente de excelente qualidade, uso e VFM. Eu o recomendo a todas as famílias pequenas de um a cinco. Excepcionalmente funcional, excelente qualidade, fácil de manter, limpo. Tem pouco espaço. Ele dobra como fabricante de momo, fabricante de Odiyapithaa, a vapor e, claro, um fabricante de arroz.Eu apresentou três, comprou três para minha família maior até agora. Um para si, um para meus pais, um para a casa da minha aldeia. O mais antigo agora tem cinco anos e ainda está cozinhando. O fogão de arroz, especialmente a cor verde, parece ótima, poderia ter sido marcada em 2500rs</v>
      </c>
    </row>
    <row r="1331">
      <c r="A1331" s="9" t="s">
        <v>5398</v>
      </c>
      <c r="B1331" s="29" t="str">
        <f>VLOOKUP(dados!A1331, reviews!A:G, 5, FALSE)</f>
        <v>It's okay,A must have for coffee lovers,Perfect product for making a perfect cup of coffee.,Stopped working after minimal usage,Great Product,Amazing!,Awsome,Good</v>
      </c>
      <c r="C1331" s="29" t="str">
        <f>VLOOKUP(dados!A1331, reviews!A:G, 6, FALSE)</f>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v>
      </c>
      <c r="D1331" s="29" t="str">
        <f>IFERROR(__xludf.DUMMYFUNCTION("GOOGLETRANSLATE(B1331, ""en"", ""pt-br"")"),"Está tudo bem, um deve ter para os amantes do café, produto perfeito para fazer uma xícara de café perfeita., Parou de funcionar após o mínimo de uso, ótimo produto, incrível!, Incrível, bom")</f>
        <v>Está tudo bem, um deve ter para os amantes do café, produto perfeito para fazer uma xícara de café perfeita., Parou de funcionar após o mínimo de uso, ótimo produto, incrível!, Incrível, bom</v>
      </c>
      <c r="E1331" s="29" t="str">
        <f>IFERROR(__xludf.DUMMYFUNCTION("GOOGLETRANSLATE(C1331, ""en"", ""pt-br"")"),"É um bom produto, faz o que diz, mas a única coisa é que ele não tem uma grande velocidade se você colocar uma bateria de células dura, então só mostrará a velocidade e a segunda coisa é o frother que meu amigo recebeu de insta cuppa é Outro e o que eu re"&amp;"cebi é outro, ela tem uma coisa ou um botão onde você não precisa continuar pressionando o botão para espuma, mas no meu produto eu tenho considero que tenho que pressionar o botão para uma ferramenta indispensável e espumosa para os amantes do café - esp"&amp;"ecificamente para fazer um café com leite de degustação profissional, cappuccino ou café expresso. Produz espuma de leite espumoso e cremoso macio em um instante (altamente recomendado para usar leite de sorvete para obter melhores resultados). É útil, fá"&amp;"cil de usar, leve, fácil de limpar com um suporte conveniente para estacioná -lo quando não estiver em uso. Nenhum incômodo de fios ou carregamento. Basta inserir duas baterias AA e você estará pronto - melhores resultados com a embalagem Duracell.Tratati"&amp;"ve e segura. Entrega expressa. Muito satisfeito!, A experiência em primeira mão com este produto é muito boa. Ele faz a tarefa com facilidade. Usará este produto mais de 1 mês, então editará esta revisão. Mas, por enquanto, o produto é simplesmente incrív"&amp;"el nessa faixa de preço., Ele estava funcionando bem e de repente depois de quatro meses parou de funcionar. No começo, pensei que precisava de baterias novas, mas mesmo com baterias novas, não está funcionando apenas em 4 meses, eu nem o usei completamen"&amp;"te por 30 dias nos 4 meses que o tive., Ótimo produto e fácil de usar, esperando Não enfrentarei nenhum problema, como mencionado em alguns comentários., Fácil de usar, a qualidade e a velocidade do produto são simplesmente incríveis ... eu pensei que era"&amp;" caro, mas vale a pena o dinheiro ..... vá cegamente com isso. . Obrigado muito, o produto é bom até agora eu o usei 3-4 vezes, mas ainda assim usar mais e, se algo der errado, tem que verificar o atendimento ao cliente. Revisão detalhada dará após 3 mese"&amp;"s de uso")</f>
        <v>É um bom produto, faz o que diz, mas a única coisa é que ele não tem uma grande velocidade se você colocar uma bateria de células dura, então só mostrará a velocidade e a segunda coisa é o frother que meu amigo recebeu de insta cuppa é Outro e o que eu recebi é outro, ela tem uma coisa ou um botão onde você não precisa continuar pressionando o botão para espuma, mas no meu produto eu tenho considero que tenho que pressionar o botão para uma ferramenta indispensável e espumosa para os amantes do café - especificamente para fazer um café com leite de degustação profissional, cappuccino ou café expresso. Produz espuma de leite espumoso e cremoso macio em um instante (altamente recomendado para usar leite de sorvete para obter melhores resultados). É útil, fácil de usar, leve, fácil de limpar com um suporte conveniente para estacioná -lo quando não estiver em uso. Nenhum incômodo de fios ou carregamento. Basta inserir duas baterias AA e você estará pronto - melhores resultados com a embalagem Duracell.Tratative e segura. Entrega expressa. Muito satisfeito!, A experiência em primeira mão com este produto é muito boa. Ele faz a tarefa com facilidade. Usará este produto mais de 1 mês, então editará esta revisão. Mas, por enquanto, o produto é simplesmente incrível nessa faixa de preço., Ele estava funcionando bem e de repente depois de quatro meses parou de funcionar. No começo, pensei que precisava de baterias novas, mas mesmo com baterias novas, não está funcionando apenas em 4 meses, eu nem o usei completamente por 30 dias nos 4 meses que o tive., Ótimo produto e fácil de usar, esperando Não enfrentarei nenhum problema, como mencionado em alguns comentários., Fácil de usar, a qualidade e a velocidade do produto são simplesmente incríveis ... eu pensei que era caro, mas vale a pena o dinheiro ..... vá cegamente com isso. . Obrigado muito, o produto é bom até agora eu o usei 3-4 vezes, mas ainda assim usar mais e, se algo der errado, tem que verificar o atendimento ao cliente. Revisão detalhada dará após 3 meses de uso</v>
      </c>
    </row>
    <row r="1332">
      <c r="A1332" s="9" t="s">
        <v>5402</v>
      </c>
      <c r="B1332" s="29" t="str">
        <f>VLOOKUP(dados!A1332, reviews!A:G, 5, FALSE)</f>
        <v>Useful Product,Good product,Good,Most cutest color travel iron,Good quality product.,Great quality garment steamer,Superb,Superb supportive good for garment!</v>
      </c>
      <c r="C1332" s="29" t="str">
        <f>VLOOKUP(dados!A1332, reviews!A:G, 6, FALSE)</f>
        <v>The product does it’s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v>
      </c>
      <c r="D1332" s="29" t="str">
        <f>IFERROR(__xludf.DUMMYFUNCTION("GOOGLETRANSLATE(B1332, ""en"", ""pt-br"")"),"Produto útil, bom produto, bom, mais fofo de viagens coloridas, produto de boa qualidade., Vapor de roupas de ótima qualidade, excelente, excelente apoio, bom para a roupa!")</f>
        <v>Produto útil, bom produto, bom, mais fofo de viagens coloridas, produto de boa qualidade., Vapor de roupas de ótima qualidade, excelente, excelente apoio, bom para a roupa!</v>
      </c>
      <c r="E1332" s="29" t="str">
        <f>IFERROR(__xludf.DUMMYFUNCTION("GOOGLETRANSLATE(C1332, ""en"", ""pt-br"")"),"O produto faz o seu trabalho muito bem. Parece um pouco pesado., É fácil de usar e sem rugas e feliz por usar a primeira vez. Obrigado Amazon., Bom produto, antes de tudo, eu realmente gosto da cor deste ferro. Isso é tão fofo para segurá -lo e usá -lo. F"&amp;"iquei um pouco preocupado com o desempenho, mas tentei isso diariamente por 5 dias até agora e os panos são realmente arrumados e sem rugas. Eu sinto que isso é um pouco volumoso em comparação com o ferro que usei dos meus amigos no passado, mas, caso con"&amp;"trário, este é um bom ferro de viagem. Agora, não preciso me preocupar em passar muitos panos antes de viajar para algum lugar., O ajuste do vapor de 2 níveis permite um melhor controle para obter resultados ideais e reabastecer fácil de 1,8 ltr tanque de"&amp;" água adequado para sessões longas de vapor e poderoso elemento de aquecimento de alumínio de 2000watt. Para aquecimento rápido e de design duplo anti-secagem para proteção abrangente sobre calor e danos, estou realmente satisfeito com o produto., Este va"&amp;"pores funciona como mágica. Acabei de usar cabide para panos e o usei. Muito útil para passar a roupa rápida. Faça lentamente. Em paredes, o fundo ajuda. Não coloque as mãos em lados opostos das roupas, sua temperatura é alta., Os resultados são evidentes"&amp;". Todas as suas roupas volumosas podem ser passadas facilmente com isso. Uma pequena quantidade de água é suficiente para passar um blazer ou até mesmo um lehenga. Os esforços se tornaram mínimos. É um tratamento moderno para ter isso em sua casa. O preço"&amp;" quando comparado aos outros é mantido no mínimo. A garantia é praticamente útil seis meses extras, eu a usei pela primeira vez na minha vida. E, uau, funcionou como qualquer ferro normal! É útil, portátil e rápido o suficiente para fazer as roupas sem ru"&amp;"gas.")</f>
        <v>O produto faz o seu trabalho muito bem. Parece um pouco pesado., É fácil de usar e sem rugas e feliz por usar a primeira vez. Obrigado Amazon., Bom produto, antes de tudo, eu realmente gosto da cor deste ferro. Isso é tão fofo para segurá -lo e usá -lo. Fiquei um pouco preocupado com o desempenho, mas tentei isso diariamente por 5 dias até agora e os panos são realmente arrumados e sem rugas. Eu sinto que isso é um pouco volumoso em comparação com o ferro que usei dos meus amigos no passado, mas, caso contrário, este é um bom ferro de viagem. Agora, não preciso me preocupar em passar muitos panos antes de viajar para algum lugar., O ajuste do vapor de 2 níveis permite um melhor controle para obter resultados ideais e reabastecer fácil de 1,8 ltr tanque de água adequado para sessões longas de vapor e poderoso elemento de aquecimento de alumínio de 2000watt. Para aquecimento rápido e de design duplo anti-secagem para proteção abrangente sobre calor e danos, estou realmente satisfeito com o produto., Este vapores funciona como mágica. Acabei de usar cabide para panos e o usei. Muito útil para passar a roupa rápida. Faça lentamente. Em paredes, o fundo ajuda. Não coloque as mãos em lados opostos das roupas, sua temperatura é alta., Os resultados são evidentes. Todas as suas roupas volumosas podem ser passadas facilmente com isso. Uma pequena quantidade de água é suficiente para passar um blazer ou até mesmo um lehenga. Os esforços se tornaram mínimos. É um tratamento moderno para ter isso em sua casa. O preço quando comparado aos outros é mantido no mínimo. A garantia é praticamente útil seis meses extras, eu a usei pela primeira vez na minha vida. E, uau, funcionou como qualquer ferro normal! É útil, portátil e rápido o suficiente para fazer as roupas sem rugas.</v>
      </c>
    </row>
    <row r="1333">
      <c r="A1333" s="9" t="s">
        <v>5406</v>
      </c>
      <c r="B1333" s="29" t="str">
        <f>VLOOKUP(dados!A1333, reviews!A:G, 5, FALSE)</f>
        <v>Ok product 900/ma bast product  A little family product Not resturant not hotel,Heard to relief but nice 👌,Value for money,Discount is good,Good product for non continuous work,Good product,भाई कभी मत लेना नहीं तो पछतायो गे 6 महीना ईयूज किया हू और ये लोग वारंटी भी नहीं देते हैं,Best product</v>
      </c>
      <c r="C1333" s="29" t="str">
        <f>VLOOKUP(dados!A1333, reviews!A:G, 6, FALSE)</f>
        <v>Ok product 900/ma bast product A little family productNot resturant not hotel,No,Nice product,Good product,For Dry grinding of spices, motor heats up,👍,भाई कभी मत लेना नहीं तो पछतायो गे 6 महीना ईयूज किया हू और ये लोग वारंटी भी नहीं देते हैं कभी को कस्टमर नम्बर देगे कोई सुनता ही नहीं है बोलेंगे कंप्लेन दर्ज हो गया है और कोई सुनवाई नहीं हुई,https://m.media-amazon.com/images/I/71HMDwsW8bL._SY88.jpg</v>
      </c>
      <c r="D1333" s="29" t="str">
        <f>IFERROR(__xludf.DUMMYFUNCTION("GOOGLETRANSLATE(B1333, ""en"", ""pt-br"")"),"Ok Produto 900/Ma Produto Bast Um pequeno produto familiar não restaurador NÃO HOTEL, ouvido em alívio, mas Nice 👌, valor ao dinheiro, desconto é bom, bom produto para trabalho não contínuo, bom produto, भाई कभी लेन लेना नहीं तो पछतायो गे 6 महीना ईयूज कि"&amp;"या हू और ये लोग वारंटी भी नहीं देते हैं, melhor produto")</f>
        <v>Ok Produto 900/Ma Produto Bast Um pequeno produto familiar não restaurador NÃO HOTEL, ouvido em alívio, mas Nice 👌, valor ao dinheiro, desconto é bom, bom produto para trabalho não contínuo, bom produto, भाई कभी लेन लेना नहीं तो पछतायो गे 6 महीना ईयूज किया हू और ये लोग वारंटी भी नहीं देते हैं, melhor produto</v>
      </c>
      <c r="E1333" s="29" t="str">
        <f>IFERROR(__xludf.DUMMYFUNCTION("GOOGLETRANSLATE(C1333, ""en"", ""pt-br"")"),"OK Produto 900/Ma Bast Product Um pouco de produto familiar e não restaurante, não hotel, não, bom produto, bom produto, para moagem a seco de especiarias, motor aquece, 👍, भाई कभी लेन लेना नहीं तो पछतायो गे 6 महीना ईयूज किया हू औntas लोग वारंटी भी देते "&amp;"हैं कभी को कस्टमर नम्बर देगे सुनत सुनता ही नहीं है कंप कंप्लेन दर्ज गय गया है औऔ औ सुनव सुनव सुनवसुनव सुनव कंप द द द गय गय औ औ औ औ औ औ औ औ औ औ औ औ औ औ औ औ औ औ औ औ औ औ औ औ औ औ औ औ औ औ औ औ औ औ औ औ औ औ औ औ औ औ औ औ औ औ औ औ औ औ औ औ औ औ औ औ औ).")</f>
        <v>OK Produto 900/Ma Bast Product Um pouco de produto familiar e não restaurante, não hotel, não, bom produto, bom produto, para moagem a seco de especiarias, motor aquece, 👍, भाई कभी लेन लेना नहीं तो पछतायो गे 6 महीना ईयूज किया हू औntas लोग वारंटी भी देते हैं कभी को कस्टमर नम्बर देगे सुनत सुनता ही नहीं है कंप कंप्लेन दर्ज गय गया है औऔ औ सुनव सुनव सुनवसुनव सुनव कंप द द द गय गय औ औ औ औ औ औ औ औ औ औ औ औ औ औ औ औ औ औ औ औ औ औ औ औ औ औ औ औ औ औ औ औ औ औ औ औ औ औ औ औ औ औ औ औ औ औ औ औ औ औ औ औ औ औ औ औ औ).</v>
      </c>
    </row>
    <row r="1334">
      <c r="A1334" s="9" t="s">
        <v>5410</v>
      </c>
      <c r="B1334" s="29" t="str">
        <f>VLOOKUP(dados!A1334, reviews!A:G, 5, FALSE)</f>
        <v>In this price worth to go for,First Impression: Looks elegant and sturdy with classy design.,Quality product,Good,Best purchase,Value for money. Easy to use.,It splashes everywhere and not much power,best of price in Amazon basic. hand blender in other company blenders</v>
      </c>
      <c r="C1334" s="29" t="str">
        <f>VLOOKUP(dados!A1334, reviews!A:G, 6, FALSE)</f>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v>
      </c>
      <c r="D1334" s="29" t="str">
        <f>IFERROR(__xludf.DUMMYFUNCTION("GOOGLETRANSLATE(B1334, ""en"", ""pt-br"")"),"Nesse preço, vale a pena, a primeira impressão: parece elegante e resistente com design elegante., Produto de qualidade, bom, melhor compra, valor ao dinheiro. Fácil de usar., Ele espirra em todos os lugares e não muito poder, o melhor preço da Amazon Bas"&amp;"ic. liquidificador de mão em outros liquidificadores da empresa")</f>
        <v>Nesse preço, vale a pena, a primeira impressão: parece elegante e resistente com design elegante., Produto de qualidade, bom, melhor compra, valor ao dinheiro. Fácil de usar., Ele espirra em todos os lugares e não muito poder, o melhor preço da Amazon Basic. liquidificador de mão em outros liquidificadores da empresa</v>
      </c>
      <c r="E1334" s="29" t="str">
        <f>IFERROR(__xludf.DUMMYFUNCTION("GOOGLETRANSLATE(C1334, ""en"", ""pt-br"")"),"Nesse preço, vale a pena usar, ainda para usá -lo, mas parece bastante elegante e resistente. O design é agradável e a base é destacável para facilitar a limpeza., Produto agradável, forte e acabamento, fácil de usar e limpar, assim, bom, a qualidade do p"&amp;"roduto é boa e é muito fácil de usar. Valor pelo dinheiro., Use -o todos os dias para que os legumes cozidos faça sopa. Fácil de lavar e armazenar. Parece ser confiável., Splashes e pouca energia, este liquidificador de mão Amazon Basic Hand tão fácil de "&amp;"usar e limpar o melhor de outros produtos do Compani Blenders, tão fácil de limpar facilmente o melhor preço no Amazon Basic.🥰")</f>
        <v>Nesse preço, vale a pena usar, ainda para usá -lo, mas parece bastante elegante e resistente. O design é agradável e a base é destacável para facilitar a limpeza., Produto agradável, forte e acabamento, fácil de usar e limpar, assim, bom, a qualidade do produto é boa e é muito fácil de usar. Valor pelo dinheiro., Use -o todos os dias para que os legumes cozidos faça sopa. Fácil de lavar e armazenar. Parece ser confiável., Splashes e pouca energia, este liquidificador de mão Amazon Basic Hand tão fácil de usar e limpar o melhor de outros produtos do Compani Blenders, tão fácil de limpar facilmente o melhor preço no Amazon Basic.🥰</v>
      </c>
    </row>
    <row r="1335">
      <c r="A1335" s="9" t="s">
        <v>5414</v>
      </c>
      <c r="B1335" s="29" t="str">
        <f>VLOOKUP(dados!A1335, reviews!A:G, 5, FALSE)</f>
        <v>Better than I expected!,Good,Good product,Great durability and original products,Very Nice !,Good product,Good,Good product</v>
      </c>
      <c r="C1335" s="29" t="str">
        <f>VLOOKUP(dados!A1335, reviews!A:G, 6, FALSE)</f>
        <v>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v>
      </c>
      <c r="D1335" s="29" t="str">
        <f>IFERROR(__xludf.DUMMYFUNCTION("GOOGLETRANSLATE(B1335, ""en"", ""pt-br"")"),"Melhor do que eu esperava!, Bom, bom produto, ótima durabilidade e produtos originais, muito bom!, Bom produto, bom, bom produto")</f>
        <v>Melhor do que eu esperava!, Bom, bom produto, ótima durabilidade e produtos originais, muito bom!, Bom produto, bom, bom produto</v>
      </c>
      <c r="E1335" s="29" t="str">
        <f>IFERROR(__xludf.DUMMYFUNCTION("GOOGLETRANSLATE(C1335, ""en"", ""pt-br"")"),"Prós: 1) Olhando para a foto, pensei que seria apenas o liquidificador com um pouco de boné para cobrir a lâmina. Acontece que o ""boné"" era na verdade um recipiente muito bom para misturar pequenas quantidades de qualquer coisa. O contêiner em si parece"&amp;" de grande qualidade, tem medições ao lado e também vem com uma tampa para que nada respinja lá fora quando você está usando o liquidificador.2) Há também um suporte com algumas unhas se você quiser montar o liquidificador no uma parede.3) O liquidificado"&amp;"r em si é incrível de segurar, parece ótimo e é muito fácil de usar.4) O liquidificador pode até ficar sozinho se você precisar deixá -lo e atender a outra coisa. Se você o coloca verticalmente, pode deixá -lo como está.CONS: 1) Após mais de 15 segundos d"&amp;"e mistura contínua (ou seja, se eu não estou apenas pulsando, mas continuamente misturando), há esse cheiro de algum tipo que começa a vir do liquidificador. Não tenho certeza se isso é um sinal de superaquecimento, ou se é normal.2) Há esse ritmo logo ac"&amp;"ima da lâmina, e toda vez que terminar de lavar, sempre há um pouco de resíduo que estava escondido naquele sulco que sempre vem Alguns segundos depois de lavar a lavagem, e sempre tenho que voltar para limpar isso. Então isso é um pequeno inconveniente. "&amp;"Mas é ótimo, e eu recomendo obter este produto!, Bom, facilitando a vida., Ótima durabilidade e produtos originais, produto muito bom para uso pequeno ou moderado., Bom produto, muito Produto bom e muito útil no trabalho diário")</f>
        <v>Prós: 1) Olhando para a foto, pensei que seria apenas o liquidificador com um pouco de boné para cobrir a lâmina. Acontece que o "boné" era na verdade um recipiente muito bom para misturar pequenas quantidades de qualquer coisa. O contêiner em si parece de grande qualidade, tem medições ao lado e também vem com uma tampa para que nada respinja lá fora quando você está usando o liquidificador.2) Há também um suporte com algumas unhas se você quiser montar o liquidificador no uma parede.3) O liquidificador em si é incrível de segurar, parece ótimo e é muito fácil de usar.4) O liquidificador pode até ficar sozinho se você precisar deixá -lo e atender a outra coisa. Se você o coloca verticalmente, pode deixá -lo como está.CONS: 1) Após mais de 15 segundos de mistura contínua (ou seja, se eu não estou apenas pulsando, mas continuamente misturando), há esse cheiro de algum tipo que começa a vir do liquidificador. Não tenho certeza se isso é um sinal de superaquecimento, ou se é normal.2) Há esse ritmo logo acima da lâmina, e toda vez que terminar de lavar, sempre há um pouco de resíduo que estava escondido naquele sulco que sempre vem Alguns segundos depois de lavar a lavagem, e sempre tenho que voltar para limpar isso. Então isso é um pequeno inconveniente. Mas é ótimo, e eu recomendo obter este produto!, Bom, facilitando a vida., Ótima durabilidade e produtos originais, produto muito bom para uso pequeno ou moderado., Bom produto, muito Produto bom e muito útil no trabalho diário</v>
      </c>
    </row>
    <row r="1336">
      <c r="A1336" s="9" t="s">
        <v>5418</v>
      </c>
      <c r="B1336" s="29" t="str">
        <f>VLOOKUP(dados!A1336, reviews!A:G, 5, FALSE)</f>
        <v>👍 nice,Lint removed instantly and effortlessly,Amazing product...worth the money,Best purchase till date,Good,Works as expected,Good quality,Must have product for Winter clothes</v>
      </c>
      <c r="C1336" s="29" t="str">
        <f>VLOOKUP(dados!A1336, reviews!A:G, 6, FALSE)</f>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v>
      </c>
      <c r="D1336" s="29" t="str">
        <f>IFERROR(__xludf.DUMMYFUNCTION("GOOGLETRANSLATE(B1336, ""en"", ""pt-br"")"),"👍 Nice, fiapo removido instantaneamente e sem esforço, produto incrível ... vale o dinheiro, a melhor compra até a data, boa, funciona como esperado, boa qualidade, deve ter produto para roupas de inverno")</f>
        <v>👍 Nice, fiapo removido instantaneamente e sem esforço, produto incrível ... vale o dinheiro, a melhor compra até a data, boa, funciona como esperado, boa qualidade, deve ter produto para roupas de inverno</v>
      </c>
      <c r="E1336" s="29" t="str">
        <f>IFERROR(__xludf.DUMMYFUNCTION("GOOGLETRANSLATE(C1336, ""en"", ""pt-br"")"),"Tipo, adorei muito o produto. Depois de limpar o fiapo, as roupas pareciam boas como novas., Esse removedor de cotonete é bom demais ... muito fácil de usar e fácil de limpar ... ele remove o fiapo completamente e dá uma nova aparência às roupas., Absolut"&amp;"amente Ame o produto, muito útil. Sem truques, eu gosto quando o produto faz o que diz. O pincel na parte de trás é apenas cereja, altamente recomendado. Bênção para roupas de inverno, funciona em qualquer tipo de pano que tenha fiapos/fuzz, super, funcio"&amp;"na bem como projetado. O cabo livre permite flexibilidade. Mas, o coletor de fins é um pouco pequeno que requer esvaziamento frequente. Além disso, o coletor poderia ter sido transparente para permitir uma visão fácil. No entanto, esse é um bom auxílio pa"&amp;"ra o uso diário., Https:/ /m.media-amazon.com/images/w/webp_402378-t1/images/i/810x1mmf+9l._sy88.jpg,it é realmente um produto muito bom e fácil de usar e limpar. Eu o usei em minhas roupas de inverno antigas com fiapos e as usei com confiança, pois realm"&amp;"ente melhorava o visual que até meus parentes o usavam quando me visitavam e fiquei feliz em usá -lo .. também. Comprei -o em 1199 em 21 de dezembro. Agora, em 899, é um preço muito bom. Ele veio com um cabo de carregamento e uma escova de limpeza.")</f>
        <v>Tipo, adorei muito o produto. Depois de limpar o fiapo, as roupas pareciam boas como novas., Esse removedor de cotonete é bom demais ... muito fácil de usar e fácil de limpar ... ele remove o fiapo completamente e dá uma nova aparência às roupas., Absolutamente Ame o produto, muito útil. Sem truques, eu gosto quando o produto faz o que diz. O pincel na parte de trás é apenas cereja, altamente recomendado. Bênção para roupas de inverno, funciona em qualquer tipo de pano que tenha fiapos/fuzz, super, funciona bem como projetado. O cabo livre permite flexibilidade. Mas, o coletor de fins é um pouco pequeno que requer esvaziamento frequente. Além disso, o coletor poderia ter sido transparente para permitir uma visão fácil. No entanto, esse é um bom auxílio para o uso diário., Https:/ /m.media-amazon.com/images/w/webp_402378-t1/images/i/810x1mmf+9l._sy88.jpg,it é realmente um produto muito bom e fácil de usar e limpar. Eu o usei em minhas roupas de inverno antigas com fiapos e as usei com confiança, pois realmente melhorava o visual que até meus parentes o usavam quando me visitavam e fiquei feliz em usá -lo .. também. Comprei -o em 1199 em 21 de dezembro. Agora, em 899, é um preço muito bom. Ele veio com um cabo de carregamento e uma escova de limpeza.</v>
      </c>
    </row>
    <row r="1337">
      <c r="A1337" s="9" t="s">
        <v>5422</v>
      </c>
      <c r="B1337" s="29" t="str">
        <f>VLOOKUP(dados!A1337, reviews!A:G, 5, FALSE)</f>
        <v>Very easy to use curd maker,Excited to try it,Good product to settle hassle free yogurt,Checking now,Good Product at this Price,Good product,Good,Best yogurt maker at this price range</v>
      </c>
      <c r="C1337" s="29" t="str">
        <f>VLOOKUP(dados!A1337, reviews!A:G, 6, FALSE)</f>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v>
      </c>
      <c r="D1337" s="29" t="str">
        <f>IFERROR(__xludf.DUMMYFUNCTION("GOOGLETRANSLATE(B1337, ""en"", ""pt-br"")"),"Muito fácil de usar fabricante de coalhada, animado para experimentá -lo, bom produto para resolver iogurte livre de complosas, verificando agora, bom produto a esse preço, bom produto, bom e melhor fabricante de iogurte nessa faixa de preço")</f>
        <v>Muito fácil de usar fabricante de coalhada, animado para experimentá -lo, bom produto para resolver iogurte livre de complosas, verificando agora, bom produto a esse preço, bom produto, bom e melhor fabricante de iogurte nessa faixa de preço</v>
      </c>
      <c r="E1337" s="29" t="str">
        <f>IFERROR(__xludf.DUMMYFUNCTION("GOOGLETRANSLATE(C1337, ""en"", ""pt-br"")"),"É muito útil no inverno, quando fica frio e a coalhada não se forma corretamente. Mantém o processo de fermentação de temperatura fixa. Eu dei a uma estrela a menos porque não possui alças, portanto, segurar o aparelho pode ser complicado, pois possui ess"&amp;"a superfície lisa para que possa escapar das mãos. Você precisa ter muito cuidado ao segurar e manusear esse fabricante de coalhada, se eles fornecerem alças laterais e recurso de corte automático, então seria o melhor. O pacote chegou em boas condições. "&amp;"Agora preciso entrar em contato com a empresa para garantir a garantia, um bom produto para resolver o iogurte livre de complosas. A única coisa é que ele deve cortar automaticamente a energia quando o iogurte estiver pronto. Caso contrário, o iogurte tem"&amp;" um gosto incrível., Recebi o produto, parece bom ... verificando agora, estou escrevendo esta resenha depois de usar o produto por três semanas. Eu escolhi isso como a marca 'Agaro' parece ser mais confiável e tem 1,5 anos de garantia (1 ano +6 meses a m"&amp;"ais após o registro) coisas boas - funciona como esperado. Para meu gosto e condições climáticas locais, leva quase 6 horas. Isso varia de acordo com o sabor individual e as condições climáticas locais. Muito leve peso. A limpeza é fácil e não há problema"&amp;", mesmo que haja um pouco de derramamento. Não é tão boa - a quantidade não é de 1,2 litros, são poucos ml mais de 1 litro. As capas plásticas são delicadas e há chance de serem danificadas enquanto limpeza. Na minha opinião, o fabricante deve ter um conj"&amp;"unto opcional de cobertura. Considerando o custo, a qualidade de construção é suficiente (como é feita na China), o comprimento do fio é de 94 cm e geralmente requer uma extensão, bom produto, bom produto, ele é Simplesmente incrível. Essa frase é suficie"&amp;"nte para comentar essa coisa única. Nunca jamais imaginei fazer iogurte em tempo rápido e mesmo no inverno sem nenhum compromisso de gosto.")</f>
        <v>É muito útil no inverno, quando fica frio e a coalhada não se forma corretamente. Mantém o processo de fermentação de temperatura fixa. Eu dei a uma estrela a menos porque não possui alças, portanto, segurar o aparelho pode ser complicado, pois possui essa superfície lisa para que possa escapar das mãos. Você precisa ter muito cuidado ao segurar e manusear esse fabricante de coalhada, se eles fornecerem alças laterais e recurso de corte automático, então seria o melhor. O pacote chegou em boas condições. Agora preciso entrar em contato com a empresa para garantir a garantia, um bom produto para resolver o iogurte livre de complosas. A única coisa é que ele deve cortar automaticamente a energia quando o iogurte estiver pronto. Caso contrário, o iogurte tem um gosto incrível., Recebi o produto, parece bom ... verificando agora, estou escrevendo esta resenha depois de usar o produto por três semanas. Eu escolhi isso como a marca 'Agaro' parece ser mais confiável e tem 1,5 anos de garantia (1 ano +6 meses a mais após o registro) coisas boas - funciona como esperado. Para meu gosto e condições climáticas locais, leva quase 6 horas. Isso varia de acordo com o sabor individual e as condições climáticas locais. Muito leve peso. A limpeza é fácil e não há problema, mesmo que haja um pouco de derramamento. Não é tão boa - a quantidade não é de 1,2 litros, são poucos ml mais de 1 litro. As capas plásticas são delicadas e há chance de serem danificadas enquanto limpeza. Na minha opinião, o fabricante deve ter um conjunto opcional de cobertura. Considerando o custo, a qualidade de construção é suficiente (como é feita na China), o comprimento do fio é de 94 cm e geralmente requer uma extensão, bom produto, bom produto, ele é Simplesmente incrível. Essa frase é suficiente para comentar essa coisa única. Nunca jamais imaginei fazer iogurte em tempo rápido e mesmo no inverno sem nenhum compromisso de gosto.</v>
      </c>
    </row>
    <row r="1338">
      <c r="A1338" s="9" t="s">
        <v>5428</v>
      </c>
      <c r="B1338" s="29" t="str">
        <f>VLOOKUP(dados!A1338, reviews!A:G, 5, FALSE)</f>
        <v>Overall Nice Product,Must buy product,Product is good to use.,Tasty and Healthy juice,Good,Good product,material,Just got it</v>
      </c>
      <c r="C1338" s="29" t="str">
        <f>VLOOKUP(dados!A1338, reviews!A:G, 6, FALSE)</f>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v>
      </c>
      <c r="D1338" s="29" t="str">
        <f>IFERROR(__xludf.DUMMYFUNCTION("GOOGLETRANSLATE(B1338, ""en"", ""pt-br"")"),"No geral, bom produto, deve comprar produto, é bom usar o produto.")</f>
        <v>No geral, bom produto, deve comprar produto, é bom usar o produto.</v>
      </c>
      <c r="E1338" s="29" t="str">
        <f>IFERROR(__xludf.DUMMYFUNCTION("GOOGLETRANSLATE(C1338, ""en"", ""pt-br"")"),"É um bom produto, faz o necessário. Foi fácil de montar e sua tecnologia está realmente recebendo o suco das frutas ou vegetais corretamente e há muito menos desperdício., Fácil de fazer qualquer tipo de suco, apenas adore., O produto é bom, o suco desse "&amp;"espremedor é assim saboroso e natural, bom produto, bom produto, bom produto, suco muito fácil, de boa qualidade, https: //m.media-amazon.com/images/w/webp_402378-t1/images/i/61mgjonwntl._sy88.jpg")</f>
        <v>É um bom produto, faz o necessário. Foi fácil de montar e sua tecnologia está realmente recebendo o suco das frutas ou vegetais corretamente e há muito menos desperdício., Fácil de fazer qualquer tipo de suco, apenas adore., O produto é bom, o suco desse espremedor é assim saboroso e natural, bom produto, bom produto, bom produto, suco muito fácil, de boa qualidade, https: //m.media-amazon.com/images/w/webp_402378-t1/images/i/61mgjonwntl._sy88.jpg</v>
      </c>
    </row>
    <row r="1339">
      <c r="A1339" s="9" t="s">
        <v>5434</v>
      </c>
      <c r="B1339" s="29" t="str">
        <f>VLOOKUP(dados!A1339, reviews!A:G, 5, FALSE)</f>
        <v>it s very nice and easy to use,Good quality...go and purchase,Good,Good quality,Good product 👍,Good,Value for money @600₹,Good</v>
      </c>
      <c r="C1339" s="29" t="str">
        <f>VLOOKUP(dados!A1339, reviews!A:G, 6, FALSE)</f>
        <v>its light weight easy to use but is not worth for the value,Very good product,Good,Very good quality,Easy to to use,,Good and very happy with this product,Value for money @600₹,Easy to use</v>
      </c>
      <c r="D1339" s="29" t="str">
        <f>IFERROR(__xludf.DUMMYFUNCTION("GOOGLETRANSLATE(B1339, ""en"", ""pt-br"")"),"É muito agradável e fácil de usar, de boa qualidade ... vá e compra, boa, boa qualidade, bom produto 👍, bom, valor pelo dinheiro @600 ₹, bom")</f>
        <v>É muito agradável e fácil de usar, de boa qualidade ... vá e compra, boa, boa qualidade, bom produto 👍, bom, valor pelo dinheiro @600 ₹, bom</v>
      </c>
      <c r="E1339" s="29" t="str">
        <f>IFERROR(__xludf.DUMMYFUNCTION("GOOGLETRANSLATE(C1339, ""en"", ""pt-br"")"),"Seu peso leve fácil de usar, mas não vale para o valor, um produto muito bom, boa, muito boa qualidade, fácil de usar ,, bom e muito feliz com este produto, valor por dinheiro a 600 ₹, fácil de usar")</f>
        <v>Seu peso leve fácil de usar, mas não vale para o valor, um produto muito bom, boa, muito boa qualidade, fácil de usar ,, bom e muito feliz com este produto, valor por dinheiro a 600 ₹, fácil de usar</v>
      </c>
    </row>
    <row r="1340">
      <c r="A1340" s="9" t="s">
        <v>5438</v>
      </c>
      <c r="B1340" s="29" t="str">
        <f>VLOOKUP(dados!A1340, reviews!A:G, 5, FALSE)</f>
        <v>Good suction power, enough for most cleaning,Worth for the price given,Okayish,Budget vacuum cleaner.,Very nice product worth it 😄,Best vacuum cleaner,It's a really good worthy product,Simply superb</v>
      </c>
      <c r="C1340" s="29" t="str">
        <f>VLOOKUP(dados!A1340, reviews!A:G, 6, FALSE)</f>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v>
      </c>
      <c r="D1340" s="29" t="str">
        <f>IFERROR(__xludf.DUMMYFUNCTION("GOOGLETRANSLATE(B1340, ""en"", ""pt-br"")"),"Bom potência de sucção, o suficiente para a maioria da limpeza, que vale a pena o preço dado, okyish e orçamento de pó de pó., Produto muito bom que vale a pena 😄, melhor pó de vácuo, é um produto realmente bom, simplesmente excelente")</f>
        <v>Bom potência de sucção, o suficiente para a maioria da limpeza, que vale a pena o preço dado, okyish e orçamento de pó de pó., Produto muito bom que vale a pena 😄, melhor pó de vácuo, é um produto realmente bom, simplesmente excelente</v>
      </c>
      <c r="E1340" s="29" t="str">
        <f>IFERROR(__xludf.DUMMYFUNCTION("GOOGLETRANSLATE(C1340, ""en"", ""pt-br"")"),"Poder de sucção mencionado nenhum lugar em especificações ou embalagens do produto. Mas, surpreendentemente, está tendo uma boa sucção a maior parte da limpeza sem esforço. Mas resolvi o problema esvaziando o cilindro de poeira e os filtros de limpeza. É "&amp;"um pouco complicado remover o próprio cilindro para limpar, faça isso cuidadosamente, você vai quebrar fechaduras de plástico. é difícil trabalhar devido ao peso. Minha experiência pessoal) que eu tive foi o cabo de extensão fornecido é feito de aço e é u"&amp;"m pouco pesado e não podemos segurá -lo por muito tempo enquanto limpar as teias de aranha em telhados, descanse tudo de bom, o poder de sucção é bom. É um bom produto, valor para dinheiro, mas pode se sair muito melhor com um bom poder de sucção. Ele não"&amp;" remove a maior parte do pó, é necessário muito esforço, é uma boa opção se você estiver procurando por um aspirador de limpeza abaixo de 5k. Vale a pena o preço., Bom produto que vale o dinheiro, o poder de sucção é bom, o comprimento do cordão suficient"&amp;"e para fins de casa, o nível de ruído também está baixo agora, por favor, vá em frente. Possui excelente poder de sucção fácil de transportar e tem opções diferentes para limpar as coisas. Bom produto para esse preço, muito útil e comparativamente muito b"&amp;"om quando comparado com limpadores de vácios caros em 8k. O copo de poeira é simplesmente incrível ... apenas a desvantagem está não soprando ......")</f>
        <v>Poder de sucção mencionado nenhum lugar em especificações ou embalagens do produto. Mas, surpreendentemente, está tendo uma boa sucção a maior parte da limpeza sem esforço. Mas resolvi o problema esvaziando o cilindro de poeira e os filtros de limpeza. É um pouco complicado remover o próprio cilindro para limpar, faça isso cuidadosamente, você vai quebrar fechaduras de plástico. é difícil trabalhar devido ao peso. Minha experiência pessoal) que eu tive foi o cabo de extensão fornecido é feito de aço e é um pouco pesado e não podemos segurá -lo por muito tempo enquanto limpar as teias de aranha em telhados, descanse tudo de bom, o poder de sucção é bom. É um bom produto, valor para dinheiro, mas pode se sair muito melhor com um bom poder de sucção. Ele não remove a maior parte do pó, é necessário muito esforço, é uma boa opção se você estiver procurando por um aspirador de limpeza abaixo de 5k. Vale a pena o preço., Bom produto que vale o dinheiro, o poder de sucção é bom, o comprimento do cordão suficiente para fins de casa, o nível de ruído também está baixo agora, por favor, vá em frente. Possui excelente poder de sucção fácil de transportar e tem opções diferentes para limpar as coisas. Bom produto para esse preço, muito útil e comparativamente muito bom quando comparado com limpadores de vácios caros em 8k. O copo de poeira é simplesmente incrível ... apenas a desvantagem está não soprando ......</v>
      </c>
    </row>
    <row r="1341">
      <c r="A1341" s="9" t="s">
        <v>5442</v>
      </c>
      <c r="B1341" s="29" t="str">
        <f>VLOOKUP(dados!A1341, reviews!A:G, 5, FALSE)</f>
        <v>Nice product,Product not Quality donot buy,Wonderful product,Power Indicator is Missing,Excellent product,Value for money product,rod water heater,पानी गर्म होने में 15 मिनट से ज्यादा टाइम लेता हैं</v>
      </c>
      <c r="C1341" s="29" t="str">
        <f>VLOOKUP(dados!A1341, reviews!A:G, 6, FALSE)</f>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perfect,रड की लंबाई के अनुसार पानी ज्यादा डालना पड़ता है इस कारण गर्म पानी होने में टाइम लगता हैं</v>
      </c>
      <c r="D1341" s="29" t="str">
        <f>IFERROR(__xludf.DUMMYFUNCTION("GOOGLETRANSLATE(B1341, ""en"", ""pt-br"")"),"Produto agradável, produto, não de qualidade, não compra, produto maravilhoso, indicador de energia está ausente, excelente produto, valor para o produto, aquecedor de água da haste, पानी गर्म होने में 15 मिनट ज ज्यादा टाइम लेता हैं")</f>
        <v>Produto agradável, produto, não de qualidade, não compra, produto maravilhoso, indicador de energia está ausente, excelente produto, valor para o produto, aquecedor de água da haste, पानी गर्म होने में 15 मिनट ज ज्यादा टाइम लेता हैं</v>
      </c>
      <c r="E1341" s="29" t="str">
        <f>IFERROR(__xludf.DUMMYFUNCTION("GOOGLETRANSLATE(C1341, ""en"", ""pt-br"")"),"Incrível, estou comprando em julho de 2022. O produto foi reparado. Eu informei para o atendimento ao cliente. Ele atribuiu a Technic. Disse que este produto foi substituído por 10 dias. Mas a questão ainda foi resolvida. Novamente ligue com atendimento a"&amp;"o cliente. Ele disse não sob nosso controle. Nós, mais uma vez, bom, a haste é boa no geral, a única desvantagem que ele tem é a falta de indicador de energia, descanse, parece bem, use isso, vale a pena, a haste de aquecimento aquece a água de 5 litros c"&amp;"om 5 a 10 minutos o produto que vale totalmente Seu valor, excelente e perfeito, marca की लंबाई के अनुसार पानी ज्यादा डालना पड़ता है इस कारण गर्म पानी होने ट टाइम लगता हैं")</f>
        <v>Incrível, estou comprando em julho de 2022. O produto foi reparado. Eu informei para o atendimento ao cliente. Ele atribuiu a Technic. Disse que este produto foi substituído por 10 dias. Mas a questão ainda foi resolvida. Novamente ligue com atendimento ao cliente. Ele disse não sob nosso controle. Nós, mais uma vez, bom, a haste é boa no geral, a única desvantagem que ele tem é a falta de indicador de energia, descanse, parece bem, use isso, vale a pena, a haste de aquecimento aquece a água de 5 litros com 5 a 10 minutos o produto que vale totalmente Seu valor, excelente e perfeito, marca की लंबाई के अनुसार पानी ज्यादा डालना पड़ता है इस कारण गर्म पानी होने ट टाइम लगता हैं</v>
      </c>
    </row>
    <row r="1342">
      <c r="A1342" s="9" t="s">
        <v>5446</v>
      </c>
      <c r="B1342" s="29" t="str">
        <f>VLOOKUP(dados!A1342, reviews!A:G, 5, FALSE)</f>
        <v>Size of heater is small,good product,Power Cord is too short. How and where to use it? Do I spend further on Extension Board???,Not relatable product. No after sell service,Portable and efficient room heater,Useful product,Best Blower for the office use,Good product for room</v>
      </c>
      <c r="C1342" s="29" t="str">
        <f>VLOOKUP(dados!A1342, reviews!A:G, 6, FALSE)</f>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v>
      </c>
      <c r="D1342" s="29" t="str">
        <f>IFERROR(__xludf.DUMMYFUNCTION("GOOGLETRANSLATE(B1342, ""en"", ""pt-br"")"),"O tamanho do aquecedor é pequeno, bom produto, o cabo de alimentação é muito curto. Como e onde usá -lo? Eu gasto mais adiante no quadro de extensão ???, não é um produto relacionável. Não após o serviço de venda, aquecedor de sala portátil e eficiente, p"&amp;"roduto útil, melhor soprador para uso do escritório, bom produto para sala")</f>
        <v>O tamanho do aquecedor é pequeno, bom produto, o cabo de alimentação é muito curto. Como e onde usá -lo? Eu gasto mais adiante no quadro de extensão ???, não é um produto relacionável. Não após o serviço de venda, aquecedor de sala portátil e eficiente, produto útil, melhor soprador para uso do escritório, bom produto para sala</v>
      </c>
      <c r="E1342" s="29" t="str">
        <f>IFERROR(__xludf.DUMMYFUNCTION("GOOGLETRANSLATE(C1342, ""en"", ""pt-br"")"),"No geral, o aquecedor é bom, mas o tamanho é pequeno, mas pode fazer o calor de pequena área em poucos segundos ,, comprimento do cabo de alimentação .. muito curto e botões de função não têm marcação por escrito das funções., O material usado não é de bo"&amp;"a qualidade . Não, o serviço de venda disponível no meu local., Este aquecedor da sala é portátil e eficiente silencioso. Aquece meu quarto perfeitamente. Foi realmente um bom negócio., É muito útil e fácil de manusear, o calor suficiente está soprando co"&amp;"m ar, produto muito bom nesse preço, é melhor usar para uma pessoa solteira no escritório e em casa, também não fazendo barulho como outros produtos., Eu gosto disso")</f>
        <v>No geral, o aquecedor é bom, mas o tamanho é pequeno, mas pode fazer o calor de pequena área em poucos segundos ,, comprimento do cabo de alimentação .. muito curto e botões de função não têm marcação por escrito das funções., O material usado não é de boa qualidade . Não, o serviço de venda disponível no meu local., Este aquecedor da sala é portátil e eficiente silencioso. Aquece meu quarto perfeitamente. Foi realmente um bom negócio., É muito útil e fácil de manusear, o calor suficiente está soprando com ar, produto muito bom nesse preço, é melhor usar para uma pessoa solteira no escritório e em casa, também não fazendo barulho como outros produtos., Eu gosto disso</v>
      </c>
    </row>
    <row r="1343">
      <c r="A1343" s="9" t="s">
        <v>5450</v>
      </c>
      <c r="B1343" s="29" t="str">
        <f>VLOOKUP(dados!A1343, reviews!A:G, 5, FALSE)</f>
        <v>Yet to know the performance,Good,Hamara bajaj...,Battery isue,Good but PNG model is Made In China,Value for money,Expansive,Service and Installation</v>
      </c>
      <c r="C1343" s="29" t="str">
        <f>VLOOKUP(dados!A1343, reviews!A:G, 6, FALSE)</f>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v>
      </c>
      <c r="D1343" s="29" t="str">
        <f>IFERROR(__xludf.DUMMYFUNCTION("GOOGLETRANSLATE(B1343, ""en"", ""pt-br"")"),"No entanto, para saber o desempenho, Bom, Hamara Bajaj ..., Bateria ISUE, Modelo bom, mas PNG é feito na China, valor ao dinheiro, expansivo, serviço e instalação")</f>
        <v>No entanto, para saber o desempenho, Bom, Hamara Bajaj ..., Bateria ISUE, Modelo bom, mas PNG é feito na China, valor ao dinheiro, expansivo, serviço e instalação</v>
      </c>
      <c r="E1343" s="29" t="str">
        <f>IFERROR(__xludf.DUMMYFUNCTION("GOOGLETRANSLATE(C1343, ""en"", ""pt-br"")"),"Já se passaram apenas uma semana ... ainda para saber o desempenho em geral, mas até a data está funcionando bem, boa, boa qualidade, a capacidade da bateria é muito ruim de energia, o produto é bom, mas fiquei desapontado ao ver Made in China Lable on PN"&amp;"G versão. O vendedor enviou o modelo LPG primeiro em vez de PNG, então verifique seu modelo uma vez recebido. O produto está funcionando bem., Https: //m.media-amazon.com/images/i/61sxpcsn4pl._sy88.jpg., o produto parece estar funcionando bem até agora, m"&amp;"as um serviço muito ruim de Bajaj serviceman.Ele veio e apenas enforcada o gêiseador na parede e disse que seu trabalho era limitado a isso apenas. Tínhamos que ligar para outro técnico por conta própria para concluir a instalação e fazer o trabalho de en"&amp;"canamento. até mesmo os tubos, as células não vieram com o gêiseador e foram vendidas por Bajaj Serviço separadamente.0 Marcas para Bajaj para serviço.")</f>
        <v>Já se passaram apenas uma semana ... ainda para saber o desempenho em geral, mas até a data está funcionando bem, boa, boa qualidade, a capacidade da bateria é muito ruim de energia, o produto é bom, mas fiquei desapontado ao ver Made in China Lable on PNG versão. O vendedor enviou o modelo LPG primeiro em vez de PNG, então verifique seu modelo uma vez recebido. O produto está funcionando bem., Https: //m.media-amazon.com/images/i/61sxpcsn4pl._sy88.jpg., o produto parece estar funcionando bem até agora, mas um serviço muito ruim de Bajaj serviceman.Ele veio e apenas enforcada o gêiseador na parede e disse que seu trabalho era limitado a isso apenas. Tínhamos que ligar para outro técnico por conta própria para concluir a instalação e fazer o trabalho de encanamento. até mesmo os tubos, as células não vieram com o gêiseador e foram vendidas por Bajaj Serviço separadamente.0 Marcas para Bajaj para serviço.</v>
      </c>
    </row>
    <row r="1344">
      <c r="A1344" s="9" t="s">
        <v>5454</v>
      </c>
      <c r="B1344" s="29" t="str">
        <f>VLOOKUP(dados!A1344, reviews!A:G, 5, FALSE)</f>
        <v>No entanglement,Iron with freedom,Good Iron,Steam iron!,It’s wireless,Good,Wonderful,Light weight and very adjustable to ur family needs</v>
      </c>
      <c r="C1344" s="29" t="str">
        <f>VLOOKUP(dados!A1344, reviews!A:G, 6, FALSE)</f>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v>
      </c>
      <c r="D1344" s="29" t="str">
        <f>IFERROR(__xludf.DUMMYFUNCTION("GOOGLETRANSLATE(B1344, ""en"", ""pt-br"")"),"Sem emaranhamento, ferro com liberdade, bom ferro, ferro a vapor!, É sem fio, bom, maravilhoso, leve e muito ajustável para suas necessidades familiares")</f>
        <v>Sem emaranhamento, ferro com liberdade, bom ferro, ferro a vapor!, É sem fio, bom, maravilhoso, leve e muito ajustável para suas necessidades familiares</v>
      </c>
      <c r="E1344" s="29" t="str">
        <f>IFERROR(__xludf.DUMMYFUNCTION("GOOGLETRANSLATE(C1344, ""en"", ""pt-br"")"),"Bom ferro, adorei a maneira sem fio de usá -lo. Aquecimento instantâneo, com fluxo de vapor para ferro nítido., Boa caixa de ferro. O vapor é o anunciado. Irons bem. Um entalhe acima do acorde giratório quando se trata de conveniência sem fio. O copo de m"&amp;"edição de 100 ml foi rachado à medida que é entregue. Portanto, uma estrela menos, é boa e fácil de usar, vá em frente, para usuários iniciantes, a ferro do vapor pode ser útil e pode amar essa variante. Eu já usei o Siemens Iron e ele não está funcionand"&amp;"o, então em emergência encomendou esse modelo desta marca. Ambas as marcas estão variando em parâmetros específicos. A caixa de ferro BDWWise BD é de tamanho pequeno. Por isso, demorou pouco tempo ao fechar um único ferro de vestuário. Peso também mais le"&amp;"ve. O vapor consome água muito rapidamente como eu usava 100 ml duas vezes para 3 aparelhos. Variação de cor observada na imagem na caixa e no produto original dentro. Finalmente, trabalhe bem, bem, e o trabalho feito. Essa experiência é do uso único da c"&amp;"aixa BD e da primeira impressão. Tem que ver e assistir ao resto da história, se houver, absolutamente portátil e fácil de alcançar cantos. A ferro a vapor facilita a falha de panos de algodão, mas não tão pesado, um bom produto gostando de usá -lo, este "&amp;"ferro é bom para uso diário e fácil armazenamento")</f>
        <v>Bom ferro, adorei a maneira sem fio de usá -lo. Aquecimento instantâneo, com fluxo de vapor para ferro nítido., Boa caixa de ferro. O vapor é o anunciado. Irons bem. Um entalhe acima do acorde giratório quando se trata de conveniência sem fio. O copo de medição de 100 ml foi rachado à medida que é entregue. Portanto, uma estrela menos, é boa e fácil de usar, vá em frente, para usuários iniciantes, a ferro do vapor pode ser útil e pode amar essa variante. Eu já usei o Siemens Iron e ele não está funcionando, então em emergência encomendou esse modelo desta marca. Ambas as marcas estão variando em parâmetros específicos. A caixa de ferro BDWWise BD é de tamanho pequeno. Por isso, demorou pouco tempo ao fechar um único ferro de vestuário. Peso também mais leve. O vapor consome água muito rapidamente como eu usava 100 ml duas vezes para 3 aparelhos. Variação de cor observada na imagem na caixa e no produto original dentro. Finalmente, trabalhe bem, bem, e o trabalho feito. Essa experiência é do uso único da caixa BD e da primeira impressão. Tem que ver e assistir ao resto da história, se houver, absolutamente portátil e fácil de alcançar cantos. A ferro a vapor facilita a falha de panos de algodão, mas não tão pesado, um bom produto gostando de usá -lo, este ferro é bom para uso diário e fácil armazenamento</v>
      </c>
    </row>
    <row r="1345">
      <c r="A1345" s="9" t="s">
        <v>5458</v>
      </c>
      <c r="B1345" s="29" t="str">
        <f>VLOOKUP(dados!A1345, reviews!A:G, 5, FALSE)</f>
        <v>Good,Decent,Ok,Good product,Nice,Good product,Not good as per price,small &amp; elegant hand mixer</v>
      </c>
      <c r="C1345" s="29" t="str">
        <f>VLOOKUP(dados!A1345, reviews!A:G, 6, FALSE)</f>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v>
      </c>
      <c r="D1345" s="29" t="str">
        <f>IFERROR(__xludf.DUMMYFUNCTION("GOOGLETRANSLATE(B1345, ""en"", ""pt-br"")"),"Bom, decente, ok, bom produto, bom, bom produto, não é bom de acordo com o preço, o pequeno e elegante misturador de mãos")</f>
        <v>Bom, decente, ok, bom produto, bom, bom produto, não é bom de acordo com o preço, o pequeno e elegante misturador de mãos</v>
      </c>
      <c r="E1345" s="29" t="str">
        <f>IFERROR(__xludf.DUMMYFUNCTION("GOOGLETRANSLATE(C1345, ""en"", ""pt-br"")"),"Bata com a Blander, seu desempenho decente, thik h, bom produto, velocidade 1 e velocidade 2 não estavam funcionando, ele começa a partir da velocidade 3. Assim retornado., Bom e valor ao dinheiro, não é bom conforme preço, entrega rápida. Recebido em 30."&amp;"11.22. Mistor de mãos pequenas e elegantes com poder amigável para bater o café, a massa, etc. Use duas vezes, muito cedo para responder, mas ainda sinto que a marca Inalsa manterá seu repositório, em geral como esse valor pelo dinheiro.")</f>
        <v>Bata com a Blander, seu desempenho decente, thik h, bom produto, velocidade 1 e velocidade 2 não estavam funcionando, ele começa a partir da velocidade 3. Assim retornado., Bom e valor ao dinheiro, não é bom conforme preço, entrega rápida. Recebido em 30.11.22. Mistor de mãos pequenas e elegantes com poder amigável para bater o café, a massa, etc. Use duas vezes, muito cedo para responder, mas ainda sinto que a marca Inalsa manterá seu repositório, em geral como esse valor pelo dinheiro.</v>
      </c>
    </row>
    <row r="1346">
      <c r="A1346" s="9" t="s">
        <v>5462</v>
      </c>
      <c r="B1346" s="29" t="str">
        <f>VLOOKUP(dados!A1346, reviews!A:G, 5, FALSE)</f>
        <v>Ok product,Worth buying product,Must buyyyyy</v>
      </c>
      <c r="C1346" s="29" t="str">
        <f>VLOOKUP(dados!A1346, reviews!A:G, 6, FALSE)</f>
        <v>2 rods can not be switched seperately, selecting 1 rod always switches on the top rod.,,</v>
      </c>
      <c r="D1346" s="29" t="str">
        <f>IFERROR(__xludf.DUMMYFUNCTION("GOOGLETRANSLATE(B1346, ""en"", ""pt-br"")"),"Ok produto, vale a pena comprar produtos, deve comprar simyyy")</f>
        <v>Ok produto, vale a pena comprar produtos, deve comprar simyyy</v>
      </c>
      <c r="E1346" s="29" t="str">
        <f>IFERROR(__xludf.DUMMYFUNCTION("GOOGLETRANSLATE(C1346, ""en"", ""pt-br"")"),"2 hastes não podem ser trocadas separadamente, a seleção de 1 haste sempre alterna na haste superior. ,,")</f>
        <v>2 hastes não podem ser trocadas separadamente, a seleção de 1 haste sempre alterna na haste superior. ,,</v>
      </c>
    </row>
    <row r="1347">
      <c r="A1347" s="9" t="s">
        <v>5466</v>
      </c>
      <c r="B1347" s="29" t="str">
        <f>VLOOKUP(dados!A1347, reviews!A:G, 5, FALSE)</f>
        <v>Good,Ease of use,Ok,Very good,Grinding is fine but during grinding little barter leaked from the drum. Kindly suggest.,Good one, but loud.,The quality is good but damaged,Ok 👍👍👍👍</v>
      </c>
      <c r="C1347" s="29" t="str">
        <f>VLOOKUP(dados!A1347, reviews!A:G, 6, FALSE)</f>
        <v>Can buy it,its really a good product for the price,Ok,Very good,Product is nice. I used it for idli dosa barter.Kindly suggest what to do?,The device is good but very loud!,The jar is damaged.,Ok good..</v>
      </c>
      <c r="D1347" s="29" t="str">
        <f>IFERROR(__xludf.DUMMYFUNCTION("GOOGLETRANSLATE(B1347, ""en"", ""pt-br"")"),"Bom, facilidade de uso, ok, muito bom, a moagem é boa, mas durante a troca de troca vazou do tambor. Por favor, sugira., Bom, mas alto., A qualidade é boa, mas danificada, ok 👍👍👍👍")</f>
        <v>Bom, facilidade de uso, ok, muito bom, a moagem é boa, mas durante a troca de troca vazou do tambor. Por favor, sugira., Bom, mas alto., A qualidade é boa, mas danificada, ok 👍👍👍👍</v>
      </c>
      <c r="E1347" s="29" t="str">
        <f>IFERROR(__xludf.DUMMYFUNCTION("GOOGLETRANSLATE(C1347, ""en"", ""pt-br"")"),"Pode comprá -lo, é realmente um bom produto para o preço, ok, muito bom, o produto é bom. Eu usei para Idli Dosa Barter. Sugiro que o que fazer?, O dispositivo é bom, mas muito alto!, O frasco está danificado., Ok, bom ..")</f>
        <v>Pode comprá -lo, é realmente um bom produto para o preço, ok, muito bom, o produto é bom. Eu usei para Idli Dosa Barter. Sugiro que o que fazer?, O dispositivo é bom, mas muito alto!, O frasco está danificado., Ok, bom ..</v>
      </c>
    </row>
    <row r="1348">
      <c r="A1348" s="9" t="s">
        <v>5470</v>
      </c>
      <c r="B1348" s="29" t="str">
        <f>VLOOKUP(dados!A1348, reviews!A:G, 5, FALSE)</f>
        <v>Not as expected,DON'T BUY pegion products, NO CUSTOMER SERVICE,Not that happy,Undoughtable,Nice product,Value for money mixer,Sound and blade,product have too much scratches on top</v>
      </c>
      <c r="C1348" s="29" t="str">
        <f>VLOOKUP(dados!A1348, reviews!A:G, 6, FALSE)</f>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v>
      </c>
      <c r="D1348" s="29" t="str">
        <f>IFERROR(__xludf.DUMMYFUNCTION("GOOGLETRANSLATE(B1348, ""en"", ""pt-br"")"),"Não é como o esperado, não compre produtos Pegion, nenhum atendimento ao cliente, não tão felizes, indefiníveis, de bom produto, valor para o misturador de dinheiro, som e lâmina, o produto tem muitos arranhões no topo")</f>
        <v>Não é como o esperado, não compre produtos Pegion, nenhum atendimento ao cliente, não tão felizes, indefiníveis, de bom produto, valor para o misturador de dinheiro, som e lâmina, o produto tem muitos arranhões no topo</v>
      </c>
      <c r="E1348" s="29" t="str">
        <f>IFERROR(__xludf.DUMMYFUNCTION("GOOGLETRANSLATE(C1348, ""en"", ""pt-br"")"),"Tem apenas uma lâmina no jar e a qualidade do jar é muito ruim. , nenhum atendimento ao cliente não compra, eu tenho dois frascos médios em vez da jarra grande., Após o 1 mês de uso. Eu entreguei isso à minha mãe da minha primeira renda, até agora ela não"&amp;" reclama nada sobre esse misturador . Não conheça outros clientes, mas o produto da mina está funcionando bem, sim, é verdade que torna o ruído alto, mas o desempenho nessa faixa de preço encobrirá o barulho., Bom produto, vá em frente, bom, em geral aten"&amp;"de a propósito em D em O orçamento do motor está com o traseiro regular, faltando 4 lâmina dentro do frasco D (todos os frascos foram dados apenas com 2blades) FeedBak AFTR usando para 4 meses, o produto tem muitos arranhões no topo")</f>
        <v>Tem apenas uma lâmina no jar e a qualidade do jar é muito ruim. , nenhum atendimento ao cliente não compra, eu tenho dois frascos médios em vez da jarra grande., Após o 1 mês de uso. Eu entreguei isso à minha mãe da minha primeira renda, até agora ela não reclama nada sobre esse misturador . Não conheça outros clientes, mas o produto da mina está funcionando bem, sim, é verdade que torna o ruído alto, mas o desempenho nessa faixa de preço encobrirá o barulho., Bom produto, vá em frente, bom, em geral atende a propósito em D em O orçamento do motor está com o traseiro regular, faltando 4 lâmina dentro do frasco D (todos os frascos foram dados apenas com 2blades) FeedBak AFTR usando para 4 meses, o produto tem muitos arranhões no topo</v>
      </c>
    </row>
    <row r="1349">
      <c r="A1349" s="9" t="s">
        <v>5474</v>
      </c>
      <c r="B1349" s="29" t="str">
        <f>VLOOKUP(dados!A1349, reviews!A:G, 5, FALSE)</f>
        <v>A1,AWESOME PRODUCT,Room heater2900watt need separate power connection,Not upto the mark.,Probably the best build in this category.,A good heater with some additional amazing features which make it a best buy,Not as expected,Nice product</v>
      </c>
      <c r="C1349" s="29" t="str">
        <f>VLOOKUP(dados!A1349, reviews!A:G, 6, FALSE)</f>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v>
      </c>
      <c r="D1349" s="29" t="str">
        <f>IFERROR(__xludf.DUMMYFUNCTION("GOOGLETRANSLATE(B1349, ""en"", ""pt-br"")"),"A1, produto incrível, aquecedor de quarto 2900watt precisa de conexão de energia separada, não até a marca., Provavelmente a melhor construção nesta categoria., Um bom aquecedor com alguns recursos incríveis adicionais que o tornam uma melhor compra, não "&amp;"como esperado e bom produto")</f>
        <v>A1, produto incrível, aquecedor de quarto 2900watt precisa de conexão de energia separada, não até a marca., Provavelmente a melhor construção nesta categoria., Um bom aquecedor com alguns recursos incríveis adicionais que o tornam uma melhor compra, não como esperado e bom produto</v>
      </c>
      <c r="E1349" s="29" t="str">
        <f>IFERROR(__xludf.DUMMYFUNCTION("GOOGLETRANSLATE(C1349, ""en"", ""pt-br"")"),"Perfeito para o inverno, atende a todos os meus requisitos, produtos bons, mas caros, com o processo de trabalho, já que tentei o aquecedor de petróleo Bajaj 13 FINS, este aquecedor de 11 barbatanas não vale a pena. A qualidade é boa apenas para a aparênc"&amp;"ia, no entanto, as barbatanas são muito finas e incapazes de produzir o mesmo calor com a mesma potência que Bajaj. A sala a uma temperatura confortável. Com o Bajaj, foi feito dentro de meia hora, no entanto, o borosil levou até 2 horas e ainda estávamos"&amp;" sentindo -se desconfortáveis. A colocação do ventilador é baixa e não converte muito calor para aquecedor mais rápido, mesmo com configurações máximas. Por favor, verifique os dois se possível, se possível, Bajaj está de um lado mais pesado e as barbatan"&amp;"as são de boa qualidade. Embora eu recebi 2 aquecedor de Bajaj defeituoso (dente físico no corpo) da Cloudtail, pedi novamente o mesmo. Espero que desta vez seja bom. Nenhuma empresa está fornecendo os detalhes da qualidade do óleo usada em seu produto. B"&amp;"oa sorte., Eu já usei aquecedor de petróleo Bajaj antes. Isso parece mais resistente. Eu acho que Havells e Borosil fazem o melhor aquecedor de óleo cheio de óleo em termos de robustez e acabamento. Embora seja uma montagem simples, mas ainda assim eu que"&amp;"ria comprar uma boa marca, pois atrai muita energia e eu estava preocupado com a segurança. Faz a sala aquecer rapidamente. Com base no modo de energia que você escolher. Isso deixará a sala secar. Vi pessoas usando vaporizador de água ao lado, mas com ba"&amp;"ixa potência, não me senti muito tentar em 1-2 horas de uso. No geral, já que era borosil, eu esperava um visual ainda mais bonito, mas como funciona bem, estou feliz. Facilmente 1,5-2 K mais caro do que seus pares., Usando sopradores fora da marca por an"&amp;"os, finalmente dei o salto e comprei o vulcão de 13 fin da Borosil. Ele transformou o caminho com sua confiabilidade e eficiência. A unidade é montada, mas você precisa prender as rodas de mamona, o que foi bem fácil. Então tudo restava era conectá -lo. U"&amp;"so: o aquecedor aqueceu a sala de 20 pésx20 pés com relativa facilidade. Possui 3 níveis de potência para o ventilador anexado e um regulador de temperatura. O aquecedor leva de 5 a 6 minutos para aquecer e trazer a sala à temperatura. Os recursos de segu"&amp;"rança o tornam um produto obrigatório para os invernos. É um produto poderoso para aquecer a sala rapidamente. Embora os primeiros minutos sejam lentos, ele acelera o ritmo e aquece uniformemente a sala inteira. É bastante e nem vibra. Eu já possuo um OTG"&amp;" e uma caldeira de ovo e agora o ofr. A Borosil ficou com a marca, fornecendo aparelhos de boa qualidade a um preço decente.")</f>
        <v>Perfeito para o inverno, atende a todos os meus requisitos, produtos bons, mas caros, com o processo de trabalho, já que tentei o aquecedor de petróleo Bajaj 13 FINS, este aquecedor de 11 barbatanas não vale a pena. A qualidade é boa apenas para a aparência, no entanto, as barbatanas são muito finas e incapazes de produzir o mesmo calor com a mesma potência que Bajaj. A sala a uma temperatura confortável. Com o Bajaj, foi feito dentro de meia hora, no entanto, o borosil levou até 2 horas e ainda estávamos sentindo -se desconfortáveis. A colocação do ventilador é baixa e não converte muito calor para aquecedor mais rápido, mesmo com configurações máximas. Por favor, verifique os dois se possível, se possível, Bajaj está de um lado mais pesado e as barbatanas são de boa qualidade. Embora eu recebi 2 aquecedor de Bajaj defeituoso (dente físico no corpo) da Cloudtail, pedi novamente o mesmo. Espero que desta vez seja bom. Nenhuma empresa está fornecendo os detalhes da qualidade do óleo usada em seu produto. Boa sorte., Eu já usei aquecedor de petróleo Bajaj antes. Isso parece mais resistente. Eu acho que Havells e Borosil fazem o melhor aquecedor de óleo cheio de óleo em termos de robustez e acabamento. Embora seja uma montagem simples, mas ainda assim eu queria comprar uma boa marca, pois atrai muita energia e eu estava preocupado com a segurança. Faz a sala aquecer rapidamente. Com base no modo de energia que você escolher. Isso deixará a sala secar. Vi pessoas usando vaporizador de água ao lado, mas com baixa potência, não me senti muito tentar em 1-2 horas de uso. No geral, já que era borosil, eu esperava um visual ainda mais bonito, mas como funciona bem, estou feliz. Facilmente 1,5-2 K mais caro do que seus pares., Usando sopradores fora da marca por anos, finalmente dei o salto e comprei o vulcão de 13 fin da Borosil. Ele transformou o caminho com sua confiabilidade e eficiência. A unidade é montada, mas você precisa prender as rodas de mamona, o que foi bem fácil. Então tudo restava era conectá -lo. Uso: o aquecedor aqueceu a sala de 20 pésx20 pés com relativa facilidade. Possui 3 níveis de potência para o ventilador anexado e um regulador de temperatura. O aquecedor leva de 5 a 6 minutos para aquecer e trazer a sala à temperatura. Os recursos de segurança o tornam um produto obrigatório para os invernos. É um produto poderoso para aquecer a sala rapidamente. Embora os primeiros minutos sejam lentos, ele acelera o ritmo e aquece uniformemente a sala inteira. É bastante e nem vibra. Eu já possuo um OTG e uma caldeira de ovo e agora o ofr. A Borosil ficou com a marca, fornecendo aparelhos de boa qualidade a um preço decente.</v>
      </c>
    </row>
    <row r="1350">
      <c r="A1350" s="9" t="s">
        <v>5478</v>
      </c>
      <c r="B1350" s="29" t="str">
        <f>VLOOKUP(dados!A1350, reviews!A:G, 5, FALSE)</f>
        <v>Best for small Family,The Gyser warms up water very quickly but does not hold hot water for long,It's good,Not up to the mark,One day delivery and installation... excellent service,Waranty card not found,बेहतरीन,Good</v>
      </c>
      <c r="C1350" s="29" t="str">
        <f>VLOOKUP(dados!A1350, reviews!A:G, 6, FALSE)</f>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don’t holds hot water for atleast 6 hrs. Temperature control also not so good , after getting 2-3 liters itself , water becomes cold, even if it is on from 20 min,I’m using ao smith geyser in our one room from five years, no issue, again purchased 2 geysers for other two rooms , one is ao smith and other is this crompton, even though i spend more for this geyser I’m not satisfied. Better go for ao smith or racold..,,Waranty card are missing.,एक होम गीजर में जो होना चाहिए वो सब कुछ है सबसे अच्छी बात है पावर आफ होने के बाद भी गीजर के टेंक में बचा पानी 8 घंटे तक भी गर्म रहता है।,Good product using since 2 months working properly</v>
      </c>
      <c r="D1350" s="29" t="str">
        <f>IFERROR(__xludf.DUMMYFUNCTION("GOOGLETRANSLATE(B1350, ""en"", ""pt-br"")"),"Melhor para a família pequena, o Gyser aquece a água muito rapidamente, mas não mantém água quente por muito tempo, é bom, não à altura, entrega e instalação de um dia ... Excelente serviço, cartão Waranty não encontrado, बेहतरीन, bom")</f>
        <v>Melhor para a família pequena, o Gyser aquece a água muito rapidamente, mas não mantém água quente por muito tempo, é bom, não à altura, entrega e instalação de um dia ... Excelente serviço, cartão Waranty não encontrado, बेहतरीन, bom</v>
      </c>
      <c r="E1350" s="29" t="str">
        <f>IFERROR(__xludf.DUMMYFUNCTION("GOOGLETRANSLATE(C1350, ""en"", ""pt-br"")"),"Eu uso esse gêisero há quase dois meses. Aquece a água em apenas 15 minutos e bastante eficiente em termos de energia. Usa quase metade de uma unidade para duas pessoas. E se você deixar o dia inteiro, estará em torno de 1 unidade. Muito eficiente em term"&amp;"os de energia. E parece elegante no banheiro e, devido ao fator de forma, o DOEST ocupa muito espaço. Vá em frente . Você obtém todos os tubos e material de instalação na caixa para que não seja necessário comprá -los separadamente, o que é o caso em algu"&amp;"ns outros modelos., Eu tinha 2 opções ao comprar esse gêiseador, Havells vs este. Eu optei por este, pois era mais barato do que seu colega de Havell, mas esse gêiseador não me satisfaz. Os únicos profissionais são suas águas aquecidas muito rapidamente, "&amp;"mas o descanso é tudo. Eu conheço a temperatura máxima, mas ainda assim a luz não se move de laranja para vermelho, mesmo se eu colocar o gêiseador por 3 horas. Não segura água quente por muito tempo. Eu usei Recold, Ao Smith, até a Amica antes, eles não "&amp;"eram tão rápidos quanto Crompton, mas costumavam segurar água quente por muito tempo. Eu tenho outro Havells em casa cuja luz vai de verde a laranja e vermelho para exibir a temperatura da água., Paisa Wasul Hai, o produto não é tão bom, apenas com eficiê"&amp;"ncia energética de 5 estrelas, mas leva mais tempo para aquecer a água, também Não segura água quente para pelo menos 6 horas. Controle de temperatura também não é tão bom, depois de obter 2-3 litros, a água fica fria, mesmo que esteja ligada a 20 minutos"&amp;", estou usando a AO Smith Geyser em nossa sala a partir de cinco anos, sem problemas, novamente comprou 2 gêiseres Para outros dois quartos, um é Ao Smith e outro é esse Crompton, apesar de gastar mais por esse gêiseador, não estou satisfeito. Melhor ir p"&amp;"ara AO Smith ou Racold. है।, bom produto usando desde 2 meses funcionando corretamente")</f>
        <v>Eu uso esse gêisero há quase dois meses. Aquece a água em apenas 15 minutos e bastante eficiente em termos de energia. Usa quase metade de uma unidade para duas pessoas. E se você deixar o dia inteiro, estará em torno de 1 unidade. Muito eficiente em termos de energia. E parece elegante no banheiro e, devido ao fator de forma, o DOEST ocupa muito espaço. Vá em frente . Você obtém todos os tubos e material de instalação na caixa para que não seja necessário comprá -los separadamente, o que é o caso em alguns outros modelos., Eu tinha 2 opções ao comprar esse gêiseador, Havells vs este. Eu optei por este, pois era mais barato do que seu colega de Havell, mas esse gêiseador não me satisfaz. Os únicos profissionais são suas águas aquecidas muito rapidamente, mas o descanso é tudo. Eu conheço a temperatura máxima, mas ainda assim a luz não se move de laranja para vermelho, mesmo se eu colocar o gêiseador por 3 horas. Não segura água quente por muito tempo. Eu usei Recold, Ao Smith, até a Amica antes, eles não eram tão rápidos quanto Crompton, mas costumavam segurar água quente por muito tempo. Eu tenho outro Havells em casa cuja luz vai de verde a laranja e vermelho para exibir a temperatura da água., Paisa Wasul Hai, o produto não é tão bom, apenas com eficiência energética de 5 estrelas, mas leva mais tempo para aquecer a água, também Não segura água quente para pelo menos 6 horas. Controle de temperatura também não é tão bom, depois de obter 2-3 litros, a água fica fria, mesmo que esteja ligada a 20 minutos, estou usando a AO Smith Geyser em nossa sala a partir de cinco anos, sem problemas, novamente comprou 2 gêiseres Para outros dois quartos, um é Ao Smith e outro é esse Crompton, apesar de gastar mais por esse gêiseador, não estou satisfeito. Melhor ir para AO Smith ou Racold. है।, bom produto usando desde 2 meses funcionando corretamente</v>
      </c>
    </row>
    <row r="1351">
      <c r="A1351" s="9" t="s">
        <v>5482</v>
      </c>
      <c r="B1351" s="29" t="str">
        <f>VLOOKUP(dados!A1351, reviews!A:G, 5, FALSE)</f>
        <v>Useful item,OVERALL NOT VERY BAD,Good quality,For the price ok.,GOOD PRODUCT,Review,Good quality,Short cord and narrow mouth.</v>
      </c>
      <c r="C1351" s="29" t="str">
        <f>VLOOKUP(dados!A1351, reviews!A:G, 6, FALSE)</f>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v>
      </c>
      <c r="D1351" s="29" t="str">
        <f>IFERROR(__xludf.DUMMYFUNCTION("GOOGLETRANSLATE(B1351, ""en"", ""pt-br"")"),"Item útil, em geral não muito ruim, de boa qualidade, para o preço OK., Bom produto, revisão, boa qualidade, cordão curto e boca estreita.")</f>
        <v>Item útil, em geral não muito ruim, de boa qualidade, para o preço OK., Bom produto, revisão, boa qualidade, cordão curto e boca estreita.</v>
      </c>
      <c r="E1351" s="29" t="str">
        <f>IFERROR(__xludf.DUMMYFUNCTION("GOOGLETRANSLATE(C1351, ""en"", ""pt-br"")"),"Minha única preocupação é a longevidade, então vamos ver quanto tempo isso dura. Caso contrário, é bastante útil, especialmente durante os invernos., Com boa aparência, mas leve. Não é fácil de limpar., Bom produto, comprei isso como é feito na Índia. É u"&amp;"m peso leve, o que é bom e faz bem o seu trabalho. A tampa deve ser aberta manualmente e deve ser empurrada até o fim para segurar. Inicialmente, ele recuou, mas precisa ser recuado para manter a posição vertical. AM Feliz com o ItAfter usando -o por dois"&amp;" dias., Exceto pelo comprimento do cordão da chaleira que deve ser um pouco mais. Além disso, obrigado por um bom produto ., Muito bom, bom trabalho, aquece bem, menos barulhento e parece elegante. O cordão é curto e parcialmente a tampa dificulta a limpe"&amp;"za. Funcionou bem até agora.")</f>
        <v>Minha única preocupação é a longevidade, então vamos ver quanto tempo isso dura. Caso contrário, é bastante útil, especialmente durante os invernos., Com boa aparência, mas leve. Não é fácil de limpar., Bom produto, comprei isso como é feito na Índia. É um peso leve, o que é bom e faz bem o seu trabalho. A tampa deve ser aberta manualmente e deve ser empurrada até o fim para segurar. Inicialmente, ele recuou, mas precisa ser recuado para manter a posição vertical. AM Feliz com o ItAfter usando -o por dois dias., Exceto pelo comprimento do cordão da chaleira que deve ser um pouco mais. Além disso, obrigado por um bom produto ., Muito bom, bom trabalho, aquece bem, menos barulhento e parece elegante. O cordão é curto e parcialmente a tampa dificulta a limpeza. Funcionou bem até agora.</v>
      </c>
    </row>
    <row r="1352">
      <c r="A1352" s="9" t="s">
        <v>5486</v>
      </c>
      <c r="B1352" s="29" t="str">
        <f>VLOOKUP(dados!A1352, reviews!A:G, 5, FALSE)</f>
        <v>Overall its good product,Heater is Slow,Small but useful !,Average product quality,Working Good,just missing temprature  Controller.,Nice quality,Good looking and tests patience,Good product with affodable price</v>
      </c>
      <c r="C1352" s="29" t="str">
        <f>VLOOKUP(dados!A1352, reviews!A:G, 6, FALSE)</f>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 since no bubble wrap or anything to protect the product.Product:3/5—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v>
      </c>
      <c r="D1352" s="29" t="str">
        <f>IFERROR(__xludf.DUMMYFUNCTION("GOOGLETRANSLATE(B1352, ""en"", ""pt-br"")"),"No geral, seu bom produto, aquecedor é lento, pequeno, mas útil!, Qualidade média do produto, trabalho bem, apenas com falta de prática.")</f>
        <v>No geral, seu bom produto, aquecedor é lento, pequeno, mas útil!, Qualidade média do produto, trabalho bem, apenas com falta de prática.</v>
      </c>
      <c r="E1352" s="29" t="str">
        <f>IFERROR(__xludf.DUMMYFUNCTION("GOOGLETRANSLATE(C1352, ""en"", ""pt-br"")"),"Bom produto e excelente aquecimento rápido. Como era um tanque pequeno, se você precisar obter água de balde1. Em Geyser e espere até que a água seja aquecida (2-3 minutos) na torneira e encha o balde com água quente.2. Fora da torneira e aguarde mais uma"&amp;" rodada de aquecimento de água, depois encha novamente o balde e deixe a torneira até o balde cheio de água morna. Se você precisar de mais água quente, repita as etapas 1 e 2.Cons: -1. É necessário comprar tubos de entrada e saída que custam cerca de 400"&amp;", pois isso não foi fornecido pela Orient.Writing Review após mais de 20 dias de uso., O aquecedor é tão lento quanto comparar com o aquecedor de Bajaj ... Atualmente, comprei este 1, mas não é bom , Eu pedi dois deles. Instalado no banheiro também. Há um"&amp;" truque para usá -lo no banheiro. Tire toque muito devagar ou ligando a toque em pleno sppeed. Sempre que a água ficar fria novamente, mude novamente da torneira, depois de 3 a 5 minutos novamente e encha. Apenas esse compromisso que você deve fazer no lu"&amp;"gar dos gêiseres de armazenamento., O encaixe do corpo do produto é média. Esteja preparado para gastar outros 600-700 R's. Nos tubos de instalação, o plugue 16A e as cargas de instalação. Nenhuma placa de instalação com gêiser. A ser montado em parafusos"&amp;". Nenhuma válvula de segurança fornecida com gêisera. Produto médio geral. Melhor ir para Havells, que vem com todos os acessórios., Fácil de instalar. /images/i/51izgndz7el._sy88.jpg, ordenado em 7 de fevereiro de 2021. Recebido conforme a data da entreg"&amp;"a. Na abertura, constatou que a unidade é embrulhada com plástico e encontrou gotículas de água. Talvez eles tenham testado o produto antes da entrega. Chegando ao produto, ele aquece a água para ferver a temperatura em 3-4 minutos e você pode esperar ape"&amp;"nas 4 jarros de água quente. 3/5 - Você não deve projetar um produto com uma capacidade tão baixa, agora fico impressionado após a compra: 5/5 de atualizar mais tarde ..., antes de tudo isso não é um gêiseador de armazenamento. Isso é aquecedor de água in"&amp;"stantâneo. Tão melhor entender o recurso antes de usá -lo. Basta ligar e aguardar 1-2 min. Ele começará a fornecer água quente. Como eu disse, este não é um gêiseador de armazenamento como 5-25 LTR. Ele vem com capacidade 3LTS apenas com 3KVA. Então, uma "&amp;"vez que a temperatura definida alcance. Em seguida, abra o toque de água quente na velocidade de execução normal/ lenta. Então, ele continuará fornecendo água quente/ água morna. Se a torneira de água quente for totalmente aberta com velocidade total, ess"&amp;"a água instantânea não terá tempo suficiente para aquecer a água. Espero que esta revisão seja útil.")</f>
        <v>Bom produto e excelente aquecimento rápido. Como era um tanque pequeno, se você precisar obter água de balde1. Em Geyser e espere até que a água seja aquecida (2-3 minutos) na torneira e encha o balde com água quente.2. Fora da torneira e aguarde mais uma rodada de aquecimento de água, depois encha novamente o balde e deixe a torneira até o balde cheio de água morna. Se você precisar de mais água quente, repita as etapas 1 e 2.Cons: -1. É necessário comprar tubos de entrada e saída que custam cerca de 400, pois isso não foi fornecido pela Orient.Writing Review após mais de 20 dias de uso., O aquecedor é tão lento quanto comparar com o aquecedor de Bajaj ... Atualmente, comprei este 1, mas não é bom , Eu pedi dois deles. Instalado no banheiro também. Há um truque para usá -lo no banheiro. Tire toque muito devagar ou ligando a toque em pleno sppeed. Sempre que a água ficar fria novamente, mude novamente da torneira, depois de 3 a 5 minutos novamente e encha. Apenas esse compromisso que você deve fazer no lugar dos gêiseres de armazenamento., O encaixe do corpo do produto é média. Esteja preparado para gastar outros 600-700 R's. Nos tubos de instalação, o plugue 16A e as cargas de instalação. Nenhuma placa de instalação com gêiser. A ser montado em parafusos. Nenhuma válvula de segurança fornecida com gêisera. Produto médio geral. Melhor ir para Havells, que vem com todos os acessórios., Fácil de instalar. /images/i/51izgndz7el._sy88.jpg, ordenado em 7 de fevereiro de 2021. Recebido conforme a data da entrega. Na abertura, constatou que a unidade é embrulhada com plástico e encontrou gotículas de água. Talvez eles tenham testado o produto antes da entrega. Chegando ao produto, ele aquece a água para ferver a temperatura em 3-4 minutos e você pode esperar apenas 4 jarros de água quente. 3/5 - Você não deve projetar um produto com uma capacidade tão baixa, agora fico impressionado após a compra: 5/5 de atualizar mais tarde ..., antes de tudo isso não é um gêiseador de armazenamento. Isso é aquecedor de água instantâneo. Tão melhor entender o recurso antes de usá -lo. Basta ligar e aguardar 1-2 min. Ele começará a fornecer água quente. Como eu disse, este não é um gêiseador de armazenamento como 5-25 LTR. Ele vem com capacidade 3LTS apenas com 3KVA. Então, uma vez que a temperatura definida alcance. Em seguida, abra o toque de água quente na velocidade de execução normal/ lenta. Então, ele continuará fornecendo água quente/ água morna. Se a torneira de água quente for totalmente aberta com velocidade total, essa água instantânea não terá tempo suficiente para aquecer a água. Espero que esta revisão seja útil.</v>
      </c>
    </row>
    <row r="1353">
      <c r="A1353" s="9" t="s">
        <v>5490</v>
      </c>
      <c r="B1353" s="29" t="str">
        <f>VLOOKUP(dados!A1353, reviews!A:G, 5, FALSE)</f>
        <v>Good,Easy to handling ..satisfied,Good,Good,Quality product,Good Product,Nice,Hanske taka product</v>
      </c>
      <c r="C1353" s="29" t="str">
        <f>VLOOKUP(dados!A1353, reviews!A:G, 6, FALSE)</f>
        <v>Good,https://m.media-amazon.com/images/I/41D5G0vX76L._SY88.jpg,Worth for the price,Compact and lightweight,Nice,Nice product easy to use, price also good,Nice,Chenagidye</v>
      </c>
      <c r="D1353" s="29" t="str">
        <f>IFERROR(__xludf.DUMMYFUNCTION("GOOGLETRANSLATE(B1353, ""en"", ""pt-br"")"),"Bom, fácil de manusear .. Satisfiado, bom, bom, produto de qualidade, bom produto, bom, produto Hanske Taka")</f>
        <v>Bom, fácil de manusear .. Satisfiado, bom, bom, produto de qualidade, bom produto, bom, produto Hanske Taka</v>
      </c>
      <c r="E1353" s="29" t="str">
        <f>IFERROR(__xludf.DUMMYFUNCTION("GOOGLETRANSLATE(C1353, ""en"", ""pt-br"")"),"Bom, https: //m.media-amazon.com/images/i/41d5g0vx76l._sy88.jpg,worth pelo preço, compacto e leve, bom, bom produto fácil de usar, preço também bom, bom, chenagidye")</f>
        <v>Bom, https: //m.media-amazon.com/images/i/41d5g0vx76l._sy88.jpg,worth pelo preço, compacto e leve, bom, bom produto fácil de usar, preço também bom, bom, chenagidye</v>
      </c>
    </row>
    <row r="1354">
      <c r="A1354" s="9" t="s">
        <v>5494</v>
      </c>
      <c r="B1354" s="29" t="str">
        <f>VLOOKUP(dados!A1354, reviews!A:G, 5, FALSE)</f>
        <v>Good quality,Super 👌,Worth for the money but the knob is slippery,Good product,Good quality,Nothing,Worthy product,Good</v>
      </c>
      <c r="C1354" s="29" t="str">
        <f>VLOOKUP(dados!A1354, reviews!A:G, 6, FALSE)</f>
        <v>Good quality,Super 👌,Worth for the money but the knob is slippery,Good product,Nice,Ok,Little bit of noice,Good</v>
      </c>
      <c r="D1354" s="29" t="str">
        <f>IFERROR(__xludf.DUMMYFUNCTION("GOOGLETRANSLATE(B1354, ""en"", ""pt-br"")"),"Boa qualidade, super 👌, vale o dinheiro, mas o botão é escorregadio, bom produto, boa qualidade, nada, produto digno, bom")</f>
        <v>Boa qualidade, super 👌, vale o dinheiro, mas o botão é escorregadio, bom produto, boa qualidade, nada, produto digno, bom</v>
      </c>
      <c r="E1354" s="29" t="str">
        <f>IFERROR(__xludf.DUMMYFUNCTION("GOOGLETRANSLATE(C1354, ""en"", ""pt-br"")"),"Boa qualidade, super 👌, vale o dinheiro, mas o botão é escorregadio, bom produto, bom, ok, um pouco de noice, bom")</f>
        <v>Boa qualidade, super 👌, vale o dinheiro, mas o botão é escorregadio, bom produto, bom, ok, um pouco de noice, bom</v>
      </c>
    </row>
    <row r="1355">
      <c r="A1355" s="9" t="s">
        <v>5498</v>
      </c>
      <c r="B1355" s="29" t="str">
        <f>VLOOKUP(dados!A1355, reviews!A:G, 5, FALSE)</f>
        <v>Worth money,Average,Morden geyser , very nice, value for money,Value for money,Voltage issue after geyser installation,Model looks nice but charged for connection pipes.,Very good Geyser. Worth every penny.,Quick service</v>
      </c>
      <c r="C1355" s="29" t="str">
        <f>VLOOKUP(dados!A1355, reviews!A:G, 6, FALSE)</f>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v>
      </c>
      <c r="D1355" s="29" t="str">
        <f>IFERROR(__xludf.DUMMYFUNCTION("GOOGLETRANSLATE(B1355, ""en"", ""pt-br"")"),"Vale dinheiro, médio, Morden Geyser, muito agradável, valor ao dinheiro, valor por dinheiro, problema de tensão após a instalação do gêisero, o modelo parece bom, mas cobrado por tubos de conexão., Muito bom gêiser. Vale cada centavo., Serviço rápido")</f>
        <v>Vale dinheiro, médio, Morden Geyser, muito agradável, valor ao dinheiro, valor por dinheiro, problema de tensão após a instalação do gêisero, o modelo parece bom, mas cobrado por tubos de conexão., Muito bom gêiser. Vale cada centavo., Serviço rápido</v>
      </c>
      <c r="E1355" s="29" t="str">
        <f>IFERROR(__xludf.DUMMYFUNCTION("GOOGLETRANSLATE(C1355, ""en"", ""pt-br"")"),"Estou realmente satisfeito com esse gêiseador, estou usando esse gêiseador para todo o meu propósito em casa, dou a ele classificação média. Não é ruim, mas bom., Eficiente, valor para o dinheiro, o produto é bom e a experiência foi boa. Após a instalação"&amp;" do gêisero Para 15ltrs. Estamos enfrentando o problema de tensão que ocorreu algumas vezes e foi reparado instantaneamente. Alguém pode me ajudar a corrigir esse problema permanentemente em relação a um problema de tensão devido ao GEYSER, o técnico cobr"&amp;"ou os tubos de conexão. Ele disse - os tubos de conexão não virão com esse modelo 10L, eficiente em termos de energia e fácil de instalar. Atinge Max Temp em cerca de 25 minutos da temperatura ambiente. Valor para dinheiro. O serviço de compra do post é m"&amp;"uito bom. Eletriceric da empresa o instalou muito no dia seguinte após a entrega., Instalação muito rápida.")</f>
        <v>Estou realmente satisfeito com esse gêiseador, estou usando esse gêiseador para todo o meu propósito em casa, dou a ele classificação média. Não é ruim, mas bom., Eficiente, valor para o dinheiro, o produto é bom e a experiência foi boa. Após a instalação do gêisero Para 15ltrs. Estamos enfrentando o problema de tensão que ocorreu algumas vezes e foi reparado instantaneamente. Alguém pode me ajudar a corrigir esse problema permanentemente em relação a um problema de tensão devido ao GEYSER, o técnico cobrou os tubos de conexão. Ele disse - os tubos de conexão não virão com esse modelo 10L, eficiente em termos de energia e fácil de instalar. Atinge Max Temp em cerca de 25 minutos da temperatura ambiente. Valor para dinheiro. O serviço de compra do post é muito bom. Eletriceric da empresa o instalou muito no dia seguinte após a entrega., Instalação muito rápida.</v>
      </c>
    </row>
    <row r="1356">
      <c r="A1356" s="9" t="s">
        <v>5502</v>
      </c>
      <c r="B1356" s="29" t="str">
        <f>VLOOKUP(dados!A1356, reviews!A:G, 5, FALSE)</f>
        <v>Very nice,Efficient but little costly.,Good product but disappointing after sales service,After 30 days review ⭐⭐⭐⭐⭐,Good Product, Expensive Installation,Good,Adequately quiet, cooling is good, features are more than sufficient.,Nice and quick cooling .</v>
      </c>
      <c r="C1356" s="29" t="str">
        <f>VLOOKUP(dados!A1356, reviews!A:G, 6, FALSE)</f>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v>
      </c>
      <c r="D1356" s="29" t="str">
        <f>IFERROR(__xludf.DUMMYFUNCTION("GOOGLETRANSLATE(B1356, ""en"", ""pt-br"")"),"Muito agradável, eficiente, mas pouco caro., Bom produto, mas decepcionante serviço pós -venda, após 30 dias de revisão ⭐⭐⭐⭐⭐, bom produto, instalação cara, boa, adequadamente silenciosa, o resfriamento é bom, os recursos são mais do que suficientes., Nic"&amp;"e e refrigeração rápida.")</f>
        <v>Muito agradável, eficiente, mas pouco caro., Bom produto, mas decepcionante serviço pós -venda, após 30 dias de revisão ⭐⭐⭐⭐⭐, bom produto, instalação cara, boa, adequadamente silenciosa, o resfriamento é bom, os recursos são mais do que suficientes., Nice e refrigeração rápida.</v>
      </c>
      <c r="E1356" s="29" t="str">
        <f>IFERROR(__xludf.DUMMYFUNCTION("GOOGLETRANSLATE(C1356, ""en"", ""pt-br"")"),"Muito bom, a eficiência é boa, o custo é um pouco mais comparado aos seus concorrentes. A qualidade do produto é boa, mas o suporte pós -vendas do Centro de Serviços Locais da LG é decepcionante, não a interpretar mal nas taxas de instalação. Você terá um"&amp;"a surpresa com discrepâncias nas taxas de instalação. Certifique -se de verificar com a equipe de serviço de instalação LG antes da mão. Custo + outros = 2651.Le, o fio de cobre estava faltando e a pessoa da instalação da LG disse que eu preciso entrar em"&amp;" contato com a Amazon e eles reembolsarão, liguei para o Amazon Customer Care e eles disseram que reembolsarão até 3000, o fio me custou cerca de 3300 .Amazon reembolso está na forma de saldo salarial da Amazon, então eu acabei pagando dinheiro como abaix"&amp;"o ao LG InstalaçãoInstalação Custo - 2651 Wire Custo - 3300Total - 5951AMAZON deve analisar por que os fios de cobre estão ausentes nos pacotes, parece ser um problema regular Como os caras da instalação estavam cientes disso antes mesmo de abrir o pacote"&amp;", é um problema não desconhecido e dor de cabeça para a compra de clientes da Amazon., Bom, barulhento no modo de ventilador de velocidade, mas silencioso o suficiente na velocidade média a baixa. O resfriamento é bom e os recursos são mais do que suficie"&amp;"ntes para uso normal. A exibição da temperatura ambiente é útil. O controle remoto é bom o suficiente. No geral, sem queixas., Tudo é bom e bom. Eu amo isso.")</f>
        <v>Muito bom, a eficiência é boa, o custo é um pouco mais comparado aos seus concorrentes. A qualidade do produto é boa, mas o suporte pós -vendas do Centro de Serviços Locais da LG é decepcionante, não a interpretar mal nas taxas de instalação. Você terá uma surpresa com discrepâncias nas taxas de instalação. Certifique -se de verificar com a equipe de serviço de instalação LG antes da mão. Custo + outros = 2651.Le, o fio de cobre estava faltando e a pessoa da instalação da LG disse que eu preciso entrar em contato com a Amazon e eles reembolsarão, liguei para o Amazon Customer Care e eles disseram que reembolsarão até 3000, o fio me custou cerca de 3300 .Amazon reembolso está na forma de saldo salarial da Amazon, então eu acabei pagando dinheiro como abaixo ao LG InstalaçãoInstalação Custo - 2651 Wire Custo - 3300Total - 5951AMAZON deve analisar por que os fios de cobre estão ausentes nos pacotes, parece ser um problema regular Como os caras da instalação estavam cientes disso antes mesmo de abrir o pacote, é um problema não desconhecido e dor de cabeça para a compra de clientes da Amazon., Bom, barulhento no modo de ventilador de velocidade, mas silencioso o suficiente na velocidade média a baixa. O resfriamento é bom e os recursos são mais do que suficientes para uso normal. A exibição da temperatura ambiente é útil. O controle remoto é bom o suficiente. No geral, sem queixas., Tudo é bom e bom. Eu amo isso.</v>
      </c>
    </row>
    <row r="1357">
      <c r="A1357" s="9" t="s">
        <v>5509</v>
      </c>
      <c r="B1357" s="29" t="str">
        <f>VLOOKUP(dados!A1357, reviews!A:G, 5, FALSE)</f>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v>
      </c>
      <c r="C1357" s="29" t="str">
        <f>VLOOKUP(dados!A1357, reviews!A:G, 6, FALSE)</f>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v>
      </c>
      <c r="D1357" s="29" t="str">
        <f>IFERROR(__xludf.DUMMYFUNCTION("GOOGLETRANSLATE(B1357, ""en"", ""pt-br"")"),"Pacote de dois, mas apenas um compatível, usando o produto regularmente, o preço é muito alto., Pobre qualidade, bom e bom produto, mas a durabilidade diminuiu durante o período de tempo., Ótima entrega rápida. Novo produto e custo muito razoável, bom pro"&amp;"duto da Eureka Forbes ... Pior empacotamento externo da entrega da Amazon")</f>
        <v>Pacote de dois, mas apenas um compatível, usando o produto regularmente, o preço é muito alto., Pobre qualidade, bom e bom produto, mas a durabilidade diminuiu durante o período de tempo., Ótima entrega rápida. Novo produto e custo muito razoável, bom produto da Eureka Forbes ... Pior empacotamento externo da entrega da Amazon</v>
      </c>
      <c r="E1357" s="29" t="str">
        <f>IFERROR(__xludf.DUMMYFUNCTION("GOOGLETRANSLATE(C1357, ""en"", ""pt-br"")"),"Embora eu tenha comprado um pacote de dois, depois de ver as fotos e o modelo de verificação, recebi apenas um compatível com o meu aquasure, o outro é diferente e não é compatível com minha unidade. Então, essencialmente, meu dinheiro para o outro é desp"&amp;"erdiçado porque a janela de retorno terminou., Usando o produto regularmente, fácil de instalar. Mas, não está disponível lá. É por isso que escolhemos comprá -lo on -line. Mas é duplicado e muito caro. Portanto, não satisfeito. O procedimento de montagem"&amp;", mas uma vez que você o fizer, a-okay e super fácil. Importante: me dura mais de três meses, mas eu recomendo alterá-lo depois que você acha que o fluxo de água diminuiu muito, ou você acha que o gosto da água Engraçado. 30 minutos você terá vários litro"&amp;"s de água para beber. Além disso, a principal coisa sobre isso é que é livre de produtos químicos! - Também filtra vírus! (Dê uma olhada na recomendação de quem. Se você dobrar um pano dez vezes e despeje água sobre ele, ele poderá filtrar o vírus da cóle"&amp;"ra) Eu recomendaria isso a todos os proprietários de casas. Desde que recebi essa entrega de cartucho, não precisava correr para a loja., Realmente gostei do produto ..... mas a embalagem da Amazon está realmente me deixou desapontado ... realmente quebra"&amp;"do uma confiança na Amazon ... Os kits de filtro foram completamente separados da caixa porque a caixa externa era muito pequena e fez com que os kits de filtro apertas Embalagem .. pelotleast pack em uma caixa aproximada, não esse tipo de caixa enorme e "&amp;"plana ...... obrigado")</f>
        <v>Embora eu tenha comprado um pacote de dois, depois de ver as fotos e o modelo de verificação, recebi apenas um compatível com o meu aquasure, o outro é diferente e não é compatível com minha unidade. Então, essencialmente, meu dinheiro para o outro é desperdiçado porque a janela de retorno terminou., Usando o produto regularmente, fácil de instalar. Mas, não está disponível lá. É por isso que escolhemos comprá -lo on -line. Mas é duplicado e muito caro. Portanto, não satisfeito. O procedimento de montagem, mas uma vez que você o fizer, a-okay e super fácil. Importante: me dura mais de três meses, mas eu recomendo alterá-lo depois que você acha que o fluxo de água diminuiu muito, ou você acha que o gosto da água Engraçado. 30 minutos você terá vários litros de água para beber. Além disso, a principal coisa sobre isso é que é livre de produtos químicos! - Também filtra vírus! (Dê uma olhada na recomendação de quem. Se você dobrar um pano dez vezes e despeje água sobre ele, ele poderá filtrar o vírus da cólera) Eu recomendaria isso a todos os proprietários de casas. Desde que recebi essa entrega de cartucho, não precisava correr para a loja., Realmente gostei do produto ..... mas a embalagem da Amazon está realmente me deixou desapontado ... realmente quebrado uma confiança na Amazon ... Os kits de filtro foram completamente separados da caixa porque a caixa externa era muito pequena e fez com que os kits de filtro apertas Embalagem .. pelotleast pack em uma caixa aproximada, não esse tipo de caixa enorme e plana ...... obrigado</v>
      </c>
    </row>
    <row r="1358">
      <c r="A1358" s="9" t="s">
        <v>5513</v>
      </c>
      <c r="B1358" s="29" t="str">
        <f>VLOOKUP(dados!A1358, reviews!A:G, 5, FALSE)</f>
        <v>It is broken,Could have been a bit better,The first one was not working and the replacement was sent without box with a used piece,Super cool,Great,Product does not work,Product was not too good it only seal normal thin polybag,Good. Works</v>
      </c>
      <c r="C1358" s="29" t="str">
        <f>VLOOKUP(dados!A1358, reviews!A:G, 6, FALSE)</f>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v>
      </c>
      <c r="D1358" s="29" t="str">
        <f>IFERROR(__xludf.DUMMYFUNCTION("GOOGLETRANSLATE(B1358, ""en"", ""pt-br"")"),"Está quebrado, poderia ter sido um pouco melhor, o primeiro não estava funcionando e a substituição foi enviada sem caixa com uma peça usada, super legal, ótima, o produto não funciona, o produto não era muito bom, ele sele apenas um poli bagamento fino n"&amp;"ormal ,Bom. Funciona")</f>
        <v>Está quebrado, poderia ter sido um pouco melhor, o primeiro não estava funcionando e a substituição foi enviada sem caixa com uma peça usada, super legal, ótima, o produto não funciona, o produto não era muito bom, ele sele apenas um poli bagamento fino normal ,Bom. Funciona</v>
      </c>
      <c r="E1358" s="29" t="str">
        <f>IFERROR(__xludf.DUMMYFUNCTION("GOOGLETRANSLATE(C1358, ""en"", ""pt-br"")"),"Está quebrado e não é útil. Altere este produto, o produto é tão ... A qualidade do plástico não é tão boa quanto o preço. Trabalhando e a substituição foi enviada sem caixa com uma peça usada. A bateria tinha água enquanto eu a recebia e até o entregador"&amp;" ficou chocado, este é um produto maravilhoso para usar. Um produto tão pequeno, mas faz maravilhas. E isso também recebeu 2 baterias, ótimo produto e embalagem adorável, eu não gosto do produto que não está funcionando, não satisfeito,")</f>
        <v>Está quebrado e não é útil. Altere este produto, o produto é tão ... A qualidade do plástico não é tão boa quanto o preço. Trabalhando e a substituição foi enviada sem caixa com uma peça usada. A bateria tinha água enquanto eu a recebia e até o entregador ficou chocado, este é um produto maravilhoso para usar. Um produto tão pequeno, mas faz maravilhas. E isso também recebeu 2 baterias, ótimo produto e embalagem adorável, eu não gosto do produto que não está funcionando, não satisfeito,</v>
      </c>
    </row>
    <row r="1359">
      <c r="A1359" s="9" t="s">
        <v>5517</v>
      </c>
      <c r="B1359" s="29" t="str">
        <f>VLOOKUP(dados!A1359, reviews!A:G, 5, FALSE)</f>
        <v>Works well enough,Overall good,Performance,Good For Tea , Coffee and Hot water Only...,Yes it's only coal heater,Na,Very good item..,Good buy</v>
      </c>
      <c r="C1359" s="29" t="str">
        <f>VLOOKUP(dados!A1359, reviews!A:G, 6, FALSE)</f>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product,बहुत ही अच्छा है। मैं तीन टाइम खाना बनाता हूं। सब कुछ अच्छी तरीके से बनता है।,Top stand should be included in the item</v>
      </c>
      <c r="D1359" s="29" t="str">
        <f>IFERROR(__xludf.DUMMYFUNCTION("GOOGLETRANSLATE(B1359, ""en"", ""pt-br"")"),"Funciona bem o suficiente, em geral bom, desempenho, bom para chá, café e água quente ..., sim, é apenas aquecedor de carvão, na, item muito bom .., boa compra")</f>
        <v>Funciona bem o suficiente, em geral bom, desempenho, bom para chá, café e água quente ..., sim, é apenas aquecedor de carvão, na, item muito bom .., boa compra</v>
      </c>
      <c r="E1359" s="29" t="str">
        <f>IFERROR(__xludf.DUMMYFUNCTION("GOOGLETRANSLATE(C1359, ""en"", ""pt-br"")"),"Pequeno e compacto. Literalmente, o tamanho da sua mão. Trizi duas xícaras de água para 75 ° C (temperatura quente do café) em alguns minutos. Great para o ávido mochileiro, não o melhor, mas ok com preço. É pequeno, então é preciso apenas menos espaço. P"&amp;"arece bom., É preciso repetido auto swich de e em sessões para cozinhar Maggie., Na verdade, eu o comprei para fins de viagem pelo menos posso obter água morna e posso fazer café preto a qualquer lugar a qualquer momento ... esse objetivo de obter Resolva"&amp;" ... mas não é utilizável ferver ovos e outros propósitos, como arroz de fogão etc., você não pode cozinhar o consumo de corrente de ferver, será alto, bom um produto, बहुत अच अच्छा है। मैं तीन टाइम खाना बनाता हूं। सब अच अच्छी तरीके से बनता है।, o suporte"&amp;" superior deve ser incluído no item")</f>
        <v>Pequeno e compacto. Literalmente, o tamanho da sua mão. Trizi duas xícaras de água para 75 ° C (temperatura quente do café) em alguns minutos. Great para o ávido mochileiro, não o melhor, mas ok com preço. É pequeno, então é preciso apenas menos espaço. Parece bom., É preciso repetido auto swich de e em sessões para cozinhar Maggie., Na verdade, eu o comprei para fins de viagem pelo menos posso obter água morna e posso fazer café preto a qualquer lugar a qualquer momento ... esse objetivo de obter Resolva ... mas não é utilizável ferver ovos e outros propósitos, como arroz de fogão etc., você não pode cozinhar o consumo de corrente de ferver, será alto, bom um produto, बहुत अच अच्छा है। मैं तीन टाइम खाना बनाता हूं। सब अच अच्छी तरीके से बनता है।, o suporte superior deve ser incluído no item</v>
      </c>
    </row>
    <row r="1360">
      <c r="A1360" s="9" t="s">
        <v>5521</v>
      </c>
      <c r="B1360" s="29" t="str">
        <f>VLOOKUP(dados!A1360, reviews!A:G, 5, FALSE)</f>
        <v>Hope it will last long,Superb product,This is new version, with safety locks.,Original and Good,One of the Best you can expect,Sujata chutney jar,Quality,Original Product at reasonable price</v>
      </c>
      <c r="C1360" s="29" t="str">
        <f>VLOOKUP(dados!A1360, reviews!A:G, 6, FALSE)</f>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Good,It’s super product in every aspect 👍,Its a genuine product you can ho for it 👍🏻,Outstanding product,Original Sujata jar.</v>
      </c>
      <c r="D1360" s="29" t="str">
        <f>IFERROR(__xludf.DUMMYFUNCTION("GOOGLETRANSLATE(B1360, ""en"", ""pt-br"")"),"Espero que durar um produto longo e excelente, esta é uma nova versão, com bloqueios de segurança., Original e bom, um dos melhores que você pode esperar, o jarro de chutney sujata, qualidade, produto original a um preço razoável")</f>
        <v>Espero que durar um produto longo e excelente, esta é uma nova versão, com bloqueios de segurança., Original e bom, um dos melhores que você pode esperar, o jarro de chutney sujata, qualidade, produto original a um preço razoável</v>
      </c>
      <c r="E1360" s="29" t="str">
        <f>IFERROR(__xludf.DUMMYFUNCTION("GOOGLETRANSLATE(C1360, ""en"", ""pt-br"")"),"O que eu recebi com o moedor de misturador durou apenas 8-9 meses, portanto, eu tive que comprar um novo. Vá em frente se quiser o jarro de chutney, como o melhor., Trabalhou perfeitamente com o nosso sujata mixex (PowerMatic e Dynamix). Observe que tudo "&amp;"isso possui a mesma máquina sujata, mas combinação diferente de acessórios. Nosso frasco Dynamix original estava sem bloqueios de segurança. Este tem um design melhor. Mais alto, e bloqueios, evita derramar. Uma compra muito boa, de fato, para nós., Origi"&amp;"nal e bom, é super produto em todos os aspectos 👍, é um produto genuíno que você pode ser para ele, um produto excelente, sujata jar original .")</f>
        <v>O que eu recebi com o moedor de misturador durou apenas 8-9 meses, portanto, eu tive que comprar um novo. Vá em frente se quiser o jarro de chutney, como o melhor., Trabalhou perfeitamente com o nosso sujata mixex (PowerMatic e Dynamix). Observe que tudo isso possui a mesma máquina sujata, mas combinação diferente de acessórios. Nosso frasco Dynamix original estava sem bloqueios de segurança. Este tem um design melhor. Mais alto, e bloqueios, evita derramar. Uma compra muito boa, de fato, para nós., Original e bom, é super produto em todos os aspectos 👍, é um produto genuíno que você pode ser para ele, um produto excelente, sujata jar original .</v>
      </c>
    </row>
    <row r="1361">
      <c r="A1361" s="9" t="s">
        <v>5526</v>
      </c>
      <c r="B1361" s="29" t="str">
        <f>VLOOKUP(dados!A1361, reviews!A:G, 5, FALSE)</f>
        <v>Broken product,working related issue,Satisfactory,The product needs to be checked for defects  before despatch to customer,Value for Money,Value for Money &amp; effective,Item broken after some time .,Quality is good,</v>
      </c>
      <c r="C1361" s="29" t="str">
        <f>VLOOKUP(dados!A1361, reviews!A:G, 6, FALSE)</f>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v>
      </c>
      <c r="D1361" s="29" t="str">
        <f>IFERROR(__xludf.DUMMYFUNCTION("GOOGLETRANSLATE(B1361, ""en"", ""pt-br"")"),"Produto quebrado, problema relacionado ao trabalho, satisfatório, o produto precisa ser verificado quanto a defeitos antes do despacho para o cliente, valor ao dinheiro, valor ao dinheiro e eficaz, item quebrado após algum tempo. A qualidade é boa,")</f>
        <v>Produto quebrado, problema relacionado ao trabalho, satisfatório, o produto precisa ser verificado quanto a defeitos antes do despacho para o cliente, valor ao dinheiro, valor ao dinheiro e eficaz, item quebrado após algum tempo. A qualidade é boa,</v>
      </c>
      <c r="E1361" s="29" t="str">
        <f>IFERROR(__xludf.DUMMYFUNCTION("GOOGLETRANSLATE(C1361, ""en"", ""pt-br"")"),", Após 15 dias de UTS 2, os tubos não funcionam ... desperdício de dinheiro, fundem -se cedo, o item é bom, leve e bom de usar. O único problema é o acabamento bruto. A grelha está saindo de lados. A superfície do refletor está abalada e parece que pode q"&amp;"uebrar com o calor. Solicitei a substituição, mas o e -mail enviado para mim diz que você me reembolsará o dinheiro depois de receber o item. Este não era o arranjo. Por favor, substitua o item por um livre de defeitos. Em condições frias de colinas em Ut"&amp;"tarakhand, eu gostaria de usar este item. Por favor, dê suas opiniões sobre o meu argumento para que eu esteja preparado para receber um item gratuito de defeito e eu devolver este., Corpo elegante e a cor e apenas o produto de três hastes com garantia le"&amp;"ve de dois anos e um belo suporte e pode ser opção girada e muito boa nesse intervalo. Trabalhando com eficiência e dando uma boa temperatura ao meu quarto. Um dos meus amigos usando este produto nos últimos 5 anos sem nenhum problema. Bom ponto é que ele"&amp;" não dá cheiro, pois outro soprador dá. Uma sugestão - aumente o comprimento do cabo de alimentação em 9 polegadas para que possamos usar qualquer lugar. Call, foi muito útil nos invernos recordes este ano. Você tem até 3 níveis de aquecimento, essa é a m"&amp;"elhor parte. A única coisa é que a luz fica muito brilhante para machucar seus olhos, mas esse é o problema com todo esse aquecedor.")</f>
        <v>, Após 15 dias de UTS 2, os tubos não funcionam ... desperdício de dinheiro, fundem -se cedo, o item é bom, leve e bom de usar. O único problema é o acabamento bruto. A grelha está saindo de lados. A superfície do refletor está abalada e parece que pode quebrar com o calor. Solicitei a substituição, mas o e -mail enviado para mim diz que você me reembolsará o dinheiro depois de receber o item. Este não era o arranjo. Por favor, substitua o item por um livre de defeitos. Em condições frias de colinas em Uttarakhand, eu gostaria de usar este item. Por favor, dê suas opiniões sobre o meu argumento para que eu esteja preparado para receber um item gratuito de defeito e eu devolver este., Corpo elegante e a cor e apenas o produto de três hastes com garantia leve de dois anos e um belo suporte e pode ser opção girada e muito boa nesse intervalo. Trabalhando com eficiência e dando uma boa temperatura ao meu quarto. Um dos meus amigos usando este produto nos últimos 5 anos sem nenhum problema. Bom ponto é que ele não dá cheiro, pois outro soprador dá. Uma sugestão - aumente o comprimento do cabo de alimentação em 9 polegadas para que possamos usar qualquer lugar. Call, foi muito útil nos invernos recordes este ano. Você tem até 3 níveis de aquecimento, essa é a melhor parte. A única coisa é que a luz fica muito brilhante para machucar seus olhos, mas esse é o problema com todo esse aquecedor.</v>
      </c>
    </row>
    <row r="1362">
      <c r="A1362" s="9" t="s">
        <v>5530</v>
      </c>
      <c r="B1362" s="29" t="str">
        <f>VLOOKUP(dados!A1362, reviews!A:G, 5, FALSE)</f>
        <v>Enough only for 10* 10 room as the outlet is small,The product is good,Looks like a used product which is refurbished and the wheels provided with the the heater are old.,Helpful,Not radiating much heat even though it is working.,Good quality,Excellent product to have,No use</v>
      </c>
      <c r="C1362" s="29" t="str">
        <f>VLOOKUP(dados!A1362, reviews!A:G, 6, FALSE)</f>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v>
      </c>
      <c r="D1362" s="29" t="str">
        <f>IFERROR(__xludf.DUMMYFUNCTION("GOOGLETRANSLATE(B1362, ""en"", ""pt-br"")"),"O suficiente apenas para 10* 10 quartos, pois a saída é pequena, o produto é bom, parece um produto usado que é reformado e as rodas fornecidas com o aquecedor são antigas., É útil, não irradiando muito calor, mesmo que esteja funcionando. , Boa qualidade"&amp;" e excelente produto, sem uso")</f>
        <v>O suficiente apenas para 10* 10 quartos, pois a saída é pequena, o produto é bom, parece um produto usado que é reformado e as rodas fornecidas com o aquecedor são antigas., É útil, não irradiando muito calor, mesmo que esteja funcionando. , Boa qualidade e excelente produto, sem uso</v>
      </c>
      <c r="E1362" s="29" t="str">
        <f>IFERROR(__xludf.DUMMYFUNCTION("GOOGLETRANSLATE(C1362, ""en"", ""pt-br"")"),"Pensei que seria suficiente aquecer 2 quartos e passagem, mas o ventilador de aquecimento é tão pequeno que até 10*10 aquecimento da sala levou 3 horas para aquecer. Eles têm o BTC, mas não ajuda a aquecer rapidamente, é um bom produto e, neste mês, compr"&amp;"ei 3 peças. O último parecia um aquecedor usado e reformado. As rodas fornecidas com o aquecedor são antigas e desgastadas. Eles não giram suavemente e há dificuldade em mover o aquecedor., Um produto de qualidade que o manterá aquecido :), não aquecendo "&amp;"bem. Funciona, mas a radiação do calor é muito baixa. Eu tenho outros aquecedores de radiador, como Havells, Vênus, que ouvem muito mais para o mesmo consumo de energia. Não recomendará comprar isso. Surpreso com essa marca como Kenstar é geralmente uma b"&amp;"oa marca., Usada por 1 temporada. Boa qualidade. A única questão foi a umidade da sala com longo uso&gt; 4-5 horas de energia contínua., Gostei, muito bom em operar, fácil de usar, não obter calor, mantido 1 hora, mas sem sorte, desperdice isso ..")</f>
        <v>Pensei que seria suficiente aquecer 2 quartos e passagem, mas o ventilador de aquecimento é tão pequeno que até 10*10 aquecimento da sala levou 3 horas para aquecer. Eles têm o BTC, mas não ajuda a aquecer rapidamente, é um bom produto e, neste mês, comprei 3 peças. O último parecia um aquecedor usado e reformado. As rodas fornecidas com o aquecedor são antigas e desgastadas. Eles não giram suavemente e há dificuldade em mover o aquecedor., Um produto de qualidade que o manterá aquecido :), não aquecendo bem. Funciona, mas a radiação do calor é muito baixa. Eu tenho outros aquecedores de radiador, como Havells, Vênus, que ouvem muito mais para o mesmo consumo de energia. Não recomendará comprar isso. Surpreso com essa marca como Kenstar é geralmente uma boa marca., Usada por 1 temporada. Boa qualidade. A única questão foi a umidade da sala com longo uso&gt; 4-5 horas de energia contínua., Gostei, muito bom em operar, fácil de usar, não obter calor, mantido 1 hora, mas sem sorte, desperdice isso ..</v>
      </c>
    </row>
    <row r="1363">
      <c r="A1363" s="9" t="s">
        <v>5534</v>
      </c>
      <c r="B1363" s="29" t="str">
        <f>VLOOKUP(dados!A1363, reviews!A:G, 5, FALSE)</f>
        <v>A must buy product for every house specially in North India.,Good,Amazing product, it's worth buying,Temperature of heating,Either HOT or COLD, not mixed water.,Worthless item,Great product,Purpose is not fully served</v>
      </c>
      <c r="C1363" s="29" t="str">
        <f>VLOOKUP(dados!A1363, reviews!A:G, 6, FALSE)</f>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v>
      </c>
      <c r="D1363" s="29" t="str">
        <f>IFERROR(__xludf.DUMMYFUNCTION("GOOGLETRANSLATE(B1363, ""en"", ""pt-br"")"),"Um produto obrigatório para todas as casas, especialmente no norte da Índia., Produto bom e incrível, vale a pena comprar, temperatura de aquecimento, quente ou fria, não mista.")</f>
        <v>Um produto obrigatório para todas as casas, especialmente no norte da Índia., Produto bom e incrível, vale a pena comprar, temperatura de aquecimento, quente ou fria, não mista.</v>
      </c>
      <c r="E1363" s="29" t="str">
        <f>IFERROR(__xludf.DUMMYFUNCTION("GOOGLETRANSLATE(C1363, ""en"", ""pt-br"")"),"Eu mesmo instalei na minha cozinha e é muito útil., Bom, aquecimento da água. Mas a água fica tão quente que você não pode colocar sua mão nela, se misturar a água fria ou corrente com a água quente, será bom. Ou a temperatura da água pode ser ajustada, s"&amp;"erá ótima., O produto é muito bom. Fácil de instalar e fácil de usar. O jato de spray de água também é bom com a saída de movebale. temperatura, sempre a água está mais quente que você não pode colocar sua mão e, se você derrubar o botão, ela se esfria im"&amp;"ediatamente, por isso está quente ou frio, não ambos. Mesmo que você mova levemente o botão em direção ao Lado quente, dentro de 3 segundos, a temperatura sobe para 60 graus centígrados a partir de 30 graus centígrados. Esperando que um reostato controlas"&amp;"se a temperatura. Não capaz de usar com o objetivo necessário para a cozinha., Pls não compram esses itens. A água não fica quente. Você reduz ou aumenta a pressão da água. É a maior fraqueza que não há opção para aumentar a temperatura ou o último preço "&amp;"vale muito menos., Produto maravilhoso neste segmento e produto de valor agregado para casa durante o inverno, a água fica extremamente quente quando administrada no modo quente e rapidamente fica frio Quando a opção de água fria é trocada. ou muito frio")</f>
        <v>Eu mesmo instalei na minha cozinha e é muito útil., Bom, aquecimento da água. Mas a água fica tão quente que você não pode colocar sua mão nela, se misturar a água fria ou corrente com a água quente, será bom. Ou a temperatura da água pode ser ajustada, será ótima., O produto é muito bom. Fácil de instalar e fácil de usar. O jato de spray de água também é bom com a saída de movebale. temperatura, sempre a água está mais quente que você não pode colocar sua mão e, se você derrubar o botão, ela se esfria imediatamente, por isso está quente ou frio, não ambos. Mesmo que você mova levemente o botão em direção ao Lado quente, dentro de 3 segundos, a temperatura sobe para 60 graus centígrados a partir de 30 graus centígrados. Esperando que um reostato controlasse a temperatura. Não capaz de usar com o objetivo necessário para a cozinha., Pls não compram esses itens. A água não fica quente. Você reduz ou aumenta a pressão da água. É a maior fraqueza que não há opção para aumentar a temperatura ou o último preço vale muito menos., Produto maravilhoso neste segmento e produto de valor agregado para casa durante o inverno, a água fica extremamente quente quando administrada no modo quente e rapidamente fica frio Quando a opção de água fria é trocada. ou muito frio</v>
      </c>
    </row>
    <row r="1364">
      <c r="A1364" s="9" t="s">
        <v>5538</v>
      </c>
      <c r="B1364" s="29" t="str">
        <f>VLOOKUP(dados!A1364, reviews!A:G, 5, FALSE)</f>
        <v>It’s amazing but I think waffle should be more crisp but it’s Ok.,Value for Money,Good product,Go for it!!,Takes a while to cook,Not giving it 5 stars as there was no measuring cup as promised.,Value for money,very good however size is small</v>
      </c>
      <c r="C1364" s="29" t="str">
        <f>VLOOKUP(dados!A1364, reviews!A:G, 6, FALSE)</f>
        <v>It’s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v>
      </c>
      <c r="D1364" s="29" t="str">
        <f>IFERROR(__xludf.DUMMYFUNCTION("GOOGLETRANSLATE(B1364, ""en"", ""pt-br"")"),"É incrível, mas acho que o waffle deve ser mais nítido, mas está tudo bem., Valor para o dinheiro, bom produto, vá em frente !!, leva um tempo para cozinhar, sem dar 5 estrelas, pois não havia um copo de medição como prometido., Valor por dinheiro, muito "&amp;"bom, no entanto, o tamanho é pequeno")</f>
        <v>É incrível, mas acho que o waffle deve ser mais nítido, mas está tudo bem., Valor para o dinheiro, bom produto, vá em frente !!, leva um tempo para cozinhar, sem dar 5 estrelas, pois não havia um copo de medição como prometido., Valor por dinheiro, muito bom, no entanto, o tamanho é pequeno</v>
      </c>
      <c r="E1364" s="29" t="str">
        <f>IFERROR(__xludf.DUMMYFUNCTION("GOOGLETRANSLATE(C1364, ""en"", ""pt-br"")"),"É fácil de usar e um produto incrível da AmazOnthank You!, Waffles saiu agradável e crocante. O produto fez um ótimo trabalho. Em vez de gastar dólares altos em marcas como Borosil ou Prestige, eu recomendaria esta máquina de waffle. É uma relação custo /"&amp;" benefício. Para o fabricante de waffles único, isso é o melhor., Vale a pena comprar o produto se você gosta de fazer waffles no café da manhã ou dar uma nova textura aos sanduíches que você faz., Tornou -se uma parte diária da nossa cozinha, é fofo, fác"&amp;"il de usar E limpo. Pode fazer uma variedade de waffles, doce ou salgado. Eu gosto de cozinhar cada waffle duas vezes até ficar mais crocante. Absolutamente vá em frente. Faz um ótimo presente também!, Conveniente, não dando 5 estrelas, pois não havia cop"&amp;"o de medição, conforme prometido. Caso contrário, fiz um waffle muito fofo e muito fofo., Estou na minha lista de desejos há muito tempo. Depois de ver o vídeo Shivesh, realmente promoção. Decidi comprar para minha filha em seu dia. Muito fácil de usar N "&amp;"para limpar também. Mas leva tempo para assar, mas talvez seja assim com qualquer fabricante de waffles. Não sei. Mas para iniciantes, é uma boa compra., Muito bom, no entanto, o tamanho é pequeno")</f>
        <v>É fácil de usar e um produto incrível da AmazOnthank You!, Waffles saiu agradável e crocante. O produto fez um ótimo trabalho. Em vez de gastar dólares altos em marcas como Borosil ou Prestige, eu recomendaria esta máquina de waffle. É uma relação custo / benefício. Para o fabricante de waffles único, isso é o melhor., Vale a pena comprar o produto se você gosta de fazer waffles no café da manhã ou dar uma nova textura aos sanduíches que você faz., Tornou -se uma parte diária da nossa cozinha, é fofo, fácil de usar E limpo. Pode fazer uma variedade de waffles, doce ou salgado. Eu gosto de cozinhar cada waffle duas vezes até ficar mais crocante. Absolutamente vá em frente. Faz um ótimo presente também!, Conveniente, não dando 5 estrelas, pois não havia copo de medição, conforme prometido. Caso contrário, fiz um waffle muito fofo e muito fofo., Estou na minha lista de desejos há muito tempo. Depois de ver o vídeo Shivesh, realmente promoção. Decidi comprar para minha filha em seu dia. Muito fácil de usar N para limpar também. Mas leva tempo para assar, mas talvez seja assim com qualquer fabricante de waffles. Não sei. Mas para iniciantes, é uma boa compra., Muito bom, no entanto, o tamanho é pequeno</v>
      </c>
    </row>
    <row r="1365">
      <c r="A1365" s="9" t="s">
        <v>5544</v>
      </c>
      <c r="B1365" s="29" t="str">
        <f>VLOOKUP(dados!A1365, reviews!A:G, 5, FALSE)</f>
        <v>Best performance, Best in such that cost..,Nice,Not good,Nise product best use into winter ❄️❄️,Deamig,Durability,The air blow output is good</v>
      </c>
      <c r="C1365" s="29" t="str">
        <f>VLOOKUP(dados!A1365, reviews!A:G, 6, FALSE)</f>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v>
      </c>
      <c r="D1365" s="29" t="str">
        <f>IFERROR(__xludf.DUMMYFUNCTION("GOOGLETRANSLATE(B1365, ""en"", ""pt-br"")"),"Melhor desempenho, melhor nesse custo .., bom, não bom, Nise Product Melhor uso no inverno ❄️❄️, Deamig, durabilidade, a saída de sopro de ar é boa")</f>
        <v>Melhor desempenho, melhor nesse custo .., bom, não bom, Nise Product Melhor uso no inverno ❄️❄️, Deamig, durabilidade, a saída de sopro de ar é boa</v>
      </c>
      <c r="E1365" s="29" t="str">
        <f>IFERROR(__xludf.DUMMYFUNCTION("GOOGLETRANSLATE(C1365, ""en"", ""pt-br"")"),"Melhor desempenho, eu compro duas vezes ... realmente melhor para a sala média ..., sem plugue de energia entregue sem esperar. Produto muito bom nesse intervalo. A qualidade é boa e a saída de sopro de ar é melhor.")</f>
        <v>Melhor desempenho, eu compro duas vezes ... realmente melhor para a sala média ..., sem plugue de energia entregue sem esperar. Produto muito bom nesse intervalo. A qualidade é boa e a saída de sopro de ar é melhor.</v>
      </c>
    </row>
    <row r="1366">
      <c r="A1366" s="9" t="s">
        <v>5548</v>
      </c>
      <c r="B1366" s="29" t="str">
        <f>VLOOKUP(dados!A1366, reviews!A:G, 5, FALSE)</f>
        <v>Good product 👍,Perfect for all the stoners out there.,Good product,Nice,This is a nice and helpful product. .,Easy to use,Good,Easy to use machine</v>
      </c>
      <c r="C1366" s="29" t="str">
        <f>VLOOKUP(dados!A1366, reviews!A:G, 6, FALSE)</f>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v>
      </c>
      <c r="D1366" s="29" t="str">
        <f>IFERROR(__xludf.DUMMYFUNCTION("GOOGLETRANSLATE(B1366, ""en"", ""pt-br"")"),"Bom produto 👍, perfeito para todos os chapados por aí., Bom produto, bom, este é um produto agradável e útil. ., Fácil de usar, bom, fácil de usar máquina")</f>
        <v>Bom produto 👍, perfeito para todos os chapados por aí., Bom produto, bom, este é um produto agradável e útil. ., Fácil de usar, bom, fácil de usar máquina</v>
      </c>
      <c r="E1366" s="29" t="str">
        <f>IFERROR(__xludf.DUMMYFUNCTION("GOOGLETRANSLATE(C1366, ""en"", ""pt-br"")"),"Gosto, é um bom investimento sempre ser preciso sobre os gramas em sua compra. Mas é um tamanho pequeno comparativo, por isso não é bom para indivíduos ambiciosos., Boa precisão, mas se alguém quiser uma precisão mais maior, por exemplo. 5,6,10,15 gramas,"&amp;" este produto pode não funcionar para eles, Nice, Ek Bharosemand Aur Nice Product. .., bom, bom, fácil, uselight Weightcomes up com bateria")</f>
        <v>Gosto, é um bom investimento sempre ser preciso sobre os gramas em sua compra. Mas é um tamanho pequeno comparativo, por isso não é bom para indivíduos ambiciosos., Boa precisão, mas se alguém quiser uma precisão mais maior, por exemplo. 5,6,10,15 gramas, este produto pode não funcionar para eles, Nice, Ek Bharosemand Aur Nice Product. .., bom, bom, fácil, uselight Weightcomes up com bateria</v>
      </c>
    </row>
    <row r="1367">
      <c r="A1367" s="9" t="s">
        <v>5552</v>
      </c>
      <c r="B1367" s="29" t="str">
        <f>VLOOKUP(dados!A1367, reviews!A:G, 5, FALSE)</f>
        <v>Ok,Very good product,Broken item riceved,Everything is good but the wire length is too small,ok,Nice,So far so good,Average used</v>
      </c>
      <c r="C1367" s="29" t="str">
        <f>VLOOKUP(dados!A1367, reviews!A:G, 6, FALSE)</f>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v>
      </c>
      <c r="D1367" s="29" t="str">
        <f>IFERROR(__xludf.DUMMYFUNCTION("GOOGLETRANSLATE(B1367, ""en"", ""pt-br"")"),"Ok, produto muito bom, item quebrado com arroz, tudo é bom, mas o comprimento do fio é muito pequeno, ok, bom, até agora, tão bom, usado médio usado")</f>
        <v>Ok, produto muito bom, item quebrado com arroz, tudo é bom, mas o comprimento do fio é muito pequeno, ok, bom, até agora, tão bom, usado médio usado</v>
      </c>
      <c r="E1367" s="29" t="str">
        <f>IFERROR(__xludf.DUMMYFUNCTION("GOOGLETRANSLATE(C1367, ""en"", ""pt-br"")"),"Thik hai, recomendo para você, riturn meu produto está quebrado, eu gosto do produto, mas o fio é muito pequeno, o metal usado é muito fino em espessura, pois era amassado enquanto entregue e o mesmo foi corrigido com as mãos nuas. em comprimento. Mas, no"&amp;" geral, nessa faixa de preço, não é muito esperado., Muito bom, até agora tudo bem. Fica um pouco superaquecido, espero que a base não derreta ou supere aquecida. Usei apenas uma vez quando o desempenho foi extremamente satisfatório. Terá que esperar e ve"&amp;"r, o produto foi bom e uma relação custo / benefício")</f>
        <v>Thik hai, recomendo para você, riturn meu produto está quebrado, eu gosto do produto, mas o fio é muito pequeno, o metal usado é muito fino em espessura, pois era amassado enquanto entregue e o mesmo foi corrigido com as mãos nuas. em comprimento. Mas, no geral, nessa faixa de preço, não é muito esperado., Muito bom, até agora tudo bem. Fica um pouco superaquecido, espero que a base não derreta ou supere aquecida. Usei apenas uma vez quando o desempenho foi extremamente satisfatório. Terá que esperar e ver, o produto foi bom e uma relação custo / benefício</v>
      </c>
    </row>
    <row r="1368">
      <c r="A1368" s="9" t="s">
        <v>5556</v>
      </c>
      <c r="B1368" s="29" t="str">
        <f>VLOOKUP(dados!A1368, reviews!A:G, 5, FALSE)</f>
        <v>Good to go for small family. Indicater and installation issues.,Very nice product,Worth buying,Best gyser,Good,Goodwill,Bit costlier than other products in the market of its kind but quality is also very good.,Working is fine</v>
      </c>
      <c r="C1368" s="29" t="str">
        <f>VLOOKUP(dados!A1368, reviews!A:G, 6, FALSE)</f>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v>
      </c>
      <c r="D1368" s="29" t="str">
        <f>IFERROR(__xludf.DUMMYFUNCTION("GOOGLETRANSLATE(B1368, ""en"", ""pt-br"")"),"É bom ir para uma família pequena. Problemas de indicador e instalação., Produto muito bom, vale a pena comprar, melhor gyser, bom, boa vontade, um pouco mais caro do que outros produtos no mercado desse tipo, mas a qualidade também é muito boa., Trabalha"&amp;"r é bom")</f>
        <v>É bom ir para uma família pequena. Problemas de indicador e instalação., Produto muito bom, vale a pena comprar, melhor gyser, bom, boa vontade, um pouco mais caro do que outros produtos no mercado desse tipo, mas a qualidade também é muito boa., Trabalhar é bom</v>
      </c>
      <c r="E1368" s="29" t="str">
        <f>IFERROR(__xludf.DUMMYFUNCTION("GOOGLETRANSLATE(C1368, ""en"", ""pt-br"")"),"Já se passaram 15 dias de uso deste produto. O aquecimento é rápido. Embora atenda apenas metade do balde (isso é esperado em 3 L). Entrega rápida. Eu li os comentários anteriormente. Então, optei pelo eletricista local para instalar. Eu tive os acessório"&amp;"s do GEYSER anterior, economizei meu dinheiro. Somente o problema que estou enfrentando é um indicador. Existem duas luzes, a luz vermelha não está brilhando desde a compra. O que há com isso, estou confuso. Além disso, é bom ir para uma família de 3-4, m"&amp;"esmo em invernos., É muito útil para obter a água quente instantaneamente, é muito confortável, a água fica quente em pouco tempo., Perfect Best Gyser, não sei sobre energia Economizando o Bec.install agora, mas o desempenho melhor., Bom para uso regular."&amp;" O consumo de energia encontrou pouco mais. Boa opção entre o gêiser instantâneo., Gostei, o produto e o desempenho são muito bons, funcionando bem no último 1 mês, a pressão de fluxo é baixa; portanto, não é possível usar o chuveiro, preciso instalar o m"&amp;"otor de pressão para o chuveiro usando. Em 30 segundos, a água quente chega.")</f>
        <v>Já se passaram 15 dias de uso deste produto. O aquecimento é rápido. Embora atenda apenas metade do balde (isso é esperado em 3 L). Entrega rápida. Eu li os comentários anteriormente. Então, optei pelo eletricista local para instalar. Eu tive os acessórios do GEYSER anterior, economizei meu dinheiro. Somente o problema que estou enfrentando é um indicador. Existem duas luzes, a luz vermelha não está brilhando desde a compra. O que há com isso, estou confuso. Além disso, é bom ir para uma família de 3-4, mesmo em invernos., É muito útil para obter a água quente instantaneamente, é muito confortável, a água fica quente em pouco tempo., Perfect Best Gyser, não sei sobre energia Economizando o Bec.install agora, mas o desempenho melhor., Bom para uso regular. O consumo de energia encontrou pouco mais. Boa opção entre o gêiser instantâneo., Gostei, o produto e o desempenho são muito bons, funcionando bem no último 1 mês, a pressão de fluxo é baixa; portanto, não é possível usar o chuveiro, preciso instalar o motor de pressão para o chuveiro usando. Em 30 segundos, a água quente chega.</v>
      </c>
    </row>
    <row r="1369">
      <c r="A1369" s="9" t="s">
        <v>5560</v>
      </c>
      <c r="B1369" s="29" t="str">
        <f>VLOOKUP(dados!A1369, reviews!A:G, 5, FALSE)</f>
        <v>Poor product,Not working Properly,Average,Nice items,Cord is not enough long,Good,Goog,Everything is fine except cord length</v>
      </c>
      <c r="C1369" s="29" t="str">
        <f>VLOOKUP(dados!A1369, reviews!A:G, 6, FALSE)</f>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v>
      </c>
      <c r="D1369" s="29" t="str">
        <f>IFERROR(__xludf.DUMMYFUNCTION("GOOGLETRANSLATE(B1369, ""en"", ""pt-br"")"),"Produto ruim, não funcionando corretamente, médio, itens agradáveis, cordão não é suficiente, bom, goog, está tudo bem, exceto o comprimento do cordão")</f>
        <v>Produto ruim, não funcionando corretamente, médio, itens agradáveis, cordão não é suficiente, bom, goog, está tudo bem, exceto o comprimento do cordão</v>
      </c>
      <c r="E1369" s="29" t="str">
        <f>IFERROR(__xludf.DUMMYFUNCTION("GOOGLETRANSLATE(C1369, ""en"", ""pt-br"")"),"Este produto de sua empresa está aquecendo 5 litros de água em 15 a 20 minutos, é desperdício de eletricidade e dinheiro., Qualidade muito ruim de arame e haste., O produto é bom, mas a qualidade é um pouco baixa, mas Você não pode esperar um prêmio a ess"&amp;"e custo., muito mais rápido, gud, bom, bom, comprimento do cordão é muito pequeno")</f>
        <v>Este produto de sua empresa está aquecendo 5 litros de água em 15 a 20 minutos, é desperdício de eletricidade e dinheiro., Qualidade muito ruim de arame e haste., O produto é bom, mas a qualidade é um pouco baixa, mas Você não pode esperar um prêmio a esse custo., muito mais rápido, gud, bom, bom, comprimento do cordão é muito pequeno</v>
      </c>
    </row>
    <row r="1370">
      <c r="A1370" s="9" t="s">
        <v>5564</v>
      </c>
      <c r="B1370" s="29" t="str">
        <f>VLOOKUP(dados!A1370, reviews!A:G, 5, FALSE)</f>
        <v>Okay Okay kind of product,Good quality though bit expensive,Easy to use,Quality is good,Good quality product,Just Okay,Very thin steel.,Super</v>
      </c>
      <c r="C1370" s="29" t="str">
        <f>VLOOKUP(dados!A1370, reviews!A:G, 6, FALSE)</f>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v>
      </c>
      <c r="D1370" s="29" t="str">
        <f>IFERROR(__xludf.DUMMYFUNCTION("GOOGLETRANSLATE(B1370, ""en"", ""pt-br"")"),"Ok ok tipo de produto, boa qualidade, embora um pouco caro, fácil de usar, a qualidade é boa, produto de boa qualidade, apenas ok, aço muito fino., Super")</f>
        <v>Ok ok tipo de produto, boa qualidade, embora um pouco caro, fácil de usar, a qualidade é boa, produto de boa qualidade, apenas ok, aço muito fino., Super</v>
      </c>
      <c r="E1370" s="29" t="str">
        <f>IFERROR(__xludf.DUMMYFUNCTION("GOOGLETRANSLATE(C1370, ""en"", ""pt-br"")"),"1. A qualidade do aço poderia ter sido melhor, mas é adequada. O segundo grande problema é que nem o recipiente superior nem a inferior tem uma alça e, portanto, quando você tenta abri -los após 15 minutos, eles ainda estão quentes, dificultando a operaçã"&amp;"o para as crianças. O sabor depende do café que você usa. Utilizamos o pó de café de chennai do sul da Índia, então o aroma é fantástico, mas isso não tem nada a ver com esse produto em particular, porque qualquer café de filtro autêntico terá o melhor ar"&amp;"oma.4. Eu posso devolver o produto com muita facilidade, mas para um produto de custo tão pequeno que isso colocaria o fornecedor em perda devido ao custo do correio de retorno; portanto, mesmo que fosse difícil de usar sem um identificador, não vou Em ve"&amp;"z disso, compre um melhor., Boa qualidade. Fácil de usar e lavar. 369/- é um pouco caro para capacidade de 250 ml. 290-325 Rs. Disponível com o mesmo aço graduado. Literatura muito boa e detalhada com o produto. TX., Meu marido o usou, ele pode cozinhar m"&amp;"uito bem, foi fácil para ele, bom produto, bom produto para comprar se você estiver longe dos estados do sul. A qualidade parece ser boa até agora. Nenhuma mancha incomum ou murcha de esmalte . A qualidade do material está até a marca. Vale a pena se o pr"&amp;"eço estiver abaixo de Rs.200. O tamanho é suficiente para 1 ou 2 xícaras de café., Aço muito fino foi usado para fazer isso., Excelente")</f>
        <v>1. A qualidade do aço poderia ter sido melhor, mas é adequada. O segundo grande problema é que nem o recipiente superior nem a inferior tem uma alça e, portanto, quando você tenta abri -los após 15 minutos, eles ainda estão quentes, dificultando a operação para as crianças. O sabor depende do café que você usa. Utilizamos o pó de café de chennai do sul da Índia, então o aroma é fantástico, mas isso não tem nada a ver com esse produto em particular, porque qualquer café de filtro autêntico terá o melhor aroma.4. Eu posso devolver o produto com muita facilidade, mas para um produto de custo tão pequeno que isso colocaria o fornecedor em perda devido ao custo do correio de retorno; portanto, mesmo que fosse difícil de usar sem um identificador, não vou Em vez disso, compre um melhor., Boa qualidade. Fácil de usar e lavar. 369/- é um pouco caro para capacidade de 250 ml. 290-325 Rs. Disponível com o mesmo aço graduado. Literatura muito boa e detalhada com o produto. TX., Meu marido o usou, ele pode cozinhar muito bem, foi fácil para ele, bom produto, bom produto para comprar se você estiver longe dos estados do sul. A qualidade parece ser boa até agora. Nenhuma mancha incomum ou murcha de esmalte . A qualidade do material está até a marca. Vale a pena se o preço estiver abaixo de Rs.200. O tamanho é suficiente para 1 ou 2 xícaras de café., Aço muito fino foi usado para fazer isso., Excelente</v>
      </c>
    </row>
    <row r="1371">
      <c r="A1371" s="9" t="s">
        <v>5568</v>
      </c>
      <c r="B1371" s="29" t="str">
        <f>VLOOKUP(dados!A1371, reviews!A:G, 5, FALSE)</f>
        <v>Excellent coffee maker,Sturdy quality product!,Good product,Just go for it!,Mokapot's upward filteration is messy,i felt its more of a joy to prepare concoction in this espresso maker,Good product,Espresso quality</v>
      </c>
      <c r="C1371" s="29" t="str">
        <f>VLOOKUP(dados!A1371, reviews!A:G, 6, FALSE)</f>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v>
      </c>
      <c r="D1371" s="29" t="str">
        <f>IFERROR(__xludf.DUMMYFUNCTION("GOOGLETRANSLATE(B1371, ""en"", ""pt-br"")"),"Excelente cafeteira, produto resistente de qualidade!, Bom produto, basta ir em frente!, A filtragem ascendente de Mokapot é confusa, senti que é mais uma alegria preparar a mistura nesta capa de café expresso, bom produto, qualidade do café expresso")</f>
        <v>Excelente cafeteira, produto resistente de qualidade!, Bom produto, basta ir em frente!, A filtragem ascendente de Mokapot é confusa, senti que é mais uma alegria preparar a mistura nesta capa de café expresso, bom produto, qualidade do café expresso</v>
      </c>
      <c r="E1371" s="29" t="str">
        <f>IFERROR(__xludf.DUMMYFUNCTION("GOOGLETRANSLATE(C1371, ""en"", ""pt-br"")"),"A qualidade da cafeteira é excelente uma DM muito facilitada para fazer café e ser servido quente., A cor prateada é muito melhor em comparação com o acabamento em aço inoxidável. Amo meu café feito nisso! Isso deve ser anunciado como adequado para 4 xíca"&amp;"ras não 6., o trabalho é bem e, mesmo depois de colocar diretamente no fogão, não há descoloração. A qualidade do aço é marcada., Eu uso este produto há um tempo e não tenho queixas. Faz café de filtro incrível., Looks and Quality estão a pé de outras mar"&amp;"cas em sua faixa de preço. Em função, esse tipo de design de Mokapot é falho no aspecto de limpeza, incluindo esse modelo em particular, na minha observação. Nele, a água fervente pressionada empurra o café em massa, tornando assim o sabor inferior ao que"&amp;" é fabricado de outra forma quando a água percola pouco a pouco. Em segundo lugar, o recipiente de pó do tipo Portafilter, posicionado logo acima da câmara da caldeira, envia um pouco de café dissolvido de volta à água da caldeira através do tubo de press"&amp;"ão para cima, tornando toda a água restante misturada com o lixo de café. Em terceiro lugar, a malha de vedação do recipiente em pó de café também é sedimentada enquanto filtra a bebida forçada para cima. Então, quando uma pessoa como eu pensa em preparar"&amp;" uma bebida em um mecanismo de Mokapot, o próprio pensamento da situação de desmantelar as câmaras em camadas, separando a junta e depois lavar bem a panela, porque o café está à espreita em todos os lugares para causar Resíduos não higiênicos, amortecem "&amp;"meu desejo de seguir em frente. Não sou debatedor se a idéia é deixar o pote apenas enxaguado e lavado e não o livrar dos resíduos. Tudo isso não é o caso do método de filtragem descendente dos outros tipos de máquinas de café que são absolutamente inútei"&amp;"s. Nenhuma ofensa destinada a nenhum sistema, esta é minha opinião pessoal. Gosto da conveniência de fazer café para 2-3 pessoas de uma só vez. É muito fácil limpá-lo após cada uso. Está livre de ferrugem e fica bonito enquanto mantido no balcão da cozinh"&amp;"a até ociosamente, como e um bom produto, ordenou isso para minha estadia na Índia. Funcionou da maneira que deveria ser, possui arruelas de silicone, limpeza fácil. A qualidade do produto pode ser melhorada. Produto OK. não uau!")</f>
        <v>A qualidade da cafeteira é excelente uma DM muito facilitada para fazer café e ser servido quente., A cor prateada é muito melhor em comparação com o acabamento em aço inoxidável. Amo meu café feito nisso! Isso deve ser anunciado como adequado para 4 xícaras não 6., o trabalho é bem e, mesmo depois de colocar diretamente no fogão, não há descoloração. A qualidade do aço é marcada., Eu uso este produto há um tempo e não tenho queixas. Faz café de filtro incrível., Looks and Quality estão a pé de outras marcas em sua faixa de preço. Em função, esse tipo de design de Mokapot é falho no aspecto de limpeza, incluindo esse modelo em particular, na minha observação. Nele, a água fervente pressionada empurra o café em massa, tornando assim o sabor inferior ao que é fabricado de outra forma quando a água percola pouco a pouco. Em segundo lugar, o recipiente de pó do tipo Portafilter, posicionado logo acima da câmara da caldeira, envia um pouco de café dissolvido de volta à água da caldeira através do tubo de pressão para cima, tornando toda a água restante misturada com o lixo de café. Em terceiro lugar, a malha de vedação do recipiente em pó de café também é sedimentada enquanto filtra a bebida forçada para cima. Então, quando uma pessoa como eu pensa em preparar uma bebida em um mecanismo de Mokapot, o próprio pensamento da situação de desmantelar as câmaras em camadas, separando a junta e depois lavar bem a panela, porque o café está à espreita em todos os lugares para causar Resíduos não higiênicos, amortecem meu desejo de seguir em frente. Não sou debatedor se a idéia é deixar o pote apenas enxaguado e lavado e não o livrar dos resíduos. Tudo isso não é o caso do método de filtragem descendente dos outros tipos de máquinas de café que são absolutamente inúteis. Nenhuma ofensa destinada a nenhum sistema, esta é minha opinião pessoal. Gosto da conveniência de fazer café para 2-3 pessoas de uma só vez. É muito fácil limpá-lo após cada uso. Está livre de ferrugem e fica bonito enquanto mantido no balcão da cozinha até ociosamente, como e um bom produto, ordenou isso para minha estadia na Índia. Funcionou da maneira que deveria ser, possui arruelas de silicone, limpeza fácil. A qualidade do produto pode ser melhorada. Produto OK. não uau!</v>
      </c>
    </row>
    <row r="1372">
      <c r="A1372" s="9" t="s">
        <v>5574</v>
      </c>
      <c r="B1372" s="29" t="str">
        <f>VLOOKUP(dados!A1372, reviews!A:G, 5, FALSE)</f>
        <v>👍,Good product,nice product,Satisfied,Value of money,Good filter,Excellent product,Overall this is a good product.</v>
      </c>
      <c r="C1372" s="29" t="str">
        <f>VLOOKUP(dados!A1372, reviews!A:G, 6, FALSE)</f>
        <v>👍,Good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v>
      </c>
      <c r="D1372" s="29" t="str">
        <f>IFERROR(__xludf.DUMMYFUNCTION("GOOGLETRANSLATE(B1372, ""en"", ""pt-br"")"),"👍, bom produto, bom produto, satisfeito, valor de dinheiro, bom filtro, excelente produto, no geral, este é um bom produto.")</f>
        <v>👍, bom produto, bom produto, satisfeito, valor de dinheiro, bom filtro, excelente produto, no geral, este é um bom produto.</v>
      </c>
      <c r="E1372" s="29" t="str">
        <f>IFERROR(__xludf.DUMMYFUNCTION("GOOGLETRANSLATE(C1372, ""en"", ""pt-br"")"),"👍, boa qualidade. Fácil de usar., Nice, valor ao dinheiro, valor ao dinheiro, bom filtro, estou usando para Kent Ro, é um excelente produto a esse preço. Eu costumava chamar o RO Service Guy por mudar de SF. Os caras cobraram NE 250/- por vela e 250/- po"&amp;"r taxa de serviço. Então, no total, eu estava pagando 500/- por alterar o SF. Este Konvio SF recebi 125/- por peça e obtive uma ferramenta de mudança de SF do mercado local. Agora, em 1/4 do preço, estou abke em alterar o filtro sozinho e, o mais importan"&amp;"te, o resultado é o mesmo. A qualidade da água é a mesma de antes, portanto, nenhum rebaixamento da qualidade da água. Eu realmente recomendo este produto., A qualidade do produto é boa e fácil de instalar")</f>
        <v>👍, boa qualidade. Fácil de usar., Nice, valor ao dinheiro, valor ao dinheiro, bom filtro, estou usando para Kent Ro, é um excelente produto a esse preço. Eu costumava chamar o RO Service Guy por mudar de SF. Os caras cobraram NE 250/- por vela e 250/- por taxa de serviço. Então, no total, eu estava pagando 500/- por alterar o SF. Este Konvio SF recebi 125/- por peça e obtive uma ferramenta de mudança de SF do mercado local. Agora, em 1/4 do preço, estou abke em alterar o filtro sozinho e, o mais importante, o resultado é o mesmo. A qualidade da água é a mesma de antes, portanto, nenhum rebaixamento da qualidade da água. Eu realmente recomendo este produto., A qualidade do produto é boa e fácil de instalar</v>
      </c>
    </row>
    <row r="1373">
      <c r="A1373" s="9" t="s">
        <v>5578</v>
      </c>
      <c r="B1373" s="29" t="str">
        <f>VLOOKUP(dados!A1373, reviews!A:G, 5, FALSE)</f>
        <v>Nice iron . Heating earlist,Value for money,Nice product,सुपर,Good,Superb,Excellent product by Havells,Good</v>
      </c>
      <c r="C1373" s="29" t="str">
        <f>VLOOKUP(dados!A1373, reviews!A:G, 6, FALSE)</f>
        <v>Nice iorn in this price every one should take this,The product is good as usual. But it can helps to iron the lite fabrics. If you increase the heat the fabric is getting damaged easily. It is used to iron the shirts, jeans, cotton sarees,cotton pants.,Product is good and easy to use,सुपर,Good,Awesome product everyone must buy highly recommend...I loved it ....,Excellent product by Havells.,Good</v>
      </c>
      <c r="D1373" s="29" t="str">
        <f>IFERROR(__xludf.DUMMYFUNCTION("GOOGLETRANSLATE(B1373, ""en"", ""pt-br"")"),"Bom ferro. Aquecimento Earlista, valor ao dinheiro, bom produto, सुपर, bom, excelente, excelente produto de Havells, bom")</f>
        <v>Bom ferro. Aquecimento Earlista, valor ao dinheiro, bom produto, सुपर, bom, excelente, excelente produto de Havells, bom</v>
      </c>
      <c r="E1373" s="29" t="str">
        <f>IFERROR(__xludf.DUMMYFUNCTION("GOOGLETRANSLATE(C1373, ""en"", ""pt-br"")"),"Bom iorn nesse preço que todos devem tomar isso, o produto é bom como sempre. Mas pode ajudar a passar os tecidos Lite. Se você aumentar o calor, o tecido está sendo danificado facilmente. É usado para passar as camisas, jeans, sarees de algodão, calça de"&amp;" algodão., O produto é bom e fácil de usar, सुपर, bom e incrível produto, todos devem comprar altamente recomendados ... eu adorei ..., excelente produto por Havells., Bom")</f>
        <v>Bom iorn nesse preço que todos devem tomar isso, o produto é bom como sempre. Mas pode ajudar a passar os tecidos Lite. Se você aumentar o calor, o tecido está sendo danificado facilmente. É usado para passar as camisas, jeans, sarees de algodão, calça de algodão., O produto é bom e fácil de usar, सुपर, bom e incrível produto, todos devem comprar altamente recomendados ... eu adorei ..., excelente produto por Havells., Bom</v>
      </c>
    </row>
    <row r="1374">
      <c r="A1374" s="9" t="s">
        <v>5582</v>
      </c>
      <c r="B1374" s="29" t="str">
        <f>VLOOKUP(dados!A1374, reviews!A:G, 5, FALSE)</f>
        <v>Meets expectation,Good product,High quality product,Worth the spend!,Great product,A decent filter coffee maker.,Good product for an average user.,High quality</v>
      </c>
      <c r="C1374" s="29" t="str">
        <f>VLOOKUP(dados!A1374, reviews!A:G, 6, FALSE)</f>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v>
      </c>
      <c r="D1374" s="29" t="str">
        <f>IFERROR(__xludf.DUMMYFUNCTION("GOOGLETRANSLATE(B1374, ""en"", ""pt-br"")"),"Atende expectativa, bom produto, produto de alta qualidade, vale a pena!, Ótimo produto, uma cafeteira decente de filtro., Bom produto para um usuário médio., Alta qualidade")</f>
        <v>Atende expectativa, bom produto, produto de alta qualidade, vale a pena!, Ótimo produto, uma cafeteira decente de filtro., Bom produto para um usuário médio., Alta qualidade</v>
      </c>
      <c r="E1374" s="29" t="str">
        <f>IFERROR(__xludf.DUMMYFUNCTION("GOOGLETRANSLATE(C1374, ""en"", ""pt-br"")"),"Um filtro de café fácil de usar a um preço razoável., Valor por dinheiro, ajuste e acabamento é bom, bom para 3 copos de café filtro., Estou gostando do sabor original do café no norte da Índia. Dou 5 Estrelas como é o mesmo que mostrado e bom e fácil de "&amp;"usar., Eu tenho principalmente café instantâneo, mas desta vez comprei um café de filtro do vale de Araku durante a minha visita. Eu não estava ciente do processo de que você não pode tomá -lo como o café normal, então tentei como um normal e falhou miser"&amp;"avelmente porque as sementes de café não serão dissolvidas, não há cheiro de café nele. Então fui on -line para entender o processo em que conheci esta cafeteira. Comprei para o 2CUP Coffee, que me custou 299/-. Você pode obter um maior também por 4 ou 6 "&amp;"xícara. Você pode passar pelo processo de como fazer o café filtro do sul da Índia online. Para mim, faz trabalho com muita eficiência e, finalmente, sou capaz de tomar uma boa xícara de café de filtro. Agora, sobre o produto, não é aço de qualidade premi"&amp;"um, mas é decente e é muito fácil de usar. Você preenche o filtro de manhã e pode ter o extrato bruto até a noite. Então, para mim, é um valor para o dinheiro se você quiser tentar o filtro de café., A imprensa não funciona perfeitamente, mas faz o trabal"&amp;"ho. O tamanho é pequeno, você só pode fazer uma xícara., A qualidade do aço é de classe mundial. Fornece uma filtragem adequada")</f>
        <v>Um filtro de café fácil de usar a um preço razoável., Valor por dinheiro, ajuste e acabamento é bom, bom para 3 copos de café filtro., Estou gostando do sabor original do café no norte da Índia. Dou 5 Estrelas como é o mesmo que mostrado e bom e fácil de usar., Eu tenho principalmente café instantâneo, mas desta vez comprei um café de filtro do vale de Araku durante a minha visita. Eu não estava ciente do processo de que você não pode tomá -lo como o café normal, então tentei como um normal e falhou miseravelmente porque as sementes de café não serão dissolvidas, não há cheiro de café nele. Então fui on -line para entender o processo em que conheci esta cafeteira. Comprei para o 2CUP Coffee, que me custou 299/-. Você pode obter um maior também por 4 ou 6 xícara. Você pode passar pelo processo de como fazer o café filtro do sul da Índia online. Para mim, faz trabalho com muita eficiência e, finalmente, sou capaz de tomar uma boa xícara de café de filtro. Agora, sobre o produto, não é aço de qualidade premium, mas é decente e é muito fácil de usar. Você preenche o filtro de manhã e pode ter o extrato bruto até a noite. Então, para mim, é um valor para o dinheiro se você quiser tentar o filtro de café., A imprensa não funciona perfeitamente, mas faz o trabalho. O tamanho é pequeno, você só pode fazer uma xícara., A qualidade do aço é de classe mundial. Fornece uma filtragem adequada</v>
      </c>
    </row>
    <row r="1375">
      <c r="A1375" s="9" t="s">
        <v>5586</v>
      </c>
      <c r="B1375" s="29" t="str">
        <f>VLOOKUP(dados!A1375, reviews!A:G, 5, FALSE)</f>
        <v>Compatible with pureit classic g2,Very good product,Best item in best price.,Good,Good one,Nyce product,Good Item With Perfect Accuracy VFM !,One star for bad delivery options</v>
      </c>
      <c r="C1375" s="29" t="str">
        <f>VLOOKUP(dados!A1375, reviews!A:G, 6, FALSE)</f>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v>
      </c>
      <c r="D1375" s="29" t="str">
        <f>IFERROR(__xludf.DUMMYFUNCTION("GOOGLETRANSLATE(B1375, ""en"", ""pt-br"")"),"Compatível com Pureit Classic G2, produto muito bom, melhor item no melhor preço., Bom, bom, produto NYC")</f>
        <v>Compatível com Pureit Classic G2, produto muito bom, melhor item no melhor preço., Bom, bom, produto NYC</v>
      </c>
      <c r="E1375" s="29" t="str">
        <f>IFERROR(__xludf.DUMMYFUNCTION("GOOGLETRANSLATE(C1375, ""en"", ""pt-br"")"),"A peça original custa 4 vezes mais conforme o cara do serviço. Trabalhou sem problemas no Pureit Classic G2. Os conectores do pino SNAP precisam ser abrem manualmente (use um pino de segurança e o YouTube), usei o cabo de alimentação CA sis como é porque "&amp;"a parte pura e o resistor fusível ou algo colocado antes de Adaper e eu não tinha certeza de como essa parte funcionaria com isso. Conectado diretamente ao plug e junto -se ao conector de 24V, com o dinheiro ... dá água limpa., O cálculo do TDS é perfeito"&amp;". Verifiquei a água geral que uso na minha vida diária. Como água da torneira, água quente, água fria, água aquária .1 DIA DE ÁGUA VELHA, GYser Water and Aquaguard Ro, UV, UF, Water., Https: //m.media-amazon.com/images/i/61dpcs7qmbl._sy88.jpg, trabalhando"&amp;" bem, o produto é gud e valor para o valor para Dinheiro, eu encontrei com um preço muito barato primeiro, eu pensei que pode ser o item é muito, então não vai funcionar, mas eu estava errado, quando chegar, verifiquei os TDs de água em muitos lugares e f"&amp;"unciona incrível com precisão, então eu simplesmente amo isso E obrigado ao vendedor por fornecer um item tão bom. O produto está bem, mas as opções de entrega não são, o agente foi rude e se recusar a fornecer entrega de etapas de porta, não cumprida pel"&amp;"o agente da Amazon.")</f>
        <v>A peça original custa 4 vezes mais conforme o cara do serviço. Trabalhou sem problemas no Pureit Classic G2. Os conectores do pino SNAP precisam ser abrem manualmente (use um pino de segurança e o YouTube), usei o cabo de alimentação CA sis como é porque a parte pura e o resistor fusível ou algo colocado antes de Adaper e eu não tinha certeza de como essa parte funcionaria com isso. Conectado diretamente ao plug e junto -se ao conector de 24V, com o dinheiro ... dá água limpa., O cálculo do TDS é perfeito. Verifiquei a água geral que uso na minha vida diária. Como água da torneira, água quente, água fria, água aquária .1 DIA DE ÁGUA VELHA, GYser Water and Aquaguard Ro, UV, UF, Water., Https: //m.media-amazon.com/images/i/61dpcs7qmbl._sy88.jpg, trabalhando bem, o produto é gud e valor para o valor para Dinheiro, eu encontrei com um preço muito barato primeiro, eu pensei que pode ser o item é muito, então não vai funcionar, mas eu estava errado, quando chegar, verifiquei os TDs de água em muitos lugares e funciona incrível com precisão, então eu simplesmente amo isso E obrigado ao vendedor por fornecer um item tão bom. O produto está bem, mas as opções de entrega não são, o agente foi rude e se recusar a fornecer entrega de etapas de porta, não cumprida pelo agente da Amazon.</v>
      </c>
    </row>
    <row r="1376">
      <c r="A1376" s="9" t="s">
        <v>5590</v>
      </c>
      <c r="B1376" s="29" t="str">
        <f>VLOOKUP(dados!A1376, reviews!A:G, 5, FALSE)</f>
        <v>Quality Product,The Packing is very poor so theswitch has gone inside the heater I cannot use iy,Very good 😊,Easy to use, comfortable, value for money, temperature control,Effective And creative product</v>
      </c>
      <c r="C1376" s="29" t="str">
        <f>VLOOKUP(dados!A1376, reviews!A:G, 6, FALSE)</f>
        <v>1) Best product2) Room gets warm within few mins3) Quality is nice4) Timer option is very useful5) Portable,,,Like it,By continuing use it work fine. Small but effective product. No more space required to store and use. In a short time my room temperature got increased. Feels gool</v>
      </c>
      <c r="D1376" s="29" t="str">
        <f>IFERROR(__xludf.DUMMYFUNCTION("GOOGLETRANSLATE(B1376, ""en"", ""pt-br"")"),"Produto de qualidade, a embalagem é muito pobre, então o switch entrou no aquecedor que não posso usar IY, muito bom 😊, fácil de usar, confortável, valor para dinheiro, controle de temperatura, produto eficaz e criativo")</f>
        <v>Produto de qualidade, a embalagem é muito pobre, então o switch entrou no aquecedor que não posso usar IY, muito bom 😊, fácil de usar, confortável, valor para dinheiro, controle de temperatura, produto eficaz e criativo</v>
      </c>
      <c r="E1376" s="29" t="str">
        <f>IFERROR(__xludf.DUMMYFUNCTION("GOOGLETRANSLATE(C1376, ""en"", ""pt-br"")"),"1) Melhor produto2) Quarto fica quente dentro de alguns mins3) Qualidade é Nice4) Opção do timer é muito útil5) Portátil ,,, como esse, continuando o uso, funciona bem. Produto pequeno, mas eficaz. Não há mais espaço necessário para armazenar e usar. Em p"&amp;"ouco tempo, minha temperatura do quarto aumentou. Sente Gool")</f>
        <v>1) Melhor produto2) Quarto fica quente dentro de alguns mins3) Qualidade é Nice4) Opção do timer é muito útil5) Portátil ,,, como esse, continuando o uso, funciona bem. Produto pequeno, mas eficaz. Não há mais espaço necessário para armazenar e usar. Em pouco tempo, minha temperatura do quarto aumentou. Sente Gool</v>
      </c>
    </row>
    <row r="1377">
      <c r="A1377" s="9" t="s">
        <v>5594</v>
      </c>
      <c r="B1377" s="29" t="str">
        <f>VLOOKUP(dados!A1377, reviews!A:G, 5, FALSE)</f>
        <v>Go for it,Good quality and price,good quality,Good to have instead of plastic one.,Looks good better to use than plastic,Good but can be better,Value for money,Good quality product</v>
      </c>
      <c r="C1377" s="29" t="str">
        <f>VLOOKUP(dados!A1377, reviews!A:G, 6, FALSE)</f>
        <v>It’s easy to clean and better than plastic so it’s a win win,at this price it’s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v>
      </c>
      <c r="D1377" s="29" t="str">
        <f>IFERROR(__xludf.DUMMYFUNCTION("GOOGLETRANSLATE(B1377, ""en"", ""pt-br"")"),"Vá em frente, boa qualidade e preço, boa qualidade, bom ter em vez de plástico.")</f>
        <v>Vá em frente, boa qualidade e preço, boa qualidade, bom ter em vez de plástico.</v>
      </c>
      <c r="E1377" s="29" t="str">
        <f>IFERROR(__xludf.DUMMYFUNCTION("GOOGLETRANSLATE(C1377, ""en"", ""pt-br"")"),"É fácil de limpar e melhor que o plástico, por isso é uma vitória, a esse preço é grande, serve ao propósito. Boa qualidade. Se você é um padeiro, deve medir colheres., Boa qualidade, boa., Não demorou muito tempo, então não sei, mas parece bom., Bom para"&amp;" o preço. As colheres têm medidas sobre eles, mas os copos não têm as medidas, portanto, 1 estrela. A qualidade é decente., Usando -o diariamente para medir líquidos e sólidos para fins de cozinha. Valor do dinheiro, resistente, bonito, A1 Quality Product"&amp;"👍")</f>
        <v>É fácil de limpar e melhor que o plástico, por isso é uma vitória, a esse preço é grande, serve ao propósito. Boa qualidade. Se você é um padeiro, deve medir colheres., Boa qualidade, boa., Não demorou muito tempo, então não sei, mas parece bom., Bom para o preço. As colheres têm medidas sobre eles, mas os copos não têm as medidas, portanto, 1 estrela. A qualidade é decente., Usando -o diariamente para medir líquidos e sólidos para fins de cozinha. Valor do dinheiro, resistente, bonito, A1 Quality Product👍</v>
      </c>
    </row>
    <row r="1378">
      <c r="A1378" s="9" t="s">
        <v>5601</v>
      </c>
      <c r="B1378" s="29" t="str">
        <f>VLOOKUP(dados!A1378, reviews!A:G, 5, FALSE)</f>
        <v>RO filter candle,Good product and fit perfectly,Thermacol product,Excellent product,Quality is good, I always buy this,Not suitable for Pureit Advance,Good,Nice</v>
      </c>
      <c r="C1378" s="29" t="str">
        <f>VLOOKUP(dados!A1378, reviews!A:G, 6, FALSE)</f>
        <v>Value for money,This fits perfectly with the filter I have. It is worth the purchase.,Not so good,Very usefull product for reasonable price.. ❤.,The filter Quality is good, I order this once in every 4 months. I change filter my self.,I ordered and returned. Not suitable for Pureit Advance RO + MF,Good,Value for money</v>
      </c>
      <c r="D1378" s="29" t="str">
        <f>IFERROR(__xludf.DUMMYFUNCTION("GOOGLETRANSLATE(B1378, ""en"", ""pt-br"")"),"RO Filter vela, bom produto e ajuste perfeitamente, produto termacol, excelente produto, qualidade é boa, eu sempre compro isso, não é adequado para avanço puro, bom, bom")</f>
        <v>RO Filter vela, bom produto e ajuste perfeitamente, produto termacol, excelente produto, qualidade é boa, eu sempre compro isso, não é adequado para avanço puro, bom, bom</v>
      </c>
      <c r="E1378" s="29" t="str">
        <f>IFERROR(__xludf.DUMMYFUNCTION("GOOGLETRANSLATE(C1378, ""en"", ""pt-br"")"),"Valor do dinheiro, isso se encaixa perfeitamente com o filtro que tenho. Vale a pena a compra., Produto não tão bom, muito útil por preço razoável. ❤., A qualidade do filtro é boa, eu encomendo isso uma vez a cada 4 meses. Eu mudo de filtro a mim mesmo., "&amp;"Pedi e voltei. Não é adequado para Pureit Advance Ro + MF, bom, valor ao dinheiro")</f>
        <v>Valor do dinheiro, isso se encaixa perfeitamente com o filtro que tenho. Vale a pena a compra., Produto não tão bom, muito útil por preço razoável. ❤., A qualidade do filtro é boa, eu encomendo isso uma vez a cada 4 meses. Eu mudo de filtro a mim mesmo., Pedi e voltei. Não é adequado para Pureit Advance Ro + MF, bom, valor ao dinheiro</v>
      </c>
    </row>
    <row r="1379">
      <c r="A1379" s="9" t="s">
        <v>5605</v>
      </c>
      <c r="B1379" s="29" t="str">
        <f>VLOOKUP(dados!A1379, reviews!A:G, 5, FALSE)</f>
        <v>Nice product,Nice iron,Wonderful product,Best product 👍,Good electric iron,As expected,Acch iron hai ap order kar sakte hai,GOOD</v>
      </c>
      <c r="C1379" s="29" t="str">
        <f>VLOOKUP(dados!A1379, reviews!A:G, 6, FALSE)</f>
        <v>Nice,Good iron, performance, look and shape is very good,I like this product,Yes,Working well now.,Nice product,Acch hai,GOOD</v>
      </c>
      <c r="D1379" s="29" t="str">
        <f>IFERROR(__xludf.DUMMYFUNCTION("GOOGLETRANSLATE(B1379, ""en"", ""pt-br"")"),"Produto agradável, ferro agradável, produto maravilhoso, melhor produto 👍, bom ferro elétrico, como esperado, acch ferro hai ap ordem kar sakte hai, bom")</f>
        <v>Produto agradável, ferro agradável, produto maravilhoso, melhor produto 👍, bom ferro elétrico, como esperado, acch ferro hai ap ordem kar sakte hai, bom</v>
      </c>
      <c r="E1379" s="29" t="str">
        <f>IFERROR(__xludf.DUMMYFUNCTION("GOOGLETRANSLATE(C1379, ""en"", ""pt-br"")"),"Bom, bom ferro, desempenho, aparência e forma é muito bom, eu gosto deste produto, sim, funcionando bem agora., Bom produto, ACCH HAI, bom")</f>
        <v>Bom, bom ferro, desempenho, aparência e forma é muito bom, eu gosto deste produto, sim, funcionando bem agora., Bom produto, ACCH HAI, bom</v>
      </c>
    </row>
    <row r="1380">
      <c r="A1380" s="9" t="s">
        <v>5609</v>
      </c>
      <c r="B1380" s="29" t="str">
        <f>VLOOKUP(dados!A1380, reviews!A:G, 5, FALSE)</f>
        <v>ok product,It's a good product.,Simply awsome,Nice tap hot water,It is good for short time use. Needs continuous of temp and water flow to keep it under control.,Easy to install. Highly recommended,Excellent quality,Very frauding</v>
      </c>
      <c r="C1380" s="29" t="str">
        <f>VLOOKUP(dados!A1380, reviews!A:G, 6, FALSE)</f>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v>
      </c>
      <c r="D1380" s="29" t="str">
        <f>IFERROR(__xludf.DUMMYFUNCTION("GOOGLETRANSLATE(B1380, ""en"", ""pt-br"")"),"Ok, produto, é um bom produto., Simplesmente, a água quente de toque, é bom para o uso de tempo curto. Precisa de contínuo de temperatura e fluxo de água para mantê -lo sob controle., Fácil de instalar. Altamente recomendado, excelente qualidade, muito fr"&amp;"audulento")</f>
        <v>Ok, produto, é um bom produto., Simplesmente, a água quente de toque, é bom para o uso de tempo curto. Precisa de contínuo de temperatura e fluxo de água para mantê -lo sob controle., Fácil de instalar. Altamente recomendado, excelente qualidade, muito fraudulento</v>
      </c>
      <c r="E1380" s="29" t="str">
        <f>IFERROR(__xludf.DUMMYFUNCTION("GOOGLETRANSLATE(C1380, ""en"", ""pt-br"")"),"3KW ENORME CONSUMO. O restante está ok.e o controle é apenas pelo fluxo de água, para que você não possa definir a temperatura e o desperdício de água é um pouco mais, eu o uso desde fevereiro de 20222. Aqui estão alguns pontos em que falhou minhas expect"&amp;"ativas.1. A temperatura não permanece constante, não podemos defini -la em uma temperatura específica. O fluxo de água é muito restrito e leva mais de 30 minutos para preencher o balde de 15L completamente em algum lugar, pois o gêiseador que usamos anter"&amp;"iormente (comprado em uma loja local) pode ser definido em uma temperatura específica, conforme podemos ajustar no fogão. E o fluxo de água também foi comparativamente mais rápido que isso., Essa torneira de água elétrica instantânea é incrível. Esta torn"&amp;"eira está funcionando corretamente por este vendedor. A embalagem é AWAME e completa com o manual do usuário também. Eu gostei. Deve comprar o produto deste vendedor., Produto muito bom como esperado, falta de controle de temperatura manual., Adorou. Boa "&amp;"qualidade,")</f>
        <v>3KW ENORME CONSUMO. O restante está ok.e o controle é apenas pelo fluxo de água, para que você não possa definir a temperatura e o desperdício de água é um pouco mais, eu o uso desde fevereiro de 20222. Aqui estão alguns pontos em que falhou minhas expectativas.1. A temperatura não permanece constante, não podemos defini -la em uma temperatura específica. O fluxo de água é muito restrito e leva mais de 30 minutos para preencher o balde de 15L completamente em algum lugar, pois o gêiseador que usamos anteriormente (comprado em uma loja local) pode ser definido em uma temperatura específica, conforme podemos ajustar no fogão. E o fluxo de água também foi comparativamente mais rápido que isso., Essa torneira de água elétrica instantânea é incrível. Esta torneira está funcionando corretamente por este vendedor. A embalagem é AWAME e completa com o manual do usuário também. Eu gostei. Deve comprar o produto deste vendedor., Produto muito bom como esperado, falta de controle de temperatura manual., Adorou. Boa qualidade,</v>
      </c>
    </row>
    <row r="1381">
      <c r="A1381" s="9" t="s">
        <v>5613</v>
      </c>
      <c r="B1381" s="29" t="str">
        <f>VLOOKUP(dados!A1381, reviews!A:G, 5, FALSE)</f>
        <v>Water heating not good as per standard,నాకు ప్రొడక్ట్ ప్లగ్ డామేజ్ అయింది ఇప్పుడు రెండు నెలలు అయింది నాకు ప్రొడక్ట్ ప్లగ్ ఇప్పించగలరు,Good Product for Heating purpose,Good product,Easy , compact and quick solution,Ok product,Not worthy,Useful</v>
      </c>
      <c r="C1381" s="29" t="str">
        <f>VLOOKUP(dados!A1381, reviews!A:G, 6, FALSE)</f>
        <v>Na,గ్యారంటీ,Good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v>
      </c>
      <c r="D1381" s="29" t="str">
        <f>IFERROR(__xludf.DUMMYFUNCTION("GOOGLETRANSLATE(B1381, ""en"", ""pt-br"")"),"Aquecimento de água não é bom conforme padrão, నాకు ప్రొడక్ట్ ప్లగ్ డామేజ్ అయింది ఇప్పుడు రెండు నెలలు అయింది నాకు ప్రొడక్ట్ ప్లగ్ ఇప్పించగలరు, bom produto para fins de aquecimento, bom produto, solução fácil, compacta e rápida, produto OK, não digno, útil")</f>
        <v>Aquecimento de água não é bom conforme padrão, నాకు ప్రొడక్ట్ ప్లగ్ డామేజ్ అయింది ఇప్పుడు రెండు నెలలు అయింది నాకు ప్రొడక్ట్ ప్లగ్ ఇప్పించగలరు, bom produto para fins de aquecimento, bom produto, solução fácil, compacta e rápida, produto OK, não digno, útil</v>
      </c>
      <c r="E1381" s="29" t="str">
        <f>IFERROR(__xludf.DUMMYFUNCTION("GOOGLETRANSLATE(C1381, ""en"", ""pt-br"")"),"Na, గ్యారంటీ, bom uso para obter água térmica instantânea. Eu a usei nos últimos 9 meses, ainda era bom e sem problemas., Produto muito ruim Não tchau o produto usado que recebi, se você não tiver linha de água quente Instalação na cozinha. essa é a melho"&amp;"r solução. Foram necessários 30 min no máximo de instalação. Melhor para uso no inverno. Não é para uso no banheiro. Ele fornece apenas água morna, que é boa o suficiente para lavar pratos.pro: Um tubo de água quente é fornecido contras: sem grampos de tu"&amp;"bulação. O comprimento depende da distância.2 Grampos de tubo é necessária. Mas outros produtos semelhantes estão vendendo com tubos, grampos etc. Portanto, verifique primeiro. Eu gosto de qualidade de construção., Fácil de usar, mas consumo de tensão 3 k"&amp;"W é. Muito, médio, bom produto")</f>
        <v>Na, గ్యారంటీ, bom uso para obter água térmica instantânea. Eu a usei nos últimos 9 meses, ainda era bom e sem problemas., Produto muito ruim Não tchau o produto usado que recebi, se você não tiver linha de água quente Instalação na cozinha. essa é a melhor solução. Foram necessários 30 min no máximo de instalação. Melhor para uso no inverno. Não é para uso no banheiro. Ele fornece apenas água morna, que é boa o suficiente para lavar pratos.pro: Um tubo de água quente é fornecido contras: sem grampos de tubulação. O comprimento depende da distância.2 Grampos de tubo é necessária. Mas outros produtos semelhantes estão vendendo com tubos, grampos etc. Portanto, verifique primeiro. Eu gosto de qualidade de construção., Fácil de usar, mas consumo de tensão 3 kW é. Muito, médio, bom produto</v>
      </c>
    </row>
    <row r="1382">
      <c r="A1382" s="9" t="s">
        <v>5617</v>
      </c>
      <c r="B1382" s="29" t="str">
        <f>VLOOKUP(dados!A1382, reviews!A:G, 5, FALSE)</f>
        <v>Excellent product timely delivered,It's good,Sleek useful but after some time filling water takes time,Good product,PH not certain,Awesome,Excercise Caution before buying,Almost ok</v>
      </c>
      <c r="C1382" s="29" t="str">
        <f>VLOOKUP(dados!A1382, reviews!A:G, 6, FALSE)</f>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it’s hardly good as any RO water 💦.,Must buy product…Portable..sturdy &amp; a very useful tool to have…it raises pH level of water actually…..I have experienced wonderful results in my stomach related issues….Must buy….!!,,Useful. Water is alkaline definitely. But after installation,  6 to 8 washes are needed before drinking</v>
      </c>
      <c r="D1382" s="29" t="str">
        <f>IFERROR(__xludf.DUMMYFUNCTION("GOOGLETRANSLATE(B1382, ""en"", ""pt-br"")"),"Excelente produto em tempo hábil entregue, é bom, elegante útil, mas depois de algum tempo preencher a água leva tempo, bom produto, pH sem certo, incrível, compensação antes de comprar, quase ok")</f>
        <v>Excelente produto em tempo hábil entregue, é bom, elegante útil, mas depois de algum tempo preencher a água leva tempo, bom produto, pH sem certo, incrível, compensação antes de comprar, quase ok</v>
      </c>
      <c r="E1382" s="29" t="str">
        <f>IFERROR(__xludf.DUMMYFUNCTION("GOOGLETRANSLATE(C1382, ""en"", ""pt-br"")"),"Produto excelente e útil, fácil de usar. A qualidade da água é excelente. Somente emitir ser, como saberemos se o cartucho precisa ser substituído. De onde podemos conseguir isso? Atualmente, pedindo mais 1 filtro!,# Fácil de usar.# Qualidade da buid pode"&amp;" ser melhorada.# A água ajudou a família inteira a se livrar dos problemas de gás e acidez. Eventualmente, perda de peso.# Não há diferença no sabor.# Vale a pena tentar.# A mudança frequente de filtro está no lado descendente, eventualmente ajuda como to"&amp;"do o filtro de água., Derrama de água ao encher vidro. Como o sabor da água, deve ter cartucho de filtro extra, deve incluir indicador de valor de pH, as tampas superiores que prendem não são boas, devem estar próximas mais firmemente para evitar vazament"&amp;"os, o material do jarra de contêiner precisa de melhorias, pois obtém arranhões com muita facilidade durante a limpeza, mas em geral É um bom produto conforme uso e design, a esperança que Kent melhore os pontos acima, o nível de pH que define alcalino na"&amp;" água não está em alta. Precisa ser verificado como a empresa afirma que transforma a água em alcalina qualquer coisa acima do pH 7, mas, na realidade De água, na verdade ... .. Eu tive resultados maravilhosos em meus problemas relacionados ao estômago…. "&amp;"Você deve comprar…. !! ,, útil. A água é alcalina definitivamente. Mas após a instalação, são necessárias 6 a 8 lavagens antes de beber")</f>
        <v>Produto excelente e útil, fácil de usar. A qualidade da água é excelente. Somente emitir ser, como saberemos se o cartucho precisa ser substituído. De onde podemos conseguir isso? Atualmente, pedindo mais 1 filtro!,# Fácil de usar.# Qualidade da buid pode ser melhorada.# A água ajudou a família inteira a se livrar dos problemas de gás e acidez. Eventualmente, perda de peso.# Não há diferença no sabor.# Vale a pena tentar.# A mudança frequente de filtro está no lado descendente, eventualmente ajuda como todo o filtro de água., Derrama de água ao encher vidro. Como o sabor da água, deve ter cartucho de filtro extra, deve incluir indicador de valor de pH, as tampas superiores que prendem não são boas, devem estar próximas mais firmemente para evitar vazamentos, o material do jarra de contêiner precisa de melhorias, pois obtém arranhões com muita facilidade durante a limpeza, mas em geral É um bom produto conforme uso e design, a esperança que Kent melhore os pontos acima, o nível de pH que define alcalino na água não está em alta. Precisa ser verificado como a empresa afirma que transforma a água em alcalina qualquer coisa acima do pH 7, mas, na realidade De água, na verdade ... .. Eu tive resultados maravilhosos em meus problemas relacionados ao estômago…. Você deve comprar…. !! ,, útil. A água é alcalina definitivamente. Mas após a instalação, são necessárias 6 a 8 lavagens antes de beber</v>
      </c>
    </row>
    <row r="1383">
      <c r="A1383" s="9" t="s">
        <v>5621</v>
      </c>
      <c r="B1383" s="29" t="str">
        <f>VLOOKUP(dados!A1383, reviews!A:G, 5, FALSE)</f>
        <v>Best mixer,Best value for money,सबसे जरूरी बात ये है के इसमे सब पिस्ता है चाहे पत्थर भी दाल दो।😂। https://youtu.be/WBPca3j306k,Noice is high compared to others,Five star product,BEST MIXI,Best in the market best in segment,Good but not best</v>
      </c>
      <c r="C1383" s="29" t="str">
        <f>VLOOKUP(dados!A1383, reviews!A:G, 6, FALSE)</f>
        <v>Best mixer as compared to flimsy  350w,750w. We use daily since last 4 yrs grinding coconut, dosa batter, dry chutney etc. Go for it, tried many branded but this product is wonderful,Best value for money. My mom is pleased with the grinder's performance. If you got the budget go for it.,मे इस से चावल का आटा बनाता हु,ओर मिर्ची का पाउडर बनाता हु,ओर धनिया का पावडर बनाता हु,ओर नारियल का चटनी बनाता हु,ओर जान ने के लिए इस पे क्लिक करोhttps://youtu.be/WBPca3j306k dekho isko☺️,Very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v>
      </c>
      <c r="D1383" s="29" t="str">
        <f>IFERROR(__xludf.DUMMYFUNCTION("GOOGLETRANSLATE(B1383, ""en"", ""pt-br"")"),"Melhor misturador, melhor valor para dinheiro, सबसे जरूरी बात ये है के इसमे सब पिस्ता है चाहे पत्थर भी दाल दो।😂।।। https://youtu.be/wbpca3j306k,Noice é alto em comparação com outros, o produto cinco estrelas, o melhor mixi, o melhor do mercado melhor no "&amp;"segmento, bom, mas não melhor")</f>
        <v>Melhor misturador, melhor valor para dinheiro, सबसे जरूरी बात ये है के इसमे सब पिस्ता है चाहे पत्थर भी दाल दो।😂।।। https://youtu.be/wbpca3j306k,Noice é alto em comparação com outros, o produto cinco estrelas, o melhor mixi, o melhor do mercado melhor no segmento, bom, mas não melhor</v>
      </c>
      <c r="E1383" s="29" t="str">
        <f>IFERROR(__xludf.DUMMYFUNCTION("GOOGLETRANSLATE(C1383, ""en"", ""pt-br"")"),"Melhor misturador em comparação com Flimsy 350W, 750W. Utilizamos diariamente desde os últimos 4 anos de moagem de coco, massa dosa, chutney seco etc. Vá em frente, tentei muitas com a marca, mas este produto é maravilhoso, melhor valor para dinheiro. Min"&amp;"ha mãe está satisfeita com o desempenho do moedor. Se você obteve o orçamento. करो https: //youtu.be/wbpca3j306k dekho isko☺️, desempenho muito bom com motor poderoso, com boa aparência, mas noice é alto e perturbador em comparação com outros trituradores"&amp;" do misturador., Produto de cinco estrelas, apenas desvantagem função de corte. Caso contrário, o mixi funciona muito bem., Melhor em segmento melhor no mercado, nível de ruído para muito alto")</f>
        <v>Melhor misturador em comparação com Flimsy 350W, 750W. Utilizamos diariamente desde os últimos 4 anos de moagem de coco, massa dosa, chutney seco etc. Vá em frente, tentei muitas com a marca, mas este produto é maravilhoso, melhor valor para dinheiro. Minha mãe está satisfeita com o desempenho do moedor. Se você obteve o orçamento. करो https: //youtu.be/wbpca3j306k dekho isko☺️, desempenho muito bom com motor poderoso, com boa aparência, mas noice é alto e perturbador em comparação com outros trituradores do misturador., Produto de cinco estrelas, apenas desvantagem função de corte. Caso contrário, o mixi funciona muito bem., Melhor em segmento melhor no mercado, nível de ruído para muito alto</v>
      </c>
    </row>
    <row r="1384">
      <c r="A1384" s="9" t="s">
        <v>5625</v>
      </c>
      <c r="B1384" s="29" t="str">
        <f>VLOOKUP(dados!A1384, reviews!A:G, 5, FALSE)</f>
        <v>Good product 👍,Value for money,Does the job which is intended from it,Nice product..,कीमत के अनुसार अच्छा उत्पाद है।,Not satisfied as expected. 😔,Awsme product,Good in this price</v>
      </c>
      <c r="C1384" s="29" t="str">
        <f>VLOOKUP(dados!A1384, reviews!A:G, 6, FALSE)</f>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😔,Its a very good product.....low noise with powerful motor ....grind items very smoothly,Good in this price range..but noise level can be improved</v>
      </c>
      <c r="D1384" s="29" t="str">
        <f>IFERROR(__xludf.DUMMYFUNCTION("GOOGLETRANSLATE(B1384, ""en"", ""pt-br"")"),"Bom produto 👍, valor ao dinheiro, o trabalho que se destina a ele, bom produto .., कीमत अनुस अनुसार अच्छा उत्पाद है।, não satisfeito como esperado. 😔, produto da AWSME, bom neste preço")</f>
        <v>Bom produto 👍, valor ao dinheiro, o trabalho que se destina a ele, bom produto .., कीमत अनुस अनुसार अच्छा उत्पाद है।, não satisfeito como esperado. 😔, produto da AWSME, bom neste preço</v>
      </c>
      <c r="E1384" s="29" t="str">
        <f>IFERROR(__xludf.DUMMYFUNCTION("GOOGLETRANSLATE(C1384, ""en"", ""pt-br"")"),"Bom produto, os níveis de ruído são altos. Mas o produto geral é uma relação custo / benefício, comprou este produto pela segunda vez em 3 dias após o teste de sua utilidade. Usou -o para moer 3 especiarias duras diferentes e alcançar o resultado desejado"&amp;". A questão do aquecimento é esperada devido ao atrito de especiarias duras. GRANDE PRODUTO GERAL COM MOTOR DE 750 W, que era nosso requisito., Lidar muito fácil e bom. O nível de ruído é alto. Produto amigável do orçamento., Os níveis de ruído são altos."&amp;" A qualidade de construção também é boa. O produto geral é uma relação custo / benefício., Uma tampa de jarra pequena não é apertada corretamente. Descontente com o produto. 😔, é um produto muito bom ..... baixo ruído com motor poderoso .... moer itens m"&amp;"uito bem, bom nessa faixa de preço ... mas o nível de ruído pode ser melhorado")</f>
        <v>Bom produto, os níveis de ruído são altos. Mas o produto geral é uma relação custo / benefício, comprou este produto pela segunda vez em 3 dias após o teste de sua utilidade. Usou -o para moer 3 especiarias duras diferentes e alcançar o resultado desejado. A questão do aquecimento é esperada devido ao atrito de especiarias duras. GRANDE PRODUTO GERAL COM MOTOR DE 750 W, que era nosso requisito., Lidar muito fácil e bom. O nível de ruído é alto. Produto amigável do orçamento., Os níveis de ruído são altos. A qualidade de construção também é boa. O produto geral é uma relação custo / benefício., Uma tampa de jarra pequena não é apertada corretamente. Descontente com o produto. 😔, é um produto muito bom ..... baixo ruído com motor poderoso .... moer itens muito bem, bom nessa faixa de preço ... mas o nível de ruído pode ser melhorado</v>
      </c>
    </row>
    <row r="1385">
      <c r="A1385" s="9" t="s">
        <v>5629</v>
      </c>
      <c r="B1385" s="29" t="str">
        <f>VLOOKUP(dados!A1385, reviews!A:G, 5, FALSE)</f>
        <v>Good product, Value of money,Basic and Good,Good product for the price range,Best for family of 3,Value for money,Nice,Best,Nice</v>
      </c>
      <c r="C1385" s="29" t="str">
        <f>VLOOKUP(dados!A1385, reviews!A:G, 6, FALSE)</f>
        <v>Good product,I bought this as a gift. The person using this product has not complained. So, there is just that much I can attest.,Very good for this price rangeEasy to use and good product 🙂🙂🙂,Looks nice ...need to use it and get back,I used the product 4- 5 times in last 1 month and it is meeting the expectations.Value for money.,Good product,Verry Good,Nice</v>
      </c>
      <c r="D1385" s="29" t="str">
        <f>IFERROR(__xludf.DUMMYFUNCTION("GOOGLETRANSLATE(B1385, ""en"", ""pt-br"")"),"Bom produto, valor do dinheiro, básico e bom, bom produto para a faixa de preço, melhor para a família de 3, valor por dinheiro, bom, melhor, legal")</f>
        <v>Bom produto, valor do dinheiro, básico e bom, bom produto para a faixa de preço, melhor para a família de 3, valor por dinheiro, bom, melhor, legal</v>
      </c>
      <c r="E1385" s="29" t="str">
        <f>IFERROR(__xludf.DUMMYFUNCTION("GOOGLETRANSLATE(C1385, ""en"", ""pt-br"")"),"Bom produto, comprei isso de presente. A pessoa que usa este produto não se queixou. Então, há tanto que eu posso atestar., Muito bom para esse preço de preço de usar e bom produto 🙂🙂🙂, parece bom ... preciso usá-lo e voltar, usei o produto 4-5 vezes n"&amp;"o último 1 mês e está atendendo às expectativas.")</f>
        <v>Bom produto, comprei isso de presente. A pessoa que usa este produto não se queixou. Então, há tanto que eu posso atestar., Muito bom para esse preço de preço de usar e bom produto 🙂🙂🙂, parece bom ... preciso usá-lo e voltar, usei o produto 4-5 vezes no último 1 mês e está atendendo às expectativas.</v>
      </c>
    </row>
    <row r="1386">
      <c r="A1386" s="9" t="s">
        <v>5633</v>
      </c>
      <c r="B1386" s="29" t="str">
        <f>VLOOKUP(dados!A1386, reviews!A:G, 5, FALSE)</f>
        <v>It is a great product can be used to make dishes and curry too.,Nice and satisfied.,Good Product. Easy to use. Worth buying.,It works well.,Nice product,Its a beautiful product but very small.,Impressive product,Stylish</v>
      </c>
      <c r="C1386" s="29" t="str">
        <f>VLOOKUP(dados!A1386, reviews!A:G, 6, FALSE)</f>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v>
      </c>
      <c r="D1386" s="29" t="str">
        <f>IFERROR(__xludf.DUMMYFUNCTION("GOOGLETRANSLATE(B1386, ""en"", ""pt-br"")"),"É um ótimo produto pode ser usado para fazer pratos e curry também., Nice e satisfeito., Bom produto. Fácil de usar. Vale a pena comprar., Funciona bem., Bom produto, é um produto bonito, mas muito pequeno., Produto impressionante, elegante")</f>
        <v>É um ótimo produto pode ser usado para fazer pratos e curry também., Nice e satisfeito., Bom produto. Fácil de usar. Vale a pena comprar., Funciona bem., Bom produto, é um produto bonito, mas muito pequeno., Produto impressionante, elegante</v>
      </c>
      <c r="E1386" s="29" t="str">
        <f>IFERROR(__xludf.DUMMYFUNCTION("GOOGLETRANSLATE(C1386, ""en"", ""pt-br"")"),"Eu o usei para fazer Pulao e Curry. É eqsy limpar e fácil de usar. Um regulador de temperatura teria sido mais útil para certos casos., Produto agradável e satisfatório., É variante e amigável à cozinha. O preço também é razoável., É uma relação custo / b"&amp;"enefício. Adequado para 2-3 membros., Belo design, funcionalidade, aparência, panela de arroz e acessórios - valor para dinheiro. Eu uso o mesmo para cozinhar arroz., Um ótimo produto utilitário, mas muito pequeno, para fazer biriyani, https: // m.media-m"&amp;"azon.com/images/w/webp_402378-t2/images/i/710jbpdg48l._sy88.jpg")</f>
        <v>Eu o usei para fazer Pulao e Curry. É eqsy limpar e fácil de usar. Um regulador de temperatura teria sido mais útil para certos casos., Produto agradável e satisfatório., É variante e amigável à cozinha. O preço também é razoável., É uma relação custo / benefício. Adequado para 2-3 membros., Belo design, funcionalidade, aparência, panela de arroz e acessórios - valor para dinheiro. Eu uso o mesmo para cozinhar arroz., Um ótimo produto utilitário, mas muito pequeno, para fazer biriyani, https: // m.media-mazon.com/images/w/webp_402378-t2/images/i/710jbpdg48l._sy88.jpg</v>
      </c>
    </row>
    <row r="1387">
      <c r="A1387" s="9" t="s">
        <v>5637</v>
      </c>
      <c r="B1387" s="29" t="str">
        <f>VLOOKUP(dados!A1387, reviews!A:G, 5, FALSE)</f>
        <v>As smooth as it can and as fast as possible,Wrost product</v>
      </c>
      <c r="C1387" s="29" t="str">
        <f>VLOOKUP(dados!A1387, reviews!A:G, 6, FALSE)</f>
        <v>Tried for two days good experience and great product with excellent quality with fast and powerful blades,Please don't buy this product as it is not all useful it got broken while washing totally money wastage please don't buy</v>
      </c>
      <c r="D1387" s="29" t="str">
        <f>IFERROR(__xludf.DUMMYFUNCTION("GOOGLETRANSLATE(B1387, ""en"", ""pt-br"")"),"O mais suave possível e o mais rápido possível, o produto Wrost")</f>
        <v>O mais suave possível e o mais rápido possível, o produto Wrost</v>
      </c>
      <c r="E1387" s="29" t="str">
        <f>IFERROR(__xludf.DUMMYFUNCTION("GOOGLETRANSLATE(C1387, ""en"", ""pt-br"")"),"Tentei por dois dias boa experiência e ótimo produto com excelente qualidade com lâminas rápidas e poderosas, por favor, não compre este produto, pois nem é útil, ele foi quebrado enquanto lavava totalmente o desperdício de dinheiro, por favor, não compre")</f>
        <v>Tentei por dois dias boa experiência e ótimo produto com excelente qualidade com lâminas rápidas e poderosas, por favor, não compre este produto, pois nem é útil, ele foi quebrado enquanto lavava totalmente o desperdício de dinheiro, por favor, não compre</v>
      </c>
    </row>
    <row r="1388">
      <c r="A1388" s="9" t="s">
        <v>5641</v>
      </c>
      <c r="B1388" s="29" t="str">
        <f>VLOOKUP(dados!A1388, reviews!A:G, 5, FALSE)</f>
        <v>Love it,Very good product quality,Awesome product,Phillips OTG,it has the maximum temperature of 230 last .,Looks Good, Easy and smart working,Good product,Good quality</v>
      </c>
      <c r="C1388" s="29" t="str">
        <f>VLOOKUP(dados!A1388, reviews!A:G, 6, FALSE)</f>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v>
      </c>
      <c r="D1388" s="29" t="str">
        <f>IFERROR(__xludf.DUMMYFUNCTION("GOOGLETRANSLATE(B1388, ""en"", ""pt-br"")"),"Adoro, muito boa qualidade do produto, produto incrível, Phillips OTG, ele tem a temperatura máxima de 230 por último., Parece bom, fácil e inteligente, bom produto, boa qualidade")</f>
        <v>Adoro, muito boa qualidade do produto, produto incrível, Phillips OTG, ele tem a temperatura máxima de 230 por último., Parece bom, fácil e inteligente, bom produto, boa qualidade</v>
      </c>
      <c r="E1388" s="29" t="str">
        <f>IFERROR(__xludf.DUMMYFUNCTION("GOOGLETRANSLATE(C1388, ""en"", ""pt-br"")"),"Comprei este produto depois de passar por muitas críticas na Amazon e em outros sites. Posso dizer que o produto vale a pena. O primeiro prato que experimentamos para o Ano Novo foi Tangdi Kabab. Estava perfeitamente cozido. Produto impressionante para um"&amp;"a família de 4-5 membros., Vale a pena o dinheiro, tudo é bom para o item de uso, esse OTG é um produto resistente e muito fácil de operar. Asse e cozinham em muito menos tempo., O produto é média para grelhar. Levou muito tempo., Compra excelente enquant"&amp;"o pensávamos em comprar OTG e este é perfeito, bom produto, bom produto")</f>
        <v>Comprei este produto depois de passar por muitas críticas na Amazon e em outros sites. Posso dizer que o produto vale a pena. O primeiro prato que experimentamos para o Ano Novo foi Tangdi Kabab. Estava perfeitamente cozido. Produto impressionante para uma família de 4-5 membros., Vale a pena o dinheiro, tudo é bom para o item de uso, esse OTG é um produto resistente e muito fácil de operar. Asse e cozinham em muito menos tempo., O produto é média para grelhar. Levou muito tempo., Compra excelente enquanto pensávamos em comprar OTG e este é perfeito, bom produto, bom produto</v>
      </c>
    </row>
    <row r="1389">
      <c r="A1389" s="9" t="s">
        <v>5645</v>
      </c>
      <c r="B1389" s="29" t="str">
        <f>VLOOKUP(dados!A1389, reviews!A:G, 5, FALSE)</f>
        <v>It doesn't heat up,Value fir money,Ok,satisfied,Nice pic,Best iron so far,look,Ironbox stopped working after 4 months  of purchase</v>
      </c>
      <c r="C1389" s="29" t="str">
        <f>VLOOKUP(dados!A1389, reviews!A:G, 6, FALSE)</f>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v>
      </c>
      <c r="D1389" s="29" t="str">
        <f>IFERROR(__xludf.DUMMYFUNCTION("GOOGLETRANSLATE(B1389, ""en"", ""pt-br"")"),"Não aquece, valoriza o dinheiro do abeto, ok, satisfeito, bela foto, melhor ferro até agora, look, Ironbox parou de funcionar após 4 meses de compra")</f>
        <v>Não aquece, valoriza o dinheiro do abeto, ok, satisfeito, bela foto, melhor ferro até agora, look, Ironbox parou de funcionar após 4 meses de compra</v>
      </c>
      <c r="E1389" s="29" t="str">
        <f>IFERROR(__xludf.DUMMYFUNCTION("GOOGLETRANSLATE(C1389, ""en"", ""pt-br"")"),"Se você quiser usá -lo para seda e chiffon de linhas leves, é ótimo, mas para roupas pesadas como algodão e linho, não aquece tanto que você precisa pressionar mais e leva muito tempo, sinto que não tenho tanta capacidade de aquecimento. Caso contrário, é"&amp;" bom, valor de dinheiro, pareça não tão bom, boa relação custo / benefício, relação custo roupas. Produto extremamente bom., MUITO bonito, fácil de ferro, não muito pesado, cordão confiável de 1000 watts O que mais precisava, nossa caixa de ferro parou de"&amp;" funcionar após 4 meses de compra. Levantaram uma queixa. No entanto, o produto não é como antes")</f>
        <v>Se você quiser usá -lo para seda e chiffon de linhas leves, é ótimo, mas para roupas pesadas como algodão e linho, não aquece tanto que você precisa pressionar mais e leva muito tempo, sinto que não tenho tanta capacidade de aquecimento. Caso contrário, é bom, valor de dinheiro, pareça não tão bom, boa relação custo / benefício, relação custo roupas. Produto extremamente bom., MUITO bonito, fácil de ferro, não muito pesado, cordão confiável de 1000 watts O que mais precisava, nossa caixa de ferro parou de funcionar após 4 meses de compra. Levantaram uma queixa. No entanto, o produto não é como antes</v>
      </c>
    </row>
    <row r="1390">
      <c r="A1390" s="9" t="s">
        <v>5649</v>
      </c>
      <c r="B1390" s="29" t="str">
        <f>VLOOKUP(dados!A1390, reviews!A:G, 5, FALSE)</f>
        <v>Felt very useful 👌 but cable is short,Good in portable series of Geyser,Awesome product,Good quality,Product okay but no bill receive,Wrong Reviews uploaded for this product.,Good Product</v>
      </c>
      <c r="C1390" s="29" t="str">
        <f>VLOOKUP(dados!A1390, reviews!A:G, 6, FALSE)</f>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 💰 💰 💰 💰 💰 💰 💰 💰 💰 💰</v>
      </c>
      <c r="D1390" s="29" t="str">
        <f>IFERROR(__xludf.DUMMYFUNCTION("GOOGLETRANSLATE(B1390, ""en"", ""pt-br"")"),"Senti -me muito útil 👌 Mas o cabo é curto, bom em série portátil de geyser, produto incrível, boa qualidade, produto Ok, mas nenhuma fatura recebe, críticas erradas enviadas para este produto., Bom produto")</f>
        <v>Senti -me muito útil 👌 Mas o cabo é curto, bom em série portátil de geyser, produto incrível, boa qualidade, produto Ok, mas nenhuma fatura recebe, críticas erradas enviadas para este produto., Bom produto</v>
      </c>
      <c r="E1390" s="29" t="str">
        <f>IFERROR(__xludf.DUMMYFUNCTION("GOOGLETRANSLATE(C1390, ""en"", ""pt-br"")"),"Gosto de aquecimento instantâneo, não recebi cartão de garantia, estou usando o produto no banheiro para fins de banho. NULL De onde a água quente vem deve ser prolongada, a qualidade é boa, eu gosto desse gêiser pequeno ou instantâneo. Produto impression"&amp;"ante., Melhor vendedores, produto ok, nenhuma fatura não recebe parafuso extra não receber vermelho claro e verde ao mesmo tempo funcionando de repente funcionando muito bem, o produto é aquecedor instantâneo portátil e todas as mais de 25.000 críticas sã"&amp;"o de colher magnética. A equipe da Amazon deve verificar esse problema., Melhor um útil no valor do dinheiro da estação climática 💰 💰 💰 💰 💰 💰 💰 💰 💰 💰 💰 💰 💰 💰 💰 💰 💰 💰 💰 💰 💰 💰 💰 💰")</f>
        <v>Gosto de aquecimento instantâneo, não recebi cartão de garantia, estou usando o produto no banheiro para fins de banho. NULL De onde a água quente vem deve ser prolongada, a qualidade é boa, eu gosto desse gêiser pequeno ou instantâneo. Produto impressionante., Melhor vendedores, produto ok, nenhuma fatura não recebe parafuso extra não receber vermelho claro e verde ao mesmo tempo funcionando de repente funcionando muito bem, o produto é aquecedor instantâneo portátil e todas as mais de 25.000 críticas são de colher magnética. A equipe da Amazon deve verificar esse problema., Melhor um útil no valor do dinheiro da estação climática 💰 💰 💰 💰 💰 💰 💰 💰 💰 💰 💰 💰 💰 💰 💰 💰 💰 💰 💰 💰 💰 💰 💰 💰</v>
      </c>
    </row>
    <row r="1391">
      <c r="A1391" s="9" t="s">
        <v>5653</v>
      </c>
      <c r="B1391" s="29" t="str">
        <f>VLOOKUP(dados!A1391, reviews!A:G, 5, FALSE)</f>
        <v>Weight without the wait,Good,Good Product,Nice cute scale,Best weight machine,Must have for every kitchen,Value for money,Digital Luggage Scale with Target Value Setting</v>
      </c>
      <c r="C1391" s="29" t="str">
        <f>VLOOKUP(dados!A1391, reviews!A:G, 6, FALSE)</f>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didn’t want to take a chance.As I’ve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v>
      </c>
      <c r="D1391" s="29" t="str">
        <f>IFERROR(__xludf.DUMMYFUNCTION("GOOGLETRANSLATE(B1391, ""en"", ""pt-br"")"),"Peso sem a espera, bom, bom produto, boa escala fofa, melhor máquina de peso, deve ter para todas")</f>
        <v>Peso sem a espera, bom, bom produto, boa escala fofa, melhor máquina de peso, deve ter para todas</v>
      </c>
      <c r="E1391" s="29" t="str">
        <f>IFERROR(__xludf.DUMMYFUNCTION("GOOGLETRANSLATE(C1391, ""en"", ""pt-br"")"),"Este dispositivo claro e leve responde sem demora. Não espera com o botão pressionado e contando segundos antes de uma figura ser exibida! Uma única torneira é suficiente para alterar as medidas, iniciar ou desligar. Essa beleza elegante pode pesar algo t"&amp;"ão leve quanto 2gm, desde que a substância seja colocada diretamente no prato. Ótimo, se a precisão e a velocidade são o que você precisa., Bom produto, bom, obteve um preço acessível. A qualidade é boa, definitivamente ajudaria a planejar bagagens para v"&amp;"iagens para o exterior., Bom escala fofa ... fica bem na cozinha. É o trabalho perfeitamente, um produto incrível com pesos perfeitos e precisos. Eu tinha visto uma escala de pesagem de cozinha da marca Amazon e toda vez que eu estava prestes a pedir, est"&amp;"ava fora de estoque e agora que achei isso eu não hesitei e pedi e pedi para 749/-. Tenho certeza de que, se eu tivesse esperado por algum período de venda, eu o recebi por 500/- mas não queria arriscar. Como verifiquei a escala, as seguintes coisas são b"&amp;"oas1. Precisão2. Função tare3. Peso leve4. Facilidade de usar5. Exiba de retroilumação grande6. Base de aço inoxidável O que cud tem sido melhor1. Um gancho ou um buraco para pendurá -lo na parede2. A plataforma de pesagem é ligeiramente elevada da base e"&amp;" possivelmente detritos / escombros pode ficar entre onde é um pouco difícil de limpar com o pano (terá que usar algum tipo de pincel pequeno). OBSEREAL MINHA RECOMENDÊNCIA É CENTRA Vale o preço. A durabilidade ainda não está comprovada qual apenas o temp"&amp;"o / envelhecimento pode provar. Obrigado Amazon e Vendedor, não vá para o produto de 300 ou 400rs., Se você vai usá -lo por longo prazo (mais de 6 meses). Este é o melhor produto para comprar. , Funciona bem., Peso leve. E o produto preciso., 300rs pode m"&amp;"ostrar a leitura incorreta como +/- 10gm e não dura mais de 1-2 meses., Ele está funcionando bem. BOM PRODUTO.")</f>
        <v>Este dispositivo claro e leve responde sem demora. Não espera com o botão pressionado e contando segundos antes de uma figura ser exibida! Uma única torneira é suficiente para alterar as medidas, iniciar ou desligar. Essa beleza elegante pode pesar algo tão leve quanto 2gm, desde que a substância seja colocada diretamente no prato. Ótimo, se a precisão e a velocidade são o que você precisa., Bom produto, bom, obteve um preço acessível. A qualidade é boa, definitivamente ajudaria a planejar bagagens para viagens para o exterior., Bom escala fofa ... fica bem na cozinha. É o trabalho perfeitamente, um produto incrível com pesos perfeitos e precisos. Eu tinha visto uma escala de pesagem de cozinha da marca Amazon e toda vez que eu estava prestes a pedir, estava fora de estoque e agora que achei isso eu não hesitei e pedi e pedi para 749/-. Tenho certeza de que, se eu tivesse esperado por algum período de venda, eu o recebi por 500/- mas não queria arriscar. Como verifiquei a escala, as seguintes coisas são boas1. Precisão2. Função tare3. Peso leve4. Facilidade de usar5. Exiba de retroilumação grande6. Base de aço inoxidável O que cud tem sido melhor1. Um gancho ou um buraco para pendurá -lo na parede2. A plataforma de pesagem é ligeiramente elevada da base e possivelmente detritos / escombros pode ficar entre onde é um pouco difícil de limpar com o pano (terá que usar algum tipo de pincel pequeno). OBSEREAL MINHA RECOMENDÊNCIA É CENTRA Vale o preço. A durabilidade ainda não está comprovada qual apenas o tempo / envelhecimento pode provar. Obrigado Amazon e Vendedor, não vá para o produto de 300 ou 400rs., Se você vai usá -lo por longo prazo (mais de 6 meses). Este é o melhor produto para comprar. , Funciona bem., Peso leve. E o produto preciso., 300rs pode mostrar a leitura incorreta como +/- 10gm e não dura mais de 1-2 meses., Ele está funcionando bem. BOM PRODUTO.</v>
      </c>
    </row>
    <row r="1392">
      <c r="A1392" s="9" t="s">
        <v>5657</v>
      </c>
      <c r="B1392" s="29" t="str">
        <f>VLOOKUP(dados!A1392, reviews!A:G, 5, FALSE)</f>
        <v>Value for money,Good mini handheld vacuum, I use it to clean my electronics,Best in market,Quite handy and efficient,Small and powerful,Nice product,Blower leaks air,Really good portable vacuum cleaner</v>
      </c>
      <c r="C1392" s="29" t="str">
        <f>VLOOKUP(dados!A1392, reviews!A:G, 6, FALSE)</f>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it’s cordless and hassle free. Great suction power and it is so convenient to use. It’s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v>
      </c>
      <c r="D1392" s="29" t="str">
        <f>IFERROR(__xludf.DUMMYFUNCTION("GOOGLETRANSLATE(B1392, ""en"", ""pt-br"")"),"Valor do dinheiro, bom mini -vácuo portátil, eu o uso para limpar meus eletrônicos, melhor no mercado, bastante útil e eficiente, pequeno e poderoso, produtos agradáveis, vazamentos de ventilação, ar, um bom pó portátil")</f>
        <v>Valor do dinheiro, bom mini -vácuo portátil, eu o uso para limpar meus eletrônicos, melhor no mercado, bastante útil e eficiente, pequeno e poderoso, produtos agradáveis, vazamentos de ventilação, ar, um bom pó portátil</v>
      </c>
      <c r="E1392" s="29" t="str">
        <f>IFERROR(__xludf.DUMMYFUNCTION("GOOGLETRANSLATE(C1392, ""en"", ""pt-br"")"),"A funcionalidade do soprador é boa. O bico da escova não é bom, ele quebra em cantos afiados. No geral, vale a pena comprar para uma pequena limpeza., Um produto muito premium. Funciona bem, eu o uso para limpar meus laptops e outros eletrônicos., Gosto m"&amp;"uito deste limpador portátil de vácuo sem fio. Estou usando isso para limpar meu carro. Ele vem com o cabo de carregamento, o manual do usuário e vários pincéis de limpeza. A capacidade de carregamento é incrível. O poder de sucção é muito bom. Pegue faci"&amp;"lmente partículas de poeira dentro do carro. É o melhor valor para o dinheiro. Obrigado Amazon., Este é provavelmente o aspirador mais portátil e útil que eu encontrei. Compacto e portátil, é sem fio e sem complicações. Grande poder de sucção e é tão conv"&amp;"eniente de usar. É vácuo e soprador ambos. É fácil de limpar, por isso não requer manutenção., É exatamente o que eu precisava, uma máquina de vácuo resistente, simples, pequena e inteligente. Tem um ótimo poder de sucção. Gostaria que ele tivesse um pouc"&amp;"o maior de caixa de armazenamento. ,, Blower vazar ar e, se for usado com eficiência, a limpeza de vácuo: Averagethey deveria ter projetado como um túnel. Use -o como aspirador de pó, remova o filtro e os acessórios para serem usados ​​um soprador de um s"&amp;"oprador No contrário., eu realmente gosto do nosso clener portátil sem fio. É útil, leve e fácil de usar. É ótimo para limpezas rápidas e faz um bom trabalho em nossos carros, pisos etc. Eu o tive há algumas semanas e ainda está forte.")</f>
        <v>A funcionalidade do soprador é boa. O bico da escova não é bom, ele quebra em cantos afiados. No geral, vale a pena comprar para uma pequena limpeza., Um produto muito premium. Funciona bem, eu o uso para limpar meus laptops e outros eletrônicos., Gosto muito deste limpador portátil de vácuo sem fio. Estou usando isso para limpar meu carro. Ele vem com o cabo de carregamento, o manual do usuário e vários pincéis de limpeza. A capacidade de carregamento é incrível. O poder de sucção é muito bom. Pegue facilmente partículas de poeira dentro do carro. É o melhor valor para o dinheiro. Obrigado Amazon., Este é provavelmente o aspirador mais portátil e útil que eu encontrei. Compacto e portátil, é sem fio e sem complicações. Grande poder de sucção e é tão conveniente de usar. É vácuo e soprador ambos. É fácil de limpar, por isso não requer manutenção., É exatamente o que eu precisava, uma máquina de vácuo resistente, simples, pequena e inteligente. Tem um ótimo poder de sucção. Gostaria que ele tivesse um pouco maior de caixa de armazenamento. ,, Blower vazar ar e, se for usado com eficiência, a limpeza de vácuo: Averagethey deveria ter projetado como um túnel. Use -o como aspirador de pó, remova o filtro e os acessórios para serem usados ​​um soprador de um soprador No contrário., eu realmente gosto do nosso clener portátil sem fio. É útil, leve e fácil de usar. É ótimo para limpezas rápidas e faz um bom trabalho em nossos carros, pisos etc. Eu o tive há algumas semanas e ainda está forte.</v>
      </c>
    </row>
    <row r="1393">
      <c r="A1393" s="9" t="s">
        <v>5661</v>
      </c>
      <c r="B1393" s="29" t="str">
        <f>VLOOKUP(dados!A1393, reviews!A:G, 5, FALSE)</f>
        <v>Budget friendly best product in class,Good product,Quality,Lifelong Grill Sandwich maker,We can make anything sandwich to grill.,A very good product, go for it,Comact nice design,the facility of big sandwich maker in small size.</v>
      </c>
      <c r="C1393" s="29" t="str">
        <f>VLOOKUP(dados!A1393, reviews!A:G, 6, FALSE)</f>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v>
      </c>
      <c r="D1393" s="29" t="str">
        <f>IFERROR(__xludf.DUMMYFUNCTION("GOOGLETRANSLATE(B1393, ""en"", ""pt-br"")"),"Melhor produto para a aula, bom produto, qualidade, fabricante de sanduíche ao longo da vida, podemos fazer qualquer coisa sanduíche para grelhar., Um produto muito bom, vá em frente, comact bom design, a instalação do grande sanduíche em tamanho pequeno.")</f>
        <v>Melhor produto para a aula, bom produto, qualidade, fabricante de sanduíche ao longo da vida, podemos fazer qualquer coisa sanduíche para grelhar., Um produto muito bom, vá em frente, comact bom design, a instalação do grande sanduíche em tamanho pequeno.</v>
      </c>
      <c r="E1393" s="29" t="str">
        <f>IFERROR(__xludf.DUMMYFUNCTION("GOOGLETRANSLATE(C1393, ""en"", ""pt-br"")"),"* Aquecimento fácil e rápido* O preço 1099 é o melhor da classe* 1 ano + 6 meses de garantia adicional. O dispositivo registrado é muito bom na classe* Melhor produto para quem usa ocasionalmente (10 a 15 vezes no ano) porque durará anos se o uso for limi"&amp;"tado para que o produto muito bom seja melhor automático, mas o aquecimento temparaturo não é bom manual é bom, O produto funciona melhor e rápido apenas é bastante leve; no geral, o sanduíche é bom. O comprimento do cabo de alimentação não é suficiente.,"&amp;" Fácil de preparar sanduíches de qualquer espessura., É um produto muito bom. Comprimento decente do cordão. As marcas da grelha nos meus sanduíches e panini ficam excelentes. O valor pelo dinheiro é bom, considerando que eu comprei isso para INR 999, val"&amp;"e totalmente a pena o gasto. Você pode fazer um sanduíche / panini de cada vez, mas eu só cozinho para mim, então, não encontro nenhum problema com isso. Mas, novamente, depende do tamanho do sanduíche. Vá em frente., Produto muito bom, ideal para pequena"&amp;"s necessidades de cozinha .. muito leve. A 2 metros seria ideal ... caso contrário, é um ótimo produto ..., a melhor coisa que eu gosto sobre isso é a instalação do grande sanduíche em um tamanho pequeno. Não há outra empresa que ofereça esse design nesse"&amp;" tamanho. muito bom. obrigado")</f>
        <v>* Aquecimento fácil e rápido* O preço 1099 é o melhor da classe* 1 ano + 6 meses de garantia adicional. O dispositivo registrado é muito bom na classe* Melhor produto para quem usa ocasionalmente (10 a 15 vezes no ano) porque durará anos se o uso for limitado para que o produto muito bom seja melhor automático, mas o aquecimento temparaturo não é bom manual é bom, O produto funciona melhor e rápido apenas é bastante leve; no geral, o sanduíche é bom. O comprimento do cabo de alimentação não é suficiente., Fácil de preparar sanduíches de qualquer espessura., É um produto muito bom. Comprimento decente do cordão. As marcas da grelha nos meus sanduíches e panini ficam excelentes. O valor pelo dinheiro é bom, considerando que eu comprei isso para INR 999, vale totalmente a pena o gasto. Você pode fazer um sanduíche / panini de cada vez, mas eu só cozinho para mim, então, não encontro nenhum problema com isso. Mas, novamente, depende do tamanho do sanduíche. Vá em frente., Produto muito bom, ideal para pequenas necessidades de cozinha .. muito leve. A 2 metros seria ideal ... caso contrário, é um ótimo produto ..., a melhor coisa que eu gosto sobre isso é a instalação do grande sanduíche em um tamanho pequeno. Não há outra empresa que ofereça esse design nesse tamanho. muito bom. obrigado</v>
      </c>
    </row>
    <row r="1394">
      <c r="A1394" s="9" t="s">
        <v>5665</v>
      </c>
      <c r="B1394" s="29" t="str">
        <f>VLOOKUP(dados!A1394, reviews!A:G, 5, FALSE)</f>
        <v>Unsatisfied,Too small for home use.,Nic,Nice item,.,Good,Material is not good.,Overall product is good, but one of it is damaged</v>
      </c>
      <c r="C1394" s="29" t="str">
        <f>VLOOKUP(dados!A1394, reviews!A:G, 6, FALSE)</f>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v>
      </c>
      <c r="D1394" s="29" t="str">
        <f>IFERROR(__xludf.DUMMYFUNCTION("GOOGLETRANSLATE(B1394, ""en"", ""pt-br"")"),"Insatisfeito, pequeno demais para uso doméstico., Nic, bom item,., Bom, material não é bom., O produto geral é bom, mas um deles é danificado")</f>
        <v>Insatisfeito, pequeno demais para uso doméstico., Nic, bom item,., Bom, material não é bom., O produto geral é bom, mas um deles é danificado</v>
      </c>
      <c r="E1394" s="29" t="str">
        <f>IFERROR(__xludf.DUMMYFUNCTION("GOOGLETRANSLATE(C1394, ""en"", ""pt-br"")"),"Muito pequeno é, dificilmente por menos de 6 roupas pesadas. Muito bom para uma pessoa solteira, mas não para a família., PEQUENO PEQUENO PARA UTILHO CASO BOM PARA VIAGENS, RAPELA PARA DINHEIRO, Gosto do produto. Valor por dinheiro, bom produto .. , Estou"&amp;" feliz com o produto, pois é altamente portátil devido à sua capacidade de dobrar em sua bolsa e a seus resistentes o suficiente para ficar por conta própria, mas o tamanho é menor do que eu esperava., O material não é bom, para esse preço que você pode c"&amp;"omprar qualquer um Bag ..., uma das bolsas está danificada, mas o produto geral é bom.")</f>
        <v>Muito pequeno é, dificilmente por menos de 6 roupas pesadas. Muito bom para uma pessoa solteira, mas não para a família., PEQUENO PEQUENO PARA UTILHO CASO BOM PARA VIAGENS, RAPELA PARA DINHEIRO, Gosto do produto. Valor por dinheiro, bom produto .. , Estou feliz com o produto, pois é altamente portátil devido à sua capacidade de dobrar em sua bolsa e a seus resistentes o suficiente para ficar por conta própria, mas o tamanho é menor do que eu esperava., O material não é bom, para esse preço que você pode comprar qualquer um Bag ..., uma das bolsas está danificada, mas o produto geral é bom.</v>
      </c>
    </row>
    <row r="1395">
      <c r="A1395" s="9" t="s">
        <v>5669</v>
      </c>
      <c r="B1395" s="29" t="str">
        <f>VLOOKUP(dados!A1395, reviews!A:G, 5, FALSE)</f>
        <v>This is a good product,Not upto the expectation,Not recommended for buying.,Very delicate product,Worth a buy,Good product,Just fine buy,Good stickiness but bad handle</v>
      </c>
      <c r="C1395" s="29" t="str">
        <f>VLOOKUP(dados!A1395, reviews!A:G, 6, FALSE)</f>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v>
      </c>
      <c r="D1395" s="29" t="str">
        <f>IFERROR(__xludf.DUMMYFUNCTION("GOOGLETRANSLATE(B1395, ""en"", ""pt-br"")"),"Este é um bom produto, não até a expectativa, não recomendada para compra., Produto muito delicado, vale uma compra, bom produto, bom compra, boa visita, mas maus alça")</f>
        <v>Este é um bom produto, não até a expectativa, não recomendada para compra., Produto muito delicado, vale uma compra, bom produto, bom compra, boa visita, mas maus alça</v>
      </c>
      <c r="E1395" s="29" t="str">
        <f>IFERROR(__xludf.DUMMYFUNCTION("GOOGLETRANSLATE(C1395, ""en"", ""pt-br"")"),"A única questão é que a qualidade construída é muito ruim. Quebrou o segundo uso. Descanse a adesão é boa., O produto não é resistente, a maçaneta quebrou após uma semana o adesivo está funcionando, mas é muito difícil para descascar a fita, o produto est"&amp;"á bem, mas o bastão é muito delicado, então quebrou, agora é muito difícil Para usar o produto., a alça do produto quebrou quando eu o usei segunda vez, para que seja uma qualidade muito baixa que não recomendaria., Seu valor pelo dinheiro, fácil de usar,"&amp;" produto de bom uso. Desejando que a alça do rolo fosse fácil de usar, temos um cachorro Beagle, por isso temos um uso extensivo de rolos de fiapos na casa. Usa o 3M, mas é muito caro se você consumir 4 a 5 rolos todos os meses. Então, pensei em experimen"&amp;"tar este, como eu, por quão ruim possa ser um rolo de fiapos. A viscosidade do papel de cola era boa o suficiente para remover o cabelo do cachorro, mas a qualidade da alça é muito ruim. Não durou 2 dias. Então acabou usando um palito de madeira ou lápis "&amp;"compridos para o trabalho. Se os fabricantes tivessem gasto um pouco mais em fazer uma boa alça, mesmo que o custo tivesse Rs 25 mais alto, poderia ter sido um ótimo produto, especialmente para as famílias que têm animais de estimação, como precisam com m"&amp;"ais frequência. Então, eu posso voltar a comprar o produto 3M de procurar algo no meio.")</f>
        <v>A única questão é que a qualidade construída é muito ruim. Quebrou o segundo uso. Descanse a adesão é boa., O produto não é resistente, a maçaneta quebrou após uma semana o adesivo está funcionando, mas é muito difícil para descascar a fita, o produto está bem, mas o bastão é muito delicado, então quebrou, agora é muito difícil Para usar o produto., a alça do produto quebrou quando eu o usei segunda vez, para que seja uma qualidade muito baixa que não recomendaria., Seu valor pelo dinheiro, fácil de usar, produto de bom uso. Desejando que a alça do rolo fosse fácil de usar, temos um cachorro Beagle, por isso temos um uso extensivo de rolos de fiapos na casa. Usa o 3M, mas é muito caro se você consumir 4 a 5 rolos todos os meses. Então, pensei em experimentar este, como eu, por quão ruim possa ser um rolo de fiapos. A viscosidade do papel de cola era boa o suficiente para remover o cabelo do cachorro, mas a qualidade da alça é muito ruim. Não durou 2 dias. Então acabou usando um palito de madeira ou lápis compridos para o trabalho. Se os fabricantes tivessem gasto um pouco mais em fazer uma boa alça, mesmo que o custo tivesse Rs 25 mais alto, poderia ter sido um ótimo produto, especialmente para as famílias que têm animais de estimação, como precisam com mais frequência. Então, eu posso voltar a comprar o produto 3M de procurar algo no meio.</v>
      </c>
    </row>
    <row r="1396">
      <c r="A1396" s="9" t="s">
        <v>5673</v>
      </c>
      <c r="B1396" s="29" t="str">
        <f>VLOOKUP(dados!A1396, reviews!A:G, 5, FALSE)</f>
        <v>बढिया है।वजन कम होने की वजह से जादा देर तक चला सकते है।,Nice product and easy to use,Heating issues,Bakwas,Nice,Good product,Good product,Good product</v>
      </c>
      <c r="C1396" s="29" t="str">
        <f>VLOOKUP(dados!A1396, reviews!A:G, 6, FALSE)</f>
        <v>हम संतुष्ट है हम जादा से जादा श्रीखंड बनाने काम आता है कभी कभी केक, आईस्क्रीम बनाते है।,Nice product and easy to use 👍,Sometimes gets heated when used for longer,Bakwas,Like this product,Good product , value for money,Good product on this price,Good Product</v>
      </c>
      <c r="D1396" s="29" t="str">
        <f>IFERROR(__xludf.DUMMYFUNCTION("GOOGLETRANSLATE(B1396, ""en"", ""pt-br"")"),"Linha")</f>
        <v>Linha</v>
      </c>
      <c r="E1396" s="29" t="str">
        <f>IFERROR(__xludf.DUMMYFUNCTION("GOOGLETRANSLATE(C1396, ""en"", ""pt-br"")"),"हम संतुष्ट है हम जादा से जादा श्रीखंड बनाने काम आता है कभी कभी केक, आईस्क्रीम बनाते है।।, bom produto e fácil de usar 👍, às vezes se aquece quando usada por mais tempo, bakwas, como esse produto, bom produto Bom produto neste preço, bom produto")</f>
        <v>हम संतुष्ट है हम जादा से जादा श्रीखंड बनाने काम आता है कभी कभी केक, आईस्क्रीम बनाते है।।, bom produto e fácil de usar 👍, às vezes se aquece quando usada por mais tempo, bakwas, como esse produto, bom produto Bom produto neste preço, bom produto</v>
      </c>
    </row>
    <row r="1397">
      <c r="A1397" s="9" t="s">
        <v>5677</v>
      </c>
      <c r="B1397" s="29" t="str">
        <f>VLOOKUP(dados!A1397, reviews!A:G, 5, FALSE)</f>
        <v>Not satisfied,Nice,Low quality,Amazing product,Best in its category,Very good sprayer,Good,Not sturdy</v>
      </c>
      <c r="C1397" s="29" t="str">
        <f>VLOOKUP(dados!A1397, reviews!A:G, 6, FALSE)</f>
        <v>Only one pump works and the other one stopped working. Waste of money!,Good 👍,Not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v>
      </c>
      <c r="D1397" s="29" t="str">
        <f>IFERROR(__xludf.DUMMYFUNCTION("GOOGLETRANSLATE(B1397, ""en"", ""pt-br"")"),"Não está satisfeito, agradável, de baixa qualidade, produto incrível, melhor em sua categoria, muito bom pulverizador, bom, não resistente")</f>
        <v>Não está satisfeito, agradável, de baixa qualidade, produto incrível, melhor em sua categoria, muito bom pulverizador, bom, não resistente</v>
      </c>
      <c r="E1397" s="29" t="str">
        <f>IFERROR(__xludf.DUMMYFUNCTION("GOOGLETRANSLATE(C1397, ""en"", ""pt-br"")"),"Apenas uma bomba funciona e a outra parou de funcionar. Desperdício de dinheiro!, Bom 👍, não valor ao dinheiro, o material é muito fraco. Pelo mesmo custo, você receberá 4 garrafas nas lojas locais, o produto é bom, vale a pena e fácil de usar, não forne"&amp;"ce uma névoa fina, mas um fluxo de gotículas pequenas. Eu acredito que é bom se você quiser algo nesse intervalo, boa qualidade. Spray de névoa fina., Bom, pouco caro ..., a função de spray é boa, mas garrafas não são produtos de qualidade. Muito fino vai"&amp;" quebrar muito rapidamente")</f>
        <v>Apenas uma bomba funciona e a outra parou de funcionar. Desperdício de dinheiro!, Bom 👍, não valor ao dinheiro, o material é muito fraco. Pelo mesmo custo, você receberá 4 garrafas nas lojas locais, o produto é bom, vale a pena e fácil de usar, não fornece uma névoa fina, mas um fluxo de gotículas pequenas. Eu acredito que é bom se você quiser algo nesse intervalo, boa qualidade. Spray de névoa fina., Bom, pouco caro ..., a função de spray é boa, mas garrafas não são produtos de qualidade. Muito fino vai quebrar muito rapidamente</v>
      </c>
    </row>
    <row r="1398">
      <c r="A1398" s="9" t="s">
        <v>5681</v>
      </c>
      <c r="B1398" s="29" t="str">
        <f>VLOOKUP(dados!A1398, reviews!A:G, 5, FALSE)</f>
        <v>Nice product as expected...,Very good quality 😊 love it,Its leaking product as small gap,Product is so amazing,The colour was dull.,Pretty good.,User friendly,I buy a product but in using of twice the product is not working iam totally unsatisfied of this</v>
      </c>
      <c r="C1398" s="29" t="str">
        <f>VLOOKUP(dados!A1398, reviews!A:G, 6, FALSE)</f>
        <v>Easy to make milkshakes and diet smoothies..Useful.,Very good quality 😌,,This product is very helpfull amd backup is good,The mixer was split throughout the blender.,Easy to clean, portable, easy to carry and easy to use or traveling..,Good for travelling,</v>
      </c>
      <c r="D1398" s="29" t="str">
        <f>IFERROR(__xludf.DUMMYFUNCTION("GOOGLETRANSLATE(B1398, ""en"", ""pt-br"")"),"Bom produto como esperado ..., de muito boa qualidade 😊 Adoro, seu produto vazando como pequena lacuna, o produto é tão incrível que a cor foi monótona. o produto não está funcionando, estou totalmente insatisfeito com isso")</f>
        <v>Bom produto como esperado ..., de muito boa qualidade 😊 Adoro, seu produto vazando como pequena lacuna, o produto é tão incrível que a cor foi monótona. o produto não está funcionando, estou totalmente insatisfeito com isso</v>
      </c>
      <c r="E1398" s="29" t="str">
        <f>IFERROR(__xludf.DUMMYFUNCTION("GOOGLETRANSLATE(C1398, ""en"", ""pt-br"")"),"Fácil de fazer milk -shakes e smoothies de dieta ... Useful., Muito boa qualidade 😌 ,, Este produto é muito útil Backup AMD é bom, o misturador foi dividido em todo o liquidificador., Fácil de limpar, portátil, fácil de transportar e fácil de usar ou via"&amp;"jar .. bom para viajar,")</f>
        <v>Fácil de fazer milk -shakes e smoothies de dieta ... Useful., Muito boa qualidade 😌 ,, Este produto é muito útil Backup AMD é bom, o misturador foi dividido em todo o liquidificador., Fácil de limpar, portátil, fácil de transportar e fácil de usar ou viajar .. bom para viajar,</v>
      </c>
    </row>
    <row r="1399">
      <c r="A1399" s="9" t="s">
        <v>5685</v>
      </c>
      <c r="B1399" s="29" t="str">
        <f>VLOOKUP(dados!A1399, reviews!A:G, 5, FALSE)</f>
        <v>Good,Power and performance,Very useful and powerful juicer,Best quality,WORLD CLASS JUCER MIXER GRINDER,Industrial grade,A better product,Good Juicer</v>
      </c>
      <c r="C1399" s="29" t="str">
        <f>VLOOKUP(dados!A1399, reviews!A:G, 6, FALSE)</f>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v>
      </c>
      <c r="D1399" s="29" t="str">
        <f>IFERROR(__xludf.DUMMYFUNCTION("GOOGLETRANSLATE(B1399, ""en"", ""pt-br"")"),"Bom, poder e desempenho, espremedor muito útil e poderoso, melhor qualidade, moedor de misturador de classe mundial, grau industrial, um produto melhor, bom espremedor")</f>
        <v>Bom, poder e desempenho, espremedor muito útil e poderoso, melhor qualidade, moedor de misturador de classe mundial, grau industrial, um produto melhor, bom espremedor</v>
      </c>
      <c r="E1399" s="29" t="str">
        <f>IFERROR(__xludf.DUMMYFUNCTION("GOOGLETRANSLATE(C1399, ""en"", ""pt-br"")"),"Bom, não espere para sucar suas frutas de Sujata. Essa variante é poderosa e sem esforço. Só que é delicado calibrar o espremedor ao motor, o Sumit Juicer Mixer Grinder é uma máquina muito poderosa e útil para o meu uso diário., Melhor qualidade, eu goste"&amp;"i muito, na verdade uma máquina muito difícil. Tornou a vida muito mais fácil. Cleanar a peneira do espremedor é um pouco difícil, mas isso é verdade em todas as máquinas., Uma boa compra para fins domésticos inteiros. Mas a montagem dos espremedores não "&amp;"é muito fácil, eu pensei., O espremedor é bom para o uso diário. Somente coisa, o barulho do espremedor é muito alto ...")</f>
        <v>Bom, não espere para sucar suas frutas de Sujata. Essa variante é poderosa e sem esforço. Só que é delicado calibrar o espremedor ao motor, o Sumit Juicer Mixer Grinder é uma máquina muito poderosa e útil para o meu uso diário., Melhor qualidade, eu gostei muito, na verdade uma máquina muito difícil. Tornou a vida muito mais fácil. Cleanar a peneira do espremedor é um pouco difícil, mas isso é verdade em todas as máquinas., Uma boa compra para fins domésticos inteiros. Mas a montagem dos espremedores não é muito fácil, eu pensei., O espremedor é bom para o uso diário. Somente coisa, o barulho do espremedor é muito alto ...</v>
      </c>
    </row>
    <row r="1400">
      <c r="A1400" s="9" t="s">
        <v>5689</v>
      </c>
      <c r="B1400" s="29" t="str">
        <f>VLOOKUP(dados!A1400, reviews!A:G, 5, FALSE)</f>
        <v>Beautiful and functional, but could be improved (improvements written in review),Agaro kettle,Satisfied with the product,A royal black beauty.,Value for money.,Agaro kettle review,Review,Good looking  elegant, easy to use</v>
      </c>
      <c r="C1400" s="29" t="str">
        <f>VLOOKUP(dados!A1400, reviews!A:G, 6, FALSE)</f>
        <v>🔸Everything is nice,including design &amp; function,works as intended and mostly as description.🔹But here are things that couldimproved.🔹the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👌,Kettle is nice 👍 and cord length is also good but package 📦 is not good,at the time of delivery it was opened,</v>
      </c>
      <c r="D1400" s="29" t="str">
        <f>IFERROR(__xludf.DUMMYFUNCTION("GOOGLETRANSLATE(B1400, ""en"", ""pt-br"")"),"Bonito e funcional, mas pode ser melhorado (melhorias escritas em revisão), Agaro Kettle, satisfeita com o produto, uma beleza negra real., Valor por dinheiro., Agaro Kettle Review, Review, Boy Looky Looking, fácil de usar")</f>
        <v>Bonito e funcional, mas pode ser melhorado (melhorias escritas em revisão), Agaro Kettle, satisfeita com o produto, uma beleza negra real., Valor por dinheiro., Agaro Kettle Review, Review, Boy Looky Looking, fácil de usar</v>
      </c>
      <c r="E1400" s="29" t="str">
        <f>IFERROR(__xludf.DUMMYFUNCTION("GOOGLETRANSLATE(C1400, ""en"", ""pt-br"")"),"Tudo é bom, incluindo design e função, funciona como pretendido e principalmente como descrição. - mas aqui estão as coisas que podem melhorar. 🔹 A tampa superior deve ser capaz de abrir um pouco mais para trás, se quisermos lavá -lo mais bem Como a tamp"&amp;"a não está aberta de uma maneira que remonta um pouco o suficiente para a tampa não se sentir um pouco da maneira que não é tão confortável quanto poderia ser (isso não deve se tornar um ponto que deve fazer com que as pessoas evitem comprá -lo, já que mu"&amp;"itos Outros modelos parecem abrir até o mesmo ângulo que este, a menos que você encontras A mão pode entrar, mas você sentirá que precisará ter mais cuidado ao lavar para não acidentalmente atingir a tampa (você pode ver na minha imagem/imagem). corpo, en"&amp;"tão me faz pensar se a alça cairia devido à tensão diária quando eu pego a chaleira sozinha (pode ser que não seja quebrado/saio, mas eu seguro a chaleira com as duas mãos em ambas as extremidades, apenas para o caso de estar seguro ): Essas são duas cois"&amp;"as que eu gostaria de melhorar se o Agaro fizer alguma alteração nos recursos do modelo no futuro. Eu não o devolveu porque as chances são outros modelos são iguais ou semelhantes e além de tudo o que funciona bem .. então sim ., Chaleira muito boa e tama"&amp;"nho grande, o comprimento do cordão é bom, é muito robusto em controle de temperatura. Ou seja, On and Off Manual and Automatic Off. Em relação ao cordão, é a chaleira de 1500 watts, que fica no topo do plugue indiano de 6a de potência doméstico indiano c"&amp;"omum. Eles deram um fio de qualidade de um metro com plugue 6A. Isso significa que, se sua fiação doméstica puder suportar 1500 watts no plugue sem energia comum, você poderá usá -lo em qualquer soquete em qualquer lugar. (O interruptor na chaleira é bitb"&amp;"ly, não tenho certeza se foi projetado propositadamente: inicialmente não fiquei satisfeito, agora adoro por causa do desempenho majestoso), o produto parece bom. Valor pelo dinheiro., Parece bom até agora ... a esperança durar muito ... boa compra 👌, ch"&amp;"aleira é bom 👍 e o comprimento do cordão também é bom, mas o pacote 📦 não é bom, no momento da entrega, foi aberta,")</f>
        <v>Tudo é bom, incluindo design e função, funciona como pretendido e principalmente como descrição. - mas aqui estão as coisas que podem melhorar. 🔹 A tampa superior deve ser capaz de abrir um pouco mais para trás, se quisermos lavá -lo mais bem Como a tampa não está aberta de uma maneira que remonta um pouco o suficiente para a tampa não se sentir um pouco da maneira que não é tão confortável quanto poderia ser (isso não deve se tornar um ponto que deve fazer com que as pessoas evitem comprá -lo, já que muitos Outros modelos parecem abrir até o mesmo ângulo que este, a menos que você encontras A mão pode entrar, mas você sentirá que precisará ter mais cuidado ao lavar para não acidentalmente atingir a tampa (você pode ver na minha imagem/imagem). corpo, então me faz pensar se a alça cairia devido à tensão diária quando eu pego a chaleira sozinha (pode ser que não seja quebrado/saio, mas eu seguro a chaleira com as duas mãos em ambas as extremidades, apenas para o caso de estar seguro ): Essas são duas coisas que eu gostaria de melhorar se o Agaro fizer alguma alteração nos recursos do modelo no futuro. Eu não o devolveu porque as chances são outros modelos são iguais ou semelhantes e além de tudo o que funciona bem .. então sim ., Chaleira muito boa e tamanho grande, o comprimento do cordão é bom, é muito robusto em controle de temperatura. Ou seja, On and Off Manual and Automatic Off. Em relação ao cordão, é a chaleira de 1500 watts, que fica no topo do plugue indiano de 6a de potência doméstico indiano comum. Eles deram um fio de qualidade de um metro com plugue 6A. Isso significa que, se sua fiação doméstica puder suportar 1500 watts no plugue sem energia comum, você poderá usá -lo em qualquer soquete em qualquer lugar. (O interruptor na chaleira é bitbly, não tenho certeza se foi projetado propositadamente: inicialmente não fiquei satisfeito, agora adoro por causa do desempenho majestoso), o produto parece bom. Valor pelo dinheiro., Parece bom até agora ... a esperança durar muito ... boa compra 👌, chaleira é bom 👍 e o comprimento do cordão também é bom, mas o pacote 📦 não é bom, no momento da entrega, foi aberta,</v>
      </c>
    </row>
    <row r="1401">
      <c r="A1401" s="9" t="s">
        <v>5693</v>
      </c>
      <c r="B1401" s="29" t="str">
        <f>VLOOKUP(dados!A1401, reviews!A:G, 5, FALSE)</f>
        <v>Absolutely loving it!,Excellent product,Very nice,Compact way to make coffee,Good one for a Black coffee lover,Excellent purchase,Great Product!,Perfect French Press! I have got two of em!</v>
      </c>
      <c r="C1401" s="29" t="str">
        <f>VLOOKUP(dados!A1401, reviews!A:G, 6, FALSE)</f>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v>
      </c>
      <c r="D1401" s="29" t="str">
        <f>IFERROR(__xludf.DUMMYFUNCTION("GOOGLETRANSLATE(B1401, ""en"", ""pt-br"")"),"Absolutamente adorando!, Excelente produto, maneira muito agradável e compacta de fazer café, bom para um amante de café preto, excelente compra, ótimo produto!, Imprensa francesa perfeita! Eu tenho dois deles!")</f>
        <v>Absolutamente adorando!, Excelente produto, maneira muito agradável e compacta de fazer café, bom para um amante de café preto, excelente compra, ótimo produto!, Imprensa francesa perfeita! Eu tenho dois deles!</v>
      </c>
      <c r="E1401" s="29" t="str">
        <f>IFERROR(__xludf.DUMMYFUNCTION("GOOGLETRANSLATE(C1401, ""en"", ""pt-br"")"),"Eu o presenteei para minha mãe no mês passado; Foi como amor no primeiro gole! Fácil de usar, fácil de limpar, fácil de flexionar, uma bênção para qualquer adulto indiano! Ainda novo no café da imprensa francês, então usei o café do sul da Índia nas últim"&amp;"as semanas e pude sentir instantaneamente a diferença entre uma xícara de café recém -prensado e um de café instantâneo, embora tenha sido aconselhado a tentar moer meus próprios grãos para prazer ideal. Eu esclarecendo meus jardins por cerca de 3-4 minut"&amp;"os depois de aquecer a prensa por cerca de um minuto com água quente e fico impressionado com o quão resistente ao calor é o vidro, no entanto, eu ainda aconselho a tomar precauções. As marcações dentro também fornecem uma ótima medição de quantas xícaras"&amp;" eu acabaria fazendo. Não apenas usei para fazer café, mas também para fazer leite espumante e fazer chá. Anexando fotos de um café que fiz usando esta imprensa francesa com uma camada de leite espalhado. NGL, uma das compras favoritas que minha família f"&amp;"ez, estou completamente satisfeito e recomendo a qualquer pessoa., Economizando o tempo de café/filtro., Usa isso há muitos meses e é ótimo. Amo que ele tem medições de linha. A única coisa é que eu gostaria que a superfície superior tivesse uma colisão d"&amp;"o tipo flecha no plástico para apontar onde os buracos você está para que você não precise olhar para baixo, mas pode apenas dizer pelo toque., Entrega: a entrega da Amazon é sempre confiável e Também não me falhou desta vez ... embalando: a embalagem ext"&amp;"erna e a embalagem do produto estavam intactas. A embalagem do produto tinha as informações corretas e foi muito útil: muito compacto. Utilizamos várias cafeteiras no mercado, mas todas exigiam que a eletricidade fosse executada. Queríamos ter um não elét"&amp;"rico que possamos transportar facilmente para o exterior e este se encaixa adequadamente aos nossos requisitos. Basta adicionar o café em pó e a água quente. Depois de um tempo, quando pressionamos o cano central, o café sai. O bico torna conveniente derr"&amp;"amar um copo. Por esse preço na Great India Sale, acho que vale a pena. Estou inclinado a dar 5 estrelas, mas reservando 1 estrela agora. Vou usá -lo por um mês e voltar aqui para mudar minha classificação se ainda me satisfazer., Bom para um amante de ca"&amp;"fé negro, muito feliz com a imprensa francesa do Cafe Jei. Tornou -se uma parte importante do meu ritual diário agora nos últimos 10 dias. Fácil de usar e manter e recomendaria comprar sem hesitar., Manual de instruções poderia ter sido uma cópia impressa"&amp;". Muitas etapas para obter o e -book, obteve essa imprensa francesa no ano passado e mais um alguns dias atrás! Um para café e outro para chá verde / preto. O construído é sólido e a filtração está no ponto! Super feliz !!")</f>
        <v>Eu o presenteei para minha mãe no mês passado; Foi como amor no primeiro gole! Fácil de usar, fácil de limpar, fácil de flexionar, uma bênção para qualquer adulto indiano! Ainda novo no café da imprensa francês, então usei o café do sul da Índia nas últimas semanas e pude sentir instantaneamente a diferença entre uma xícara de café recém -prensado e um de café instantâneo, embora tenha sido aconselhado a tentar moer meus próprios grãos para prazer ideal. Eu esclarecendo meus jardins por cerca de 3-4 minutos depois de aquecer a prensa por cerca de um minuto com água quente e fico impressionado com o quão resistente ao calor é o vidro, no entanto, eu ainda aconselho a tomar precauções. As marcações dentro também fornecem uma ótima medição de quantas xícaras eu acabaria fazendo. Não apenas usei para fazer café, mas também para fazer leite espumante e fazer chá. Anexando fotos de um café que fiz usando esta imprensa francesa com uma camada de leite espalhado. NGL, uma das compras favoritas que minha família fez, estou completamente satisfeito e recomendo a qualquer pessoa., Economizando o tempo de café/filtro., Usa isso há muitos meses e é ótimo. Amo que ele tem medições de linha. A única coisa é que eu gostaria que a superfície superior tivesse uma colisão do tipo flecha no plástico para apontar onde os buracos você está para que você não precise olhar para baixo, mas pode apenas dizer pelo toque., Entrega: a entrega da Amazon é sempre confiável e Também não me falhou desta vez ... embalando: a embalagem externa e a embalagem do produto estavam intactas. A embalagem do produto tinha as informações corretas e foi muito útil: muito compacto. Utilizamos várias cafeteiras no mercado, mas todas exigiam que a eletricidade fosse executada. Queríamos ter um não elétrico que possamos transportar facilmente para o exterior e este se encaixa adequadamente aos nossos requisitos. Basta adicionar o café em pó e a água quente. Depois de um tempo, quando pressionamos o cano central, o café sai. O bico torna conveniente derramar um copo. Por esse preço na Great India Sale, acho que vale a pena. Estou inclinado a dar 5 estrelas, mas reservando 1 estrela agora. Vou usá -lo por um mês e voltar aqui para mudar minha classificação se ainda me satisfazer., Bom para um amante de café negro, muito feliz com a imprensa francesa do Cafe Jei. Tornou -se uma parte importante do meu ritual diário agora nos últimos 10 dias. Fácil de usar e manter e recomendaria comprar sem hesitar., Manual de instruções poderia ter sido uma cópia impressa. Muitas etapas para obter o e -book, obteve essa imprensa francesa no ano passado e mais um alguns dias atrás! Um para café e outro para chá verde / preto. O construído é sólido e a filtração está no ponto! Super feliz !!</v>
      </c>
    </row>
    <row r="1402">
      <c r="A1402" s="9" t="s">
        <v>5699</v>
      </c>
      <c r="B1402" s="29" t="str">
        <f>VLOOKUP(dados!A1402, reviews!A:G, 5, FALSE)</f>
        <v>Simple and easy to use,Product is fulfilling the purpose for which it was purchased.,Good product, not easy to clean,Does the job very well,Very nice sandwich maker,Good quality and received on time,Good Product i Recommend,decent grill</v>
      </c>
      <c r="C1402" s="29" t="str">
        <f>VLOOKUP(dados!A1402, reviews!A:G, 6, FALSE)</f>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v>
      </c>
      <c r="D1402" s="29" t="str">
        <f>IFERROR(__xludf.DUMMYFUNCTION("GOOGLETRANSLATE(B1402, ""en"", ""pt-br"")"),"Simples e fácil de usar, o produto está cumprindo o objetivo para o qual foi comprado., Bom produto, não é fácil de limpar, o trabalho é muito bem, fabricante de sanduíche muito agradável, boa qualidade e recebeu a hora, bom produto que recomendo, decente"&amp;" grade")</f>
        <v>Simples e fácil de usar, o produto está cumprindo o objetivo para o qual foi comprado., Bom produto, não é fácil de limpar, o trabalho é muito bem, fabricante de sanduíche muito agradável, boa qualidade e recebeu a hora, bom produto que recomendo, decente grade</v>
      </c>
      <c r="E1402" s="29" t="str">
        <f>IFERROR(__xludf.DUMMYFUNCTION("GOOGLETRANSLATE(C1402, ""en"", ""pt-br"")"),"Comprou este mês passado. É bom funcionar bem para mim. O tamanho é um pouco pequeno, mas você pode brindar facilmente 2 pães normais de uma só vez. Apenas certifique -se de preencher a mesma quantidade de coisas em ambos os sanduíche, para que ambos fiqu"&amp;"em com o calor corretamente de ambos os lados. O cordão é um pouco pequeno, mas é bom se você tiver se conectado perto da sua cozinha. A princípio, use, cheira a fio que está queimando, mas após o próximo uso, esse cheiro não aparecerá. A limpeza do produ"&amp;"to é um pouco difícil, pois você não pode lavar diretamente sob a torneira. Você precisa usar pano limpo com água molhada. Você pode usar sabonete líquido, mas verifique se ele é limpo com pano limpo. Aplique um pouco de manteiga ou ghee em ambos os lados"&amp;" do pão antes de fazer sanduíches, caso contrário, ele grudará em seus pratos na grelha., No geral. Um pouco grosso. Um design um pouco melhor teria evitado esse problema, faz com que os pães sejam crocantes do macio. 10/10 recomendaria., Muito bom fácil "&amp;"de usar, exceto que não há botão de controle de temperatura. Gosto do meu sanduíche mais nítido, a qualidade é boa e fácil de usar, recebida em 24 horas, o produto é bom, posto uma revisão após 4 meses de compra de 3 a 4 membros da família, sugira, fácil "&amp;"de usar e fácil de limpar. ruim em tudo.2 edições: 1. O gancho fica de um lado; portanto, se o seu sanduíche estiver um pouco volumoso, a metade superior poderá ser inclinada e solta de um lado. O gancho também é frágil, então há o risco de quebrar.")</f>
        <v>Comprou este mês passado. É bom funcionar bem para mim. O tamanho é um pouco pequeno, mas você pode brindar facilmente 2 pães normais de uma só vez. Apenas certifique -se de preencher a mesma quantidade de coisas em ambos os sanduíche, para que ambos fiquem com o calor corretamente de ambos os lados. O cordão é um pouco pequeno, mas é bom se você tiver se conectado perto da sua cozinha. A princípio, use, cheira a fio que está queimando, mas após o próximo uso, esse cheiro não aparecerá. A limpeza do produto é um pouco difícil, pois você não pode lavar diretamente sob a torneira. Você precisa usar pano limpo com água molhada. Você pode usar sabonete líquido, mas verifique se ele é limpo com pano limpo. Aplique um pouco de manteiga ou ghee em ambos os lados do pão antes de fazer sanduíches, caso contrário, ele grudará em seus pratos na grelha., No geral. Um pouco grosso. Um design um pouco melhor teria evitado esse problema, faz com que os pães sejam crocantes do macio. 10/10 recomendaria., Muito bom fácil de usar, exceto que não há botão de controle de temperatura. Gosto do meu sanduíche mais nítido, a qualidade é boa e fácil de usar, recebida em 24 horas, o produto é bom, posto uma revisão após 4 meses de compra de 3 a 4 membros da família, sugira, fácil de usar e fácil de limpar. ruim em tudo.2 edições: 1. O gancho fica de um lado; portanto, se o seu sanduíche estiver um pouco volumoso, a metade superior poderá ser inclinada e solta de um lado. O gancho também é frágil, então há o risco de quebrar.</v>
      </c>
    </row>
    <row r="1403">
      <c r="A1403" s="9" t="s">
        <v>5703</v>
      </c>
      <c r="B1403" s="29" t="str">
        <f>VLOOKUP(dados!A1403, reviews!A:G, 5, FALSE)</f>
        <v>Small size is not good,It's a nice product,Gd product for this range,Value for money,Good to Buy,Nice product,Adding review after 2 months of use,Good</v>
      </c>
      <c r="C1403" s="29" t="str">
        <f>VLOOKUP(dados!A1403, reviews!A:G, 6, FALSE)</f>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v>
      </c>
      <c r="D1403" s="29" t="str">
        <f>IFERROR(__xludf.DUMMYFUNCTION("GOOGLETRANSLATE(B1403, ""en"", ""pt-br"")"),"O tamanho pequeno não é bom, é um produto agradável, produto GD para esse intervalo, valor para dinheiro, bom para comprar, bom produto, adicionando revisão após 2 meses de uso, bom")</f>
        <v>O tamanho pequeno não é bom, é um produto agradável, produto GD para esse intervalo, valor para dinheiro, bom para comprar, bom produto, adicionando revisão após 2 meses de uso, bom</v>
      </c>
      <c r="E1403" s="29" t="str">
        <f>IFERROR(__xludf.DUMMYFUNCTION("GOOGLETRANSLATE(C1403, ""en"", ""pt-br"")"),"O armazenamento 6LTR não é suficiente para uma única pessoa. A água esfria muito rapidamente, não possui um botão de controle de temperatura, como, valor por dinheiro, fácil de usar, bom aquecimento de água, esta revisão é somente após 2 meses de uso. A q"&amp;"ualidade de construção é boa, sem ruído extra e muito mínimo.")</f>
        <v>O armazenamento 6LTR não é suficiente para uma única pessoa. A água esfria muito rapidamente, não possui um botão de controle de temperatura, como, valor por dinheiro, fácil de usar, bom aquecimento de água, esta revisão é somente após 2 meses de uso. A qualidade de construção é boa, sem ruído extra e muito mínimo.</v>
      </c>
    </row>
    <row r="1404">
      <c r="A1404" s="9" t="s">
        <v>5707</v>
      </c>
      <c r="B1404" s="29" t="str">
        <f>VLOOKUP(dados!A1404, reviews!A:G, 5, FALSE)</f>
        <v>No power butten to on and off.,Nothing,Product is Ok-Ok,It's auto close Green light is not working.,Good but cord length is short. Must be atleast 4 fts,Nice to use,Good,Good product</v>
      </c>
      <c r="C1404" s="29" t="str">
        <f>VLOOKUP(dados!A1404, reviews!A:G, 6, FALSE)</f>
        <v>Easy to use, easy to clean, there is no timer or power button to set timer or to on and off the toaster. Its a good product otherwise.,Yes , Sandwich 🥪,Quality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v>
      </c>
      <c r="D1404" s="29" t="str">
        <f>IFERROR(__xludf.DUMMYFUNCTION("GOOGLETRANSLATE(B1404, ""en"", ""pt-br"")"),"Sem energia, mas não está ligando., Nada, o produto é ok-ok, é a luz verde fechada automática não está funcionando., Bom, mas o comprimento do cordão é curto. Deve ser pelo menos 4 fts, bom de usar, bom e bom produto")</f>
        <v>Sem energia, mas não está ligando., Nada, o produto é ok-ok, é a luz verde fechada automática não está funcionando., Bom, mas o comprimento do cordão é curto. Deve ser pelo menos 4 fts, bom de usar, bom e bom produto</v>
      </c>
      <c r="E1404" s="29" t="str">
        <f>IFERROR(__xludf.DUMMYFUNCTION("GOOGLETRANSLATE(C1404, ""en"", ""pt-br"")"),"Fácil de usar, fácil de limpar, não há timer ou botão liga / desliga para definir o timer ou ligar e desligar a torradeira. É um bom produto de outra forma., Sim, sanduíche 🥪, a qualidade não é tão boa. O acabamento também não é adequado. Primeiro, receb"&amp;"i produtos onde muitos arranhões estavam lá nas placas isolantes e o acabamento era ruim. Você lê a substituição e o retorno. Caso contrário, você pode acabar tendo este produto, mesmo que deseje retornar. OBSER, OK OK Product, quando o sistema de fechame"&amp;"nto automático não funciona, não há uso deste produto. Faça o necessário e da próxima vez, sempre que o enviar, verifique o produto. Caso contrário, você perderá sua dignidade., Como o toster, bom deve comprar, bom, bom produto")</f>
        <v>Fácil de usar, fácil de limpar, não há timer ou botão liga / desliga para definir o timer ou ligar e desligar a torradeira. É um bom produto de outra forma., Sim, sanduíche 🥪, a qualidade não é tão boa. O acabamento também não é adequado. Primeiro, recebi produtos onde muitos arranhões estavam lá nas placas isolantes e o acabamento era ruim. Você lê a substituição e o retorno. Caso contrário, você pode acabar tendo este produto, mesmo que deseje retornar. OBSER, OK OK Product, quando o sistema de fechamento automático não funciona, não há uso deste produto. Faça o necessário e da próxima vez, sempre que o enviar, verifique o produto. Caso contrário, você perderá sua dignidade., Como o toster, bom deve comprar, bom, bom produto</v>
      </c>
    </row>
    <row r="1405">
      <c r="A1405" s="9" t="s">
        <v>5711</v>
      </c>
      <c r="B1405" s="29" t="str">
        <f>VLOOKUP(dados!A1405, reviews!A:G, 5, FALSE)</f>
        <v>Easy to Use,Good at this price. Looks premium,Worth for price,Seems to be good,Easy to clean &amp; i like its cool surface.,Good kettle at a Reasonable price,Good quality,Best Thing for Bachelora</v>
      </c>
      <c r="C1405" s="29" t="str">
        <f>VLOOKUP(dados!A1405, reviews!A:G, 6, FALSE)</f>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v>
      </c>
      <c r="D1405" s="29" t="str">
        <f>IFERROR(__xludf.DUMMYFUNCTION("GOOGLETRANSLATE(B1405, ""en"", ""pt-br"")"),"Fácil de usar, bom neste preço. Parece premium, vale a pena, parece ser bom, fácil de limpar e eu gosto de sua superfície fria., Boa chaleira a um preço razoável, boa qualidade, melhor coisa para Bachelora")</f>
        <v>Fácil de usar, bom neste preço. Parece premium, vale a pena, parece ser bom, fácil de limpar e eu gosto de sua superfície fria., Boa chaleira a um preço razoável, boa qualidade, melhor coisa para Bachelora</v>
      </c>
      <c r="E1405" s="29" t="str">
        <f>IFERROR(__xludf.DUMMYFUNCTION("GOOGLETRANSLATE(C1405, ""en"", ""pt-br"")"),"Até agora, usamos este produto para ferver batatas na tampa superior usando o vapor proveniente do recipiente inferior. As batatas foram fervidas corretamente. O que mais gostamos neste produto - fácil de usar, ajuste a temperatura. ,, valor por preço .. "&amp;"são duas camadas. O Black Outer parece brilhante e o aço interno é um pouco delicado, mas com todo o seu bom produto. 2L e seu recurso automático está funcionando perfeito., Revisão detalhada após 3 meses de uso .., https: //m.media-amazon. com/imagens/i/"&amp;"61m2bynxcfl._sy88.jpg, parece com aparência elegante; A capacidade de 2 litros a um preço tão baixo é excelente; Outras marcas têm alto preço a essa taxa. A única coisa que dói é que o comprimento do cordão é muito baixo. Precisa fazer certos arranjos por"&amp;" esse motivo. No geral ... Melhor a preço razoável, boa qualidade, o produto é bom ... No começo, recebemos um produto com defeito, mas a Amazon muda .... parabéns para a Amazon ... o produto é bom ... tem múltiplos anexos ... bom produto especialmente bo"&amp;"m para solteiros")</f>
        <v>Até agora, usamos este produto para ferver batatas na tampa superior usando o vapor proveniente do recipiente inferior. As batatas foram fervidas corretamente. O que mais gostamos neste produto - fácil de usar, ajuste a temperatura. ,, valor por preço .. são duas camadas. O Black Outer parece brilhante e o aço interno é um pouco delicado, mas com todo o seu bom produto. 2L e seu recurso automático está funcionando perfeito., Revisão detalhada após 3 meses de uso .., https: //m.media-amazon. com/imagens/i/61m2bynxcfl._sy88.jpg, parece com aparência elegante; A capacidade de 2 litros a um preço tão baixo é excelente; Outras marcas têm alto preço a essa taxa. A única coisa que dói é que o comprimento do cordão é muito baixo. Precisa fazer certos arranjos por esse motivo. No geral ... Melhor a preço razoável, boa qualidade, o produto é bom ... No começo, recebemos um produto com defeito, mas a Amazon muda .... parabéns para a Amazon ... o produto é bom ... tem múltiplos anexos ... bom produto especialmente bom para solteiros</v>
      </c>
    </row>
    <row r="1406">
      <c r="A1406" s="9" t="s">
        <v>5715</v>
      </c>
      <c r="B1406" s="29" t="str">
        <f>VLOOKUP(dados!A1406, reviews!A:G, 5, FALSE)</f>
        <v>Not bad,Noice,Quality not as expected,Item is good, but,Not bad,Nice product, product plastic and desine have an issued,easy to use,Superb one</v>
      </c>
      <c r="C1406" s="29" t="str">
        <f>VLOOKUP(dados!A1406, reviews!A:G, 6, FALSE)</f>
        <v>कुछ खाश नही है मगर ठीक है कोई ज्यादा खराब भी नही है,This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v>
      </c>
      <c r="D1406" s="29" t="str">
        <f>IFERROR(__xludf.DUMMYFUNCTION("GOOGLETRANSLATE(B1406, ""en"", ""pt-br"")"),"Nada mal, noice, qualidade não é o esperado, o item é bom, mas não é ruim, bom produto, produto de plástico e desine têm um emitido, fácil de usar, excelente")</f>
        <v>Nada mal, noice, qualidade não é o esperado, o item é bom, mas não é ruim, bom produto, produto de plástico e desine têm um emitido, fácil de usar, excelente</v>
      </c>
      <c r="E1406" s="29" t="str">
        <f>IFERROR(__xludf.DUMMYFUNCTION("GOOGLETRANSLATE(C1406, ""en"", ""pt-br"")"),"कुछ खाश नही है मगर ठीक है कोई ज्यादा खराब भी नही है,This protect is good but very too much  noiceJuicer it too good,Purchased few days ago. A qualidade do plástico não é o esperado. Eu acho que não é para um propósito duradouro. Funções operacionais são b"&amp;"oas de usar., O item é bom, mas no meu caso o motor começou a provocar em 3 meses, a substituição do motor está pendente de marajá, nada mal, sim, o produto é muito útil e serve a propósito para o que é ., Uma entrega valiosa e econômica e incrível em um "&amp;"dia.")</f>
        <v>कुछ खाश नही है मगर ठीक है कोई ज्यादा खराब भी नही है,This protect is good but very too much  noiceJuicer it too good,Purchased few days ago. A qualidade do plástico não é o esperado. Eu acho que não é para um propósito duradouro. Funções operacionais são boas de usar., O item é bom, mas no meu caso o motor começou a provocar em 3 meses, a substituição do motor está pendente de marajá, nada mal, sim, o produto é muito útil e serve a propósito para o que é ., Uma entrega valiosa e econômica e incrível em um dia.</v>
      </c>
    </row>
    <row r="1407">
      <c r="A1407" s="9" t="s">
        <v>5719</v>
      </c>
      <c r="B1407" s="29" t="str">
        <f>VLOOKUP(dados!A1407, reviews!A:G, 5, FALSE)</f>
        <v>iT'S VERY HEAVY,NICE PRESSURE &amp; WORTH SPENDING:-),Recommend product for personal use.,Attractive product.,High noise and machine heating to high,Only Bucket filter  are missing..Please  send me the bucket filter only immediately.,Good Multipurpose Product.,Good product best in 5k segment ..</v>
      </c>
      <c r="C1407" s="29" t="str">
        <f>VLOOKUP(dados!A1407, reviews!A:G, 6, FALSE)</f>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v>
      </c>
      <c r="D1407" s="29" t="str">
        <f>IFERROR(__xludf.DUMMYFUNCTION("GOOGLETRANSLATE(B1407, ""en"", ""pt-br"")"),"É muito pesado e agradável pressão e vale a pena gastar :-), recomendo o produto para uso pessoal., Produto atraente., Alto ruído e aquecimento da máquina para alto, apenas o filtro da caçamba está ausente .. Por favor, envie-me o filtro de balde apenas i"&amp;"mediatamente., bom Produto multiuso., Bom produto melhor no segmento 5K ..")</f>
        <v>É muito pesado e agradável pressão e vale a pena gastar :-), recomendo o produto para uso pessoal., Produto atraente., Alto ruído e aquecimento da máquina para alto, apenas o filtro da caçamba está ausente .. Por favor, envie-me o filtro de balde apenas imediatamente., bom Produto multiuso., Bom produto melhor no segmento 5K ..</v>
      </c>
      <c r="E1407" s="29" t="str">
        <f>IFERROR(__xludf.DUMMYFUNCTION("GOOGLETRANSLATE(C1407, ""en"", ""pt-br"")"),"Eu gosto do preço onde ele vem e dos recursos que ele oferece, mas uma coisa que eu não tenho é que seu ventilador de plástico pode cobrir. A qualidade do plástico usado para dar proteção é muito leve devido à qual ele pode quebrar facilmente, então nós t"&amp;"em que elevar cuidadosamente o produto. O corte de custos é feito na construção de plástico. Além disso, todo o produto é bom., Preocupação com dobras de tubo de entrada, prejudicando o fluxo de água e o recipiente de espuma muito pequeno, portanto, conté"&amp;"m meia água e meia espuma. Deve fazer algo por isso, considerando 2022 clientes., O produto está funcionando bem como o esperado e a pressão também é boa para fins de limpeza doméstica. Como duas bicicletas e dois carros -recompensando o produto 👍. A qua"&amp;"lidade do tubo de entrada (cor azul) não está à altura da marca. E o botão de redefinição também está faltando no produto que recebi, mas depois entrei em contato com o atendimento ao cliente e descobri que recebi um Versão atualizada e não precisa de bot"&amp;"ão de redefinição., O período de garantia de 6 meses é muito curto para esse item., Alto ruído e aquecimento da máquina para alto, apenas o filtro da caçamba está ausente .. Por favor, envie -me o filtro do balde apenas imediatamente. Não vou retornar o m"&amp;"ais rápido possível, envie -me apenas filtro de balde .. eu gosto desta máquina. Meio -me responder. Até você pode limpar o banheiro, piso em minutos., bom produto melhor abaixo de 5k")</f>
        <v>Eu gosto do preço onde ele vem e dos recursos que ele oferece, mas uma coisa que eu não tenho é que seu ventilador de plástico pode cobrir. A qualidade do plástico usado para dar proteção é muito leve devido à qual ele pode quebrar facilmente, então nós tem que elevar cuidadosamente o produto. O corte de custos é feito na construção de plástico. Além disso, todo o produto é bom., Preocupação com dobras de tubo de entrada, prejudicando o fluxo de água e o recipiente de espuma muito pequeno, portanto, contém meia água e meia espuma. Deve fazer algo por isso, considerando 2022 clientes., O produto está funcionando bem como o esperado e a pressão também é boa para fins de limpeza doméstica. Como duas bicicletas e dois carros -recompensando o produto 👍. A qualidade do tubo de entrada (cor azul) não está à altura da marca. E o botão de redefinição também está faltando no produto que recebi, mas depois entrei em contato com o atendimento ao cliente e descobri que recebi um Versão atualizada e não precisa de botão de redefinição., O período de garantia de 6 meses é muito curto para esse item., Alto ruído e aquecimento da máquina para alto, apenas o filtro da caçamba está ausente .. Por favor, envie -me o filtro do balde apenas imediatamente. Não vou retornar o mais rápido possível, envie -me apenas filtro de balde .. eu gosto desta máquina. Meio -me responder. Até você pode limpar o banheiro, piso em minutos., bom produto melhor abaixo de 5k</v>
      </c>
    </row>
    <row r="1408">
      <c r="A1408" s="9" t="s">
        <v>5723</v>
      </c>
      <c r="B1408" s="29" t="str">
        <f>VLOOKUP(dados!A1408, reviews!A:G, 5, FALSE)</f>
        <v>Ok ok,Good one. Worth puechase,Average,Nice Product,Good product,Working perfectly, cord is small,Good,Has Thin plastic lid, which is not easy to clean</v>
      </c>
      <c r="C1408" s="29" t="str">
        <f>VLOOKUP(dados!A1408, reviews!A:G, 6, FALSE)</f>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v>
      </c>
      <c r="D1408" s="29" t="str">
        <f>IFERROR(__xludf.DUMMYFUNCTION("GOOGLETRANSLATE(B1408, ""en"", ""pt-br"")"),"Ok, ok, bom. Vale a pena puecase, média, bom produto, bom produto, funcionando perfeitamente, o cordão é pequeno, bom, tem tampa de plástico fino, que não é fácil de limpar")</f>
        <v>Ok, ok, bom. Vale a pena puecase, média, bom produto, bom produto, funcionando perfeitamente, o cordão é pequeno, bom, tem tampa de plástico fino, que não é fácil de limpar</v>
      </c>
      <c r="E1408" s="29" t="str">
        <f>IFERROR(__xludf.DUMMYFUNCTION("GOOGLETRANSLATE(C1408, ""en"", ""pt-br"")"),"Ok ok, calor rápido e corte automático., Média, um produto muito bom. Fácil de lidar. Fácil de limpar. Pode cobrar água a semana como leite. O cordão é um pouco curto. A qualidade do aço é muito boa. Você pode comprar, item de qualidade, acho que a tampa "&amp;"de plástico fina pode ser quebrada algum dia. Você não pode abrir a tampa sozinha e não é fácil limpá-lo devido à sua forma de designer por dentro. Além disso, acho que o revestimento base também desaparecerá em breve. Normalmente, após alguns meses de us"&amp;"o, você pode ver a área de aquecimento da bobina diretamente quando a água ferve. No meu caso, posso ver que, apenas alguns dias após a compra. No geral, eu queria uma chaleira 1L com uma grande tampa. Então, meu principal objetivo foi cumprido. Só que eu"&amp;" acho de baixa qualidade do que o esperado.")</f>
        <v>Ok ok, calor rápido e corte automático., Média, um produto muito bom. Fácil de lidar. Fácil de limpar. Pode cobrar água a semana como leite. O cordão é um pouco curto. A qualidade do aço é muito boa. Você pode comprar, item de qualidade, acho que a tampa de plástico fina pode ser quebrada algum dia. Você não pode abrir a tampa sozinha e não é fácil limpá-lo devido à sua forma de designer por dentro. Além disso, acho que o revestimento base também desaparecerá em breve. Normalmente, após alguns meses de uso, você pode ver a área de aquecimento da bobina diretamente quando a água ferve. No meu caso, posso ver que, apenas alguns dias após a compra. No geral, eu queria uma chaleira 1L com uma grande tampa. Então, meu principal objetivo foi cumprido. Só que eu acho de baixa qualidade do que o esperado.</v>
      </c>
    </row>
    <row r="1409">
      <c r="A1409" s="9" t="s">
        <v>5727</v>
      </c>
      <c r="B1409" s="29" t="str">
        <f>VLOOKUP(dados!A1409, reviews!A:G, 5, FALSE)</f>
        <v>Anyone can use it except your elderly folks. Does not come with instructions.,It’s good prodyct,Overall good,Works and gets out of your way,Water leakage after a 2 week of useage,Good reviews,Good product, delivering what was expected,mist is like a cloud</v>
      </c>
      <c r="C1409" s="29" t="str">
        <f>VLOOKUP(dados!A1409, reviews!A:G, 6, FALSE)</f>
        <v>,You can buy it.. it’s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v>
      </c>
      <c r="D1409" s="29" t="str">
        <f>IFERROR(__xludf.DUMMYFUNCTION("GOOGLETRANSLATE(B1409, ""en"", ""pt-br"")"),"Qualquer pessoa pode usá -lo, exceto seus idosos. Não vem com instruções., É bom Prodyct, em geral, funciona e sai do seu caminho, vazamento de água após 2 semanas de uso, boas críticas, bom produto, entrega do que era esperado, a névoa é como uma nuvem")</f>
        <v>Qualquer pessoa pode usá -lo, exceto seus idosos. Não vem com instruções., É bom Prodyct, em geral, funciona e sai do seu caminho, vazamento de água após 2 semanas de uso, boas críticas, bom produto, entrega do que era esperado, a névoa é como uma nuvem</v>
      </c>
      <c r="E1409" s="29" t="str">
        <f>IFERROR(__xludf.DUMMYFUNCTION("GOOGLETRANSLATE(C1409, ""en"", ""pt-br"")"),", Você pode comprá -lo. Vale a pena, em geral até agora. Enchendo -o uma vez me dá cerca de 3 noites cheias de vapor frio em cerca de 50% de configuração. Nenhuma reclamação no uso por uma semana. Os trabalhos de corte automático são anunciados. O uso é b"&amp;"astante simples e direto. Operação silenciosa. Uma observação muito menor: o tanque é preenchido de cabeça para baixo e a água é vaunciada por um transdutor na unidade inferior. Isso é bom, mas não há mecanismo para manter o tanque e a unidade inferior un"&amp;"idos, o tanque fica no topo da unidade inferior assim. Se você tem filhos pequenos que derrubarão o tanque, isso pode ser uma preocupação., Depois de encher a água cheia à noite pela manhã, é parada e a água está transbordada e o item é danificado, não sa"&amp;"be com quem entrar em contato Emitido para reivindicar a garantia, o atendimento ao cliente, eles disseram que os serviços de serviço ligarão de volta ""ainda não há resposta quase um mês, pense antes de comprar este produto. . Bom tamanho, comprei isso p"&amp;"ara aumentar a umidade na sala e tem feito isso!, Fine névoa bom arremesso. Não testou a qualidade do sono")</f>
        <v>, Você pode comprá -lo. Vale a pena, em geral até agora. Enchendo -o uma vez me dá cerca de 3 noites cheias de vapor frio em cerca de 50% de configuração. Nenhuma reclamação no uso por uma semana. Os trabalhos de corte automático são anunciados. O uso é bastante simples e direto. Operação silenciosa. Uma observação muito menor: o tanque é preenchido de cabeça para baixo e a água é vaunciada por um transdutor na unidade inferior. Isso é bom, mas não há mecanismo para manter o tanque e a unidade inferior unidos, o tanque fica no topo da unidade inferior assim. Se você tem filhos pequenos que derrubarão o tanque, isso pode ser uma preocupação., Depois de encher a água cheia à noite pela manhã, é parada e a água está transbordada e o item é danificado, não sabe com quem entrar em contato Emitido para reivindicar a garantia, o atendimento ao cliente, eles disseram que os serviços de serviço ligarão de volta "ainda não há resposta quase um mês, pense antes de comprar este produto. . Bom tamanho, comprei isso para aumentar a umidade na sala e tem feito isso!, Fine névoa bom arremesso. Não testou a qualidade do sono</v>
      </c>
    </row>
    <row r="1410">
      <c r="A1410" s="9" t="s">
        <v>5731</v>
      </c>
      <c r="B1410" s="29" t="str">
        <f>VLOOKUP(dados!A1410, reviews!A:G, 5, FALSE)</f>
        <v>Not so Worth it,It is only for one use so as per me it's so costly,Not useful for pet hair,Good but one roll is available,Useful product,Vey helpful Product for my black clothes,Excellent product,Bad product. Product is of no use.</v>
      </c>
      <c r="C1410" s="29" t="str">
        <f>VLOOKUP(dados!A1410, reviews!A:G, 6, FALSE)</f>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v>
      </c>
      <c r="D1410" s="29" t="str">
        <f>IFERROR(__xludf.DUMMYFUNCTION("GOOGLETRANSLATE(B1410, ""en"", ""pt-br"")"),"Não vale a pena, é apenas para um uso, portanto, de acordo com mim, é tão caro, não é útil para pêlos de estimação, bom, mas um rolo está disponível, produtos úteis, produtos úteis para minhas roupas pretas, excelente produto, produto ruim. Produto não us"&amp;"a utilidade.")</f>
        <v>Não vale a pena, é apenas para um uso, portanto, de acordo com mim, é tão caro, não é útil para pêlos de estimação, bom, mas um rolo está disponível, produtos úteis, produtos úteis para minhas roupas pretas, excelente produto, produto ruim. Produto não usa utilidade.</v>
      </c>
      <c r="E1410" s="29" t="str">
        <f>IFERROR(__xludf.DUMMYFUNCTION("GOOGLETRANSLATE(C1410, ""en"", ""pt-br"")"),"Produto médio, de acordo com o seu caro, este produto é apenas para fiapos. Não é eficaz remover os pêlos de estimação das roupas, o rolo tem camadas diferentes, não sei o que fazer depois que as camadas de rolo concluídas, úteis, mas teriam preferido mai"&amp;"s poder adesivo ... obteve um preço barato na venda, ele Removido Todo o pó e os fios ficam presos nas minhas roupas após a lavagem, este é o melhor produto. Quando eu estava pedindo isso, fiquei confuso com a qualidade porque era um preço de preço. Mas u"&amp;"ma vez que eu usei o mesmo, é maravilhoso. Trabalhe rápido por causa do tamanho maior. Altamente recomendável., Produto ruim. Produto não usa utilidade.")</f>
        <v>Produto médio, de acordo com o seu caro, este produto é apenas para fiapos. Não é eficaz remover os pêlos de estimação das roupas, o rolo tem camadas diferentes, não sei o que fazer depois que as camadas de rolo concluídas, úteis, mas teriam preferido mais poder adesivo ... obteve um preço barato na venda, ele Removido Todo o pó e os fios ficam presos nas minhas roupas após a lavagem, este é o melhor produto. Quando eu estava pedindo isso, fiquei confuso com a qualidade porque era um preço de preço. Mas uma vez que eu usei o mesmo, é maravilhoso. Trabalhe rápido por causa do tamanho maior. Altamente recomendável., Produto ruim. Produto não usa utilidade.</v>
      </c>
    </row>
    <row r="1411">
      <c r="A1411" s="9" t="s">
        <v>5735</v>
      </c>
      <c r="B1411" s="29" t="str">
        <f>VLOOKUP(dados!A1411, reviews!A:G, 5, FALSE)</f>
        <v>Value for money.,Good product,Good Purchase,It’s Nice,Material made of plastic,Broke in first use,Good quality,Low cost</v>
      </c>
      <c r="C1411" s="29" t="str">
        <f>VLOOKUP(dados!A1411, reviews!A:G, 6, FALSE)</f>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containers.,That’s a nice utensil to have in kitchen. It gives a right measure of everything when baking,The material is made of plastic,Broken on first use,Quality was good and easy to use,Being low cost, good</v>
      </c>
      <c r="D1411" s="29" t="str">
        <f>IFERROR(__xludf.DUMMYFUNCTION("GOOGLETRANSLATE(B1411, ""en"", ""pt-br"")"),"Valor ao dinheiro., Bom produto, boa compra, é bom, material feito de plástico, quebrou em primeiro uso, boa qualidade, baixo custo")</f>
        <v>Valor ao dinheiro., Bom produto, boa compra, é bom, material feito de plástico, quebrou em primeiro uso, boa qualidade, baixo custo</v>
      </c>
      <c r="E1411" s="29" t="str">
        <f>IFERROR(__xludf.DUMMYFUNCTION("GOOGLETRANSLATE(C1411, ""en"", ""pt-br"")"),"Classificação geral - qualidade de 4,5Decentes. O acabamento foi muito áspero com as bordas não curvas / arquivo liso.b) poderia fornecer graduações dentro do cupsc) poderia fornecer valor de ML no Spoonsbig Miss: A tabela de colher de sopa é marcada como"&amp;" colher de chá :), bom produto, bom item. Bom conjunto. Fácil de usar. Muito resistente. Muito preciso. Apenas que as conchas sejam bastante grandes em geral, devido às alças longas. Portanto, é difícil armazenar os recipientes internos., É um bom utensíl"&amp;"io para ter na cozinha. Dá uma medida certa de tudo ao assar, o material é feito de plástico, quebrado no primeiro uso, a qualidade era boa e fácil de usar, sendo de baixo custo, bom")</f>
        <v>Classificação geral - qualidade de 4,5Decentes. O acabamento foi muito áspero com as bordas não curvas / arquivo liso.b) poderia fornecer graduações dentro do cupsc) poderia fornecer valor de ML no Spoonsbig Miss: A tabela de colher de sopa é marcada como colher de chá :), bom produto, bom item. Bom conjunto. Fácil de usar. Muito resistente. Muito preciso. Apenas que as conchas sejam bastante grandes em geral, devido às alças longas. Portanto, é difícil armazenar os recipientes internos., É um bom utensílio para ter na cozinha. Dá uma medida certa de tudo ao assar, o material é feito de plástico, quebrado no primeiro uso, a qualidade era boa e fácil de usar, sendo de baixo custo, bom</v>
      </c>
    </row>
    <row r="1412">
      <c r="A1412" s="9" t="s">
        <v>5739</v>
      </c>
      <c r="B1412" s="29" t="str">
        <f>VLOOKUP(dados!A1412, reviews!A:G, 5, FALSE)</f>
        <v>Nani's choice is still valid,Good,Value for money,Amazing,It looks great and Awesome.,Best product,Awesome 👌,Good working</v>
      </c>
      <c r="C1412" s="29" t="str">
        <f>VLOOKUP(dados!A1412, reviews!A:G, 6, FALSE)</f>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 👏,Good price</v>
      </c>
      <c r="D1412" s="29" t="str">
        <f>IFERROR(__xludf.DUMMYFUNCTION("GOOGLETRANSLATE(B1412, ""en"", ""pt-br"")"),"A escolha de Nani ainda é válida, boa, valor ao dinheiro, incrível, parece ótimo e incrível., Melhor produto, incrível 👌, bom trabalho")</f>
        <v>A escolha de Nani ainda é válida, boa, valor ao dinheiro, incrível, parece ótimo e incrível., Melhor produto, incrível 👌, bom trabalho</v>
      </c>
      <c r="E1412" s="29" t="str">
        <f>IFERROR(__xludf.DUMMYFUNCTION("GOOGLETRANSLATE(C1412, ""en"", ""pt-br"")"),"Eu tenho ouvido o moedor de misturador de Sujata desde que eu era criança e desta vez decidimos atualizar para Sujata novamente. Esse moedor de misturador é incrível e ainda é o melhor quando se trata de outros semelhantes neste segmento. Estamos felizes "&amp;"com a nossa compra e o moedor de misturador está funcionando incrível até agora. Obrigado, é bom, mas um pouco barulhento., Se você deseja comprar um produto pesado e confiável. Isto é para você. Isso ajudará você a usar esse produto incrível de 30 min., "&amp;"Produto incrível ... Melhor produto de todos os tempos ..., Prós - Jar e Mixer Body parece forte. , Nova York, bom produto 👏 👏, bom preço")</f>
        <v>Eu tenho ouvido o moedor de misturador de Sujata desde que eu era criança e desta vez decidimos atualizar para Sujata novamente. Esse moedor de misturador é incrível e ainda é o melhor quando se trata de outros semelhantes neste segmento. Estamos felizes com a nossa compra e o moedor de misturador está funcionando incrível até agora. Obrigado, é bom, mas um pouco barulhento., Se você deseja comprar um produto pesado e confiável. Isto é para você. Isso ajudará você a usar esse produto incrível de 30 min., Produto incrível ... Melhor produto de todos os tempos ..., Prós - Jar e Mixer Body parece forte. , Nova York, bom produto 👏 👏, bom preço</v>
      </c>
    </row>
    <row r="1413">
      <c r="A1413" s="9" t="s">
        <v>5743</v>
      </c>
      <c r="B1413" s="29" t="str">
        <f>VLOOKUP(dados!A1413, reviews!A:G, 5, FALSE)</f>
        <v>Good,It’s okay,Cheap quality product, not worth,Good and worth for money,Worth buy,Very nice from the seller as well as from Amazon.,superb,That's a good kitchen scalar machine must buy.</v>
      </c>
      <c r="C1413" s="29" t="str">
        <f>VLOOKUP(dados!A1413, reviews!A:G, 6, FALSE)</f>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v>
      </c>
      <c r="D1413" s="29" t="str">
        <f>IFERROR(__xludf.DUMMYFUNCTION("GOOGLETRANSLATE(B1413, ""en"", ""pt-br"")"),"Bom, está tudo bem, produto de qualidade barato, não vale, bem e vale dinheiro, vale a pena comprar, muito agradável do vendedor e também da Amazon., Soberbo, é uma boa máquina escalar de cozinha deve comprar.")</f>
        <v>Bom, está tudo bem, produto de qualidade barato, não vale, bem e vale dinheiro, vale a pena comprar, muito agradável do vendedor e também da Amazon., Soberbo, é uma boa máquina escalar de cozinha deve comprar.</v>
      </c>
      <c r="E1413" s="29" t="str">
        <f>IFERROR(__xludf.DUMMYFUNCTION("GOOGLETRANSLATE(C1413, ""en"", ""pt-br"")"),"Bom, precisa melhorar a precisão do peso, o produto é de qualidade barata e possui grandes desvantagens mencionadas abaixo. Sempre tem que usar a opção TARE, faça com que a precisão de 0.Weight seja boa. No geral, senti que deveria ter ido para um melhor "&amp;"produto., Faz de leitura precisa, produto útil e vale a pena comprar pelo preço, este é realmente um produto incrível que eu pedi na Amazon. Muito bom e tão bom do vendedor enviando as baterias também. Obrigado., Funciona melhor, vale a pena, um produto m"&amp;"uito bom deve comprar")</f>
        <v>Bom, precisa melhorar a precisão do peso, o produto é de qualidade barata e possui grandes desvantagens mencionadas abaixo. Sempre tem que usar a opção TARE, faça com que a precisão de 0.Weight seja boa. No geral, senti que deveria ter ido para um melhor produto., Faz de leitura precisa, produto útil e vale a pena comprar pelo preço, este é realmente um produto incrível que eu pedi na Amazon. Muito bom e tão bom do vendedor enviando as baterias também. Obrigado., Funciona melhor, vale a pena, um produto muito bom deve comprar</v>
      </c>
    </row>
    <row r="1414">
      <c r="A1414" s="9" t="s">
        <v>5747</v>
      </c>
      <c r="B1414" s="29" t="str">
        <f>VLOOKUP(dados!A1414, reviews!A:G, 5, FALSE)</f>
        <v>Easy installation,Product is good,Easy installation process,Good,Its going to be 6 months now, working great 👍,Nice product,nice,V guard water purifier</v>
      </c>
      <c r="C1414" s="29" t="str">
        <f>VLOOKUP(dados!A1414, reviews!A:G, 6, FALSE)</f>
        <v>Harish has explained and installed the unit perfectly. His service is good,Product is good and water taste is also good.,Good product, easy installation process,Good👌,https://m.media-amazon.com/images/W/WEBP_402378-T2/images/I/61yALWPmzzL._SY88.jpg,Nice product. On time and proper installation by v-guard team. No issues so far.,raghvendra did a great job for installation.product looks nice,Excellent product..</v>
      </c>
      <c r="D1414" s="29" t="str">
        <f>IFERROR(__xludf.DUMMYFUNCTION("GOOGLETRANSLATE(B1414, ""en"", ""pt-br"")"),"Instalação fácil, o produto é bom, fácil de instalação, bom, bom, vai demorar 6 meses agora, funcionando ótimo 👍, bom produto, bom, V Guard Water Purifier")</f>
        <v>Instalação fácil, o produto é bom, fácil de instalação, bom, bom, vai demorar 6 meses agora, funcionando ótimo 👍, bom produto, bom, V Guard Water Purifier</v>
      </c>
      <c r="E1414" s="29" t="str">
        <f>IFERROR(__xludf.DUMMYFUNCTION("GOOGLETRANSLATE(C1414, ""en"", ""pt-br"")"),"Harish explicou e instalou a unidade perfeitamente. Seu serviço é bom, o produto é bom e o sabor da água também é bom., Bom produto, processo de instalação fácil, Good👌, https: //m.media-amazon.com/images/w/webp_402378-t2/images/i/ 61yalwpmzzl._sy88.jpg,"&amp;" bom produto. No prazo e na instalação adequada da equipe V-Guard. Não há problemas até agora., Raghvendra fez um ótimo trabalho para a instalação. Produto parece bom, excelente produto ..")</f>
        <v>Harish explicou e instalou a unidade perfeitamente. Seu serviço é bom, o produto é bom e o sabor da água também é bom., Bom produto, processo de instalação fácil, Good👌, https: //m.media-amazon.com/images/w/webp_402378-t2/images/i/ 61yalwpmzzl._sy88.jpg, bom produto. No prazo e na instalação adequada da equipe V-Guard. Não há problemas até agora., Raghvendra fez um ótimo trabalho para a instalação. Produto parece bom, excelente produto ..</v>
      </c>
    </row>
    <row r="1415">
      <c r="A1415" s="9" t="s">
        <v>5751</v>
      </c>
      <c r="B1415" s="29" t="str">
        <f>VLOOKUP(dados!A1415, reviews!A:G, 5, FALSE)</f>
        <v>Good product,Best product,not that much good,Best product,A good mixer grinder,Looks good,It’s a good product…not bad at all,Go to it</v>
      </c>
      <c r="C1415" s="29" t="str">
        <f>VLOOKUP(dados!A1415, reviews!A:G, 6, FALSE)</f>
        <v>Nice product,Go for it.Best mixer at this price,noisy,Bhut badhiya quality hai . Easy to use, easy to wash. Best grinder quality,Speedy mixer with good quality of output,Out station now,Certain pros and cons: Noise is there, of course its  a 750W motor…its not a silent mixie…the jars will lock and get jammed in the groove…all the jars same issue…then we need some rubber grip to twist it hard in the reverse direction to get unlocked…this is what I faced….otherwise, grinding is very much okay and doing fine…,This product is good. I am using it for a month now. Grinding is good. Noise level is bit high but OK as it does the work. White color In outer face of mixy is a drawback. I purchased for high rate 3250Due to Diwali offer rate has been reduced to 2750. I think it's good product.</v>
      </c>
      <c r="D1415" s="29" t="str">
        <f>IFERROR(__xludf.DUMMYFUNCTION("GOOGLETRANSLATE(B1415, ""en"", ""pt-br"")"),"Bom produto, melhor produto, não muito bom, melhor produto, um bom moedor de misturador, parece bom, é um bom produto ... nada ruim, vá para ele")</f>
        <v>Bom produto, melhor produto, não muito bom, melhor produto, um bom moedor de misturador, parece bom, é um bom produto ... nada ruim, vá para ele</v>
      </c>
      <c r="E1415" s="29" t="str">
        <f>IFERROR(__xludf.DUMMYFUNCTION("GOOGLETRANSLATE(C1415, ""en"", ""pt-br"")"),"Bom produto, vá em frente. Fácil de usar, fácil de lavar. Melhor qualidade do moedor, misturador rápido com boa qualidade de saída, estação de saída agora, certos prós e contras: o ruído está lá, é claro que é um motor de 750W ... não é uma mistura silenc"&amp;"iosa ... os frascos vão travar e ficarem atolados no ritmo ... todos Os frascos da mesma questão ... então precisamos de um aperto de borracha para torcer com força na direção inversa para ser desbloqueado ... é isso que eu enfrentei ... OUTO, OUTO, RESID"&amp;"E É MUITO OK e indo bem ..., este produto é bom. Estou usando isso há um mês agora. Moer é bom. O nível de ruído é um pouco alto, mas ok, pois faz o trabalho. A cor branca na face externa do mixy é uma desvantagem. Comprei a taxa de oferta de alta taxa 32"&amp;"50Due a Diwali foi reduzida para 2750. Acho que é um bom produto.")</f>
        <v>Bom produto, vá em frente. Fácil de usar, fácil de lavar. Melhor qualidade do moedor, misturador rápido com boa qualidade de saída, estação de saída agora, certos prós e contras: o ruído está lá, é claro que é um motor de 750W ... não é uma mistura silenciosa ... os frascos vão travar e ficarem atolados no ritmo ... todos Os frascos da mesma questão ... então precisamos de um aperto de borracha para torcer com força na direção inversa para ser desbloqueado ... é isso que eu enfrentei ... OUTO, OUTO, RESIDE É MUITO OK e indo bem ..., este produto é bom. Estou usando isso há um mês agora. Moer é bom. O nível de ruído é um pouco alto, mas ok, pois faz o trabalho. A cor branca na face externa do mixy é uma desvantagem. Comprei a taxa de oferta de alta taxa 3250Due a Diwali foi reduzida para 2750. Acho que é um bom produto.</v>
      </c>
    </row>
    <row r="1416">
      <c r="A1416" s="9" t="s">
        <v>5755</v>
      </c>
      <c r="B1416" s="29" t="str">
        <f>VLOOKUP(dados!A1416, reviews!A:G, 5, FALSE)</f>
        <v>Rusty Steel beater,Product delivered in good condition but a little late than expected delivery date ..,Good product,It's good if used properly.,Nice....,Worth it Buy,gud one,KENT 16051 Hand Blender 300 W</v>
      </c>
      <c r="C1416" s="29" t="str">
        <f>VLOOKUP(dados!A1416, reviews!A:G, 6, FALSE)</f>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v>
      </c>
      <c r="D1416" s="29" t="str">
        <f>IFERROR(__xludf.DUMMYFUNCTION("GOOGLETRANSLATE(B1416, ""en"", ""pt-br"")"),"Batedor de aço enferrujado, produto entregue em boas condições, mas um pouco tarde do que o esperado data de entrega .., bom produto, é bom se usado corretamente., Bom ...., vale a pena comprar, gud um, kent 16051 liquidificador de mão 300 w")</f>
        <v>Batedor de aço enferrujado, produto entregue em boas condições, mas um pouco tarde do que o esperado data de entrega .., bom produto, é bom se usado corretamente., Bom ...., vale a pena comprar, gud um, kent 16051 liquidificador de mão 300 w</v>
      </c>
      <c r="E1416" s="29" t="str">
        <f>IFERROR(__xludf.DUMMYFUNCTION("GOOGLETRANSLATE(C1416, ""en"", ""pt-br"")"),"Produto inteiro, incluindo a máquina de bater e outro par de prostitutas de massa é absolutamente perfeita, mas o importante par de aço é realmente ruim em qualidade ... um par de batedores de batedores foi entregue e que é muito decepcionante ... Duvido "&amp;"que Eles são feitos de aço real ou não. Eu realmente apreciaria se a qualidade dos batedores pudesse ser melhorada porque todo o produto, além disso, justifica seu valor, https: //m.media-amazon.com/images/w/webp_402378-t1/images/i/616otkp1onl. _Sy88.jpg,"&amp;" bom produto para fazer creme de bolo .... eu usei este produto mais de 8 meses ..... sem problemas ... sem reclamação ..... bom trabalho, é bom se usado corretamente., Gosto deste produto., É um produto tão bom de Kent. A melhor parte é que, depois de co"&amp;"mprar, recebi uma ligação de Kent e eles fizeram uma revisão completa sobre o produto., Produto muito bom, vá em frente., Fácil e agradável, bom uso ...")</f>
        <v>Produto inteiro, incluindo a máquina de bater e outro par de prostitutas de massa é absolutamente perfeita, mas o importante par de aço é realmente ruim em qualidade ... um par de batedores de batedores foi entregue e que é muito decepcionante ... Duvido que Eles são feitos de aço real ou não. Eu realmente apreciaria se a qualidade dos batedores pudesse ser melhorada porque todo o produto, além disso, justifica seu valor, https: //m.media-amazon.com/images/w/webp_402378-t1/images/i/616otkp1onl. _Sy88.jpg, bom produto para fazer creme de bolo .... eu usei este produto mais de 8 meses ..... sem problemas ... sem reclamação ..... bom trabalho, é bom se usado corretamente., Gosto deste produto., É um produto tão bom de Kent. A melhor parte é que, depois de comprar, recebi uma ligação de Kent e eles fizeram uma revisão completa sobre o produto., Produto muito bom, vá em frente., Fácil e agradável, bom uso ...</v>
      </c>
    </row>
    <row r="1417">
      <c r="A1417" s="9" t="s">
        <v>5759</v>
      </c>
      <c r="B1417" s="29" t="str">
        <f>VLOOKUP(dados!A1417, reviews!A:G, 5, FALSE)</f>
        <v>Bad servisec,a bit costly,Favourite,Thankyou amazon for brand product which I received in good condition,Good product,Good,Prestage induction,Till now going good</v>
      </c>
      <c r="C1417" s="29" t="str">
        <f>VLOOKUP(dados!A1417, reviews!A:G, 6, FALSE)</f>
        <v>Work nahi kar raha sahi karwane ke liye call nomber dijiye,good performance .surface not glossy. costly than similar item of other brands,This is very good induction the glass on top is very fragile but it’s very easy to work with and very lightweight too,Easy to use,Amazon doesn't accept COD? IDK I had go for POD! Product is good. Easy to use nd long lasting too I think.,Good,I like the iduction woring fine and is good performance.,Till now it is good</v>
      </c>
      <c r="D1417" s="29" t="str">
        <f>IFERROR(__xludf.DUMMYFUNCTION("GOOGLETRANSLATE(B1417, ""en"", ""pt-br"")"),"Bad Servisec, um pouco caro, favorito, obrigado Amazon pelo produto de marca que recebi em boas condições, bom produto, bom, indução de prestígio, até agora indo bem")</f>
        <v>Bad Servisec, um pouco caro, favorito, obrigado Amazon pelo produto de marca que recebi em boas condições, bom produto, bom, indução de prestígio, até agora indo bem</v>
      </c>
      <c r="E1417" s="29" t="str">
        <f>IFERROR(__xludf.DUMMYFUNCTION("GOOGLETRANSLATE(C1417, ""en"", ""pt-br"")"),"Trabalho nahi kar raha sahi karwane ke liye ligue para nomber dijiye, bom desempenho. Surface não brilhante. O caro do que o item semelhante de outras marcas, isso é uma indução muito boa que o vidro no topo é muito frágil, mas é muito fácil de trabalhar "&amp;"e também muito leve, fácil de usar, a Amazon não aceita COD? Idk eu tinha ido para pod! O produto é bom. Fácil de usar e durar muito tempo, eu acho., Bom, eu gosto da pior das idações e é um bom desempenho. Até agora é bom")</f>
        <v>Trabalho nahi kar raha sahi karwane ke liye ligue para nomber dijiye, bom desempenho. Surface não brilhante. O caro do que o item semelhante de outras marcas, isso é uma indução muito boa que o vidro no topo é muito frágil, mas é muito fácil de trabalhar e também muito leve, fácil de usar, a Amazon não aceita COD? Idk eu tinha ido para pod! O produto é bom. Fácil de usar e durar muito tempo, eu acho., Bom, eu gosto da pior das idações e é um bom desempenho. Até agora é bom</v>
      </c>
    </row>
    <row r="1418">
      <c r="A1418" s="9" t="s">
        <v>5763</v>
      </c>
      <c r="B1418" s="29" t="str">
        <f>VLOOKUP(dados!A1418, reviews!A:G, 5, FALSE)</f>
        <v>Good,Value for money,Good,Under 500 tds, it gets the job done.,Installation was delayed,Nice product,Worst product,NIce</v>
      </c>
      <c r="C1418" s="29" t="str">
        <f>VLOOKUP(dados!A1418, reviews!A:G, 6, FALSE)</f>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v>
      </c>
      <c r="D1418" s="29" t="str">
        <f>IFERROR(__xludf.DUMMYFUNCTION("GOOGLETRANSLATE(B1418, ""en"", ""pt-br"")"),"Bom, valor ao dinheiro, bom, abaixo de 500 TDs, faz o trabalho.")</f>
        <v>Bom, valor ao dinheiro, bom, abaixo de 500 TDs, faz o trabalho.</v>
      </c>
      <c r="E1418" s="29" t="str">
        <f>IFERROR(__xludf.DUMMYFUNCTION("GOOGLETRANSLATE(C1418, ""en"", ""pt-br"")"),"O produto é bom a partir de agora. Os principais problemas que enfrentei não foram capazes de obter o técnico da marca. Mais tarde, com a ajuda da Amazon, conseguiu o técnico para instalá -lo e o serviço foi bom., O produto é bom. Exceto pela qualidade do"&amp;" material externo, é ruim, plástico muito coxo. Serviço e instalação são bons. A água tem um bom gosto para cobre inicialmente, informará depois de 30 dias., Https: //m.media-amazon.com/images/w/webp_402378-t2/images/i/71k14usifyl._sy88.jpg, isso pode pur"&amp;"ificar Água de até 30 a 40 litros por hora somente se sua água tiver TDS abaixo de 500. (Meu abastecimento de água -Borewell e suprimento municipal) A água tem um gosto de pré -retarda decente e leve (talvez devido à extração de minerais através da filtra"&amp;"ção múltipla). Melhor do que o One Water que você obtém no fornecedor de água por 5 RS Coin. Se o seu TDS de água estiver acima de 600, o que a máquina começa a funcionar mal. Por mau funcionamento, quero dizer, o som estranho deles será um som estranho c"&amp;"omo um pouco de pedra ficou preso dentro da água Purificador. O outro problema que você pode encontrar é menos purificação de água (talvez menos de 2 littte por hora) e o sabor da água como xarope de tosse., Nice, um pouco de ruído durante a corrida, o pi"&amp;"or produto, https: //m.media- Amazon.com/images/w/webp_402378-t2/images/i/51+mfkzplol._sy88.jpg")</f>
        <v>O produto é bom a partir de agora. Os principais problemas que enfrentei não foram capazes de obter o técnico da marca. Mais tarde, com a ajuda da Amazon, conseguiu o técnico para instalá -lo e o serviço foi bom., O produto é bom. Exceto pela qualidade do material externo, é ruim, plástico muito coxo. Serviço e instalação são bons. A água tem um bom gosto para cobre inicialmente, informará depois de 30 dias., Https: //m.media-amazon.com/images/w/webp_402378-t2/images/i/71k14usifyl._sy88.jpg, isso pode purificar Água de até 30 a 40 litros por hora somente se sua água tiver TDS abaixo de 500. (Meu abastecimento de água -Borewell e suprimento municipal) A água tem um gosto de pré -retarda decente e leve (talvez devido à extração de minerais através da filtração múltipla). Melhor do que o One Water que você obtém no fornecedor de água por 5 RS Coin. Se o seu TDS de água estiver acima de 600, o que a máquina começa a funcionar mal. Por mau funcionamento, quero dizer, o som estranho deles será um som estranho como um pouco de pedra ficou preso dentro da água Purificador. O outro problema que você pode encontrar é menos purificação de água (talvez menos de 2 littte por hora) e o sabor da água como xarope de tosse., Nice, um pouco de ruído durante a corrida, o pior produto, https: //m.media- Amazon.com/images/w/webp_402378-t2/images/i/51+mfkzplol._sy88.jpg</v>
      </c>
    </row>
    <row r="1419">
      <c r="A1419" s="9" t="s">
        <v>5767</v>
      </c>
      <c r="B1419" s="29" t="str">
        <f>VLOOKUP(dados!A1419, reviews!A:G, 5, FALSE)</f>
        <v>Nice and easy to use ,holds good no of clothes.,Average product according to the price..little expensive,Great for laundry storage,Good product.,Not much of a great product.,Very poor quality,Appears as a decent product,Value for money</v>
      </c>
      <c r="C1419" s="29" t="str">
        <f>VLOOKUP(dados!A1419, reviews!A:G, 6, FALSE)</f>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isn’t designed as projected, that’s a bummer. Good for small families only.,Good product.</v>
      </c>
      <c r="D1419" s="29" t="str">
        <f>IFERROR(__xludf.DUMMYFUNCTION("GOOGLETRANSLATE(B1419, ""en"", ""pt-br"")"),"Nice e fácil de usar, mantém um bom número de roupas., Produto médio de acordo com o preço ... muito caro, ótimo para armazenamento de lavanderia, bom produto., Não é um ótimo produto., Muito baixa qualidade, aparece como um produto decente ,Custo-benefíc"&amp;"io")</f>
        <v>Nice e fácil de usar, mantém um bom número de roupas., Produto médio de acordo com o preço ... muito caro, ótimo para armazenamento de lavanderia, bom produto., Não é um ótimo produto., Muito baixa qualidade, aparece como um produto decente ,Custo-benefício</v>
      </c>
      <c r="E1419" s="29" t="str">
        <f>IFERROR(__xludf.DUMMYFUNCTION("GOOGLETRANSLATE(C1419, ""en"", ""pt-br"")"),", Não muito durável, não pode fechar adequado, ótimo para armazenamento. O produto é o anunciado. Ambos os lados da lixeira tendem a se esgotar quando as roupas estão dentro. Portanto, a tampa pode cair dentro da lixeira. Os dois lados precisam de algum s"&amp;"uporte para mantê -lo resistente, para que a tampa permaneça nele., O material é frágil e o papelão não é forte. A trava lateral ou a maçaneta costurada não é forte. Uma caixa não pode manter o peso quando está cheio. Preço barato valor barato., Parece se"&amp;"r muito fraco, pode ser danificado em alguns dias de uso. Portanto, o devolveu., Muito cedo para questionar sua durabilidade. No entanto, parece resistente. É um pouco diferente da imagem do produto, como você pode ver nas minhas fotos, toda a parte super"&amp;"ior não foi projetada como projetada, isso é uma chatice. Bom apenas para famílias pequenas., Bom produto.")</f>
        <v>, Não muito durável, não pode fechar adequado, ótimo para armazenamento. O produto é o anunciado. Ambos os lados da lixeira tendem a se esgotar quando as roupas estão dentro. Portanto, a tampa pode cair dentro da lixeira. Os dois lados precisam de algum suporte para mantê -lo resistente, para que a tampa permaneça nele., O material é frágil e o papelão não é forte. A trava lateral ou a maçaneta costurada não é forte. Uma caixa não pode manter o peso quando está cheio. Preço barato valor barato., Parece ser muito fraco, pode ser danificado em alguns dias de uso. Portanto, o devolveu., Muito cedo para questionar sua durabilidade. No entanto, parece resistente. É um pouco diferente da imagem do produto, como você pode ver nas minhas fotos, toda a parte superior não foi projetada como projetada, isso é uma chatice. Bom apenas para famílias pequenas., Bom produto.</v>
      </c>
    </row>
    <row r="1420">
      <c r="A1420" s="9" t="s">
        <v>5771</v>
      </c>
      <c r="B1420" s="29" t="str">
        <f>VLOOKUP(dados!A1420, reviews!A:G, 5, FALSE)</f>
        <v>Good.,Good product,Worth to have roti maker,Value for money,It is easy to use... time saving,Good value for money,Good,When you have Libra Chapati Maker, gathering guests is no more tension.</v>
      </c>
      <c r="C1420" s="29" t="str">
        <f>VLOOKUP(dados!A1420, reviews!A:G, 6, FALSE)</f>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v>
      </c>
      <c r="D1420" s="29" t="str">
        <f>IFERROR(__xludf.DUMMYFUNCTION("GOOGLETRANSLATE(B1420, ""en"", ""pt-br"")"),"Bom., Bom produto, vale a pena ter roti fabricante, valor ao dinheiro, é fácil de usar ... economia de tempo, boa relação custo / benefício, bom, quando você tem o fabricante de Libra Chapati, reunir convidados não é mais tensão.")</f>
        <v>Bom., Bom produto, vale a pena ter roti fabricante, valor ao dinheiro, é fácil de usar ... economia de tempo, boa relação custo / benefício, bom, quando você tem o fabricante de Libra Chapati, reunir convidados não é mais tensão.</v>
      </c>
      <c r="E1420" s="29" t="str">
        <f>IFERROR(__xludf.DUMMYFUNCTION("GOOGLETRANSLATE(C1420, ""en"", ""pt-br"")"),"Foi bom. OK com o preço., Depende da massa que você prepara. Com pouca prática, podemos fazer rotis de brasa. Somente é que não podemos tocar a parte de aço do fabricante de roti enquanto prepara rotis. A parte do aço é aquecida . Então, temos que lidar c"&amp;"uidadosamente com isso sem tocar a parte do aço. Outra preocupação é que é apenas 8 polegadas. Parathas recheados, vale a pena ter um fabricante de roti com você. Cooks Rotis rápido e tudo depende da prática. Eu também cozinhei methi parathes e estamos be"&amp;"m. Eu achei que Parathes era muito bom no fabricante de roti.Eu sou preguiçoso, sou eu e meu marido aqui para duas pessoas fazendo rotis que eu achei muito fácil. Deveria ter em cada cozinha. Se você tem ATTA Maker também do que fazer rotis não é muito ob"&amp;"stáculo. Para a massa do fabricante de roti, a massa deve ser macia e a fabricante de Atta também faz massa macia, por isso deve ter os dois do que o seu rotis será bom., Eu gosto do produto, para uma pessoa que era difícil fazer massa, pressionando e coz"&amp;"inhando. Agora, por esse fabricante de Chapati, tudo se torna fácil, extremamente bom de valor, instruções claras e fácil de usar., Bom para fazer parathas mais do que rotis .., é um excelente produto. Crianças e homens também podem usá -lo facilmente. Re"&amp;"almente o melhor valor para o dinheiro. Nem pense para outras marcas. Basta ir para a fabricante de Libra Chapati. Na verdade, reunir convidados não é mais tensão.")</f>
        <v>Foi bom. OK com o preço., Depende da massa que você prepara. Com pouca prática, podemos fazer rotis de brasa. Somente é que não podemos tocar a parte de aço do fabricante de roti enquanto prepara rotis. A parte do aço é aquecida . Então, temos que lidar cuidadosamente com isso sem tocar a parte do aço. Outra preocupação é que é apenas 8 polegadas. Parathas recheados, vale a pena ter um fabricante de roti com você. Cooks Rotis rápido e tudo depende da prática. Eu também cozinhei methi parathes e estamos bem. Eu achei que Parathes era muito bom no fabricante de roti.Eu sou preguiçoso, sou eu e meu marido aqui para duas pessoas fazendo rotis que eu achei muito fácil. Deveria ter em cada cozinha. Se você tem ATTA Maker também do que fazer rotis não é muito obstáculo. Para a massa do fabricante de roti, a massa deve ser macia e a fabricante de Atta também faz massa macia, por isso deve ter os dois do que o seu rotis será bom., Eu gosto do produto, para uma pessoa que era difícil fazer massa, pressionando e cozinhando. Agora, por esse fabricante de Chapati, tudo se torna fácil, extremamente bom de valor, instruções claras e fácil de usar., Bom para fazer parathas mais do que rotis .., é um excelente produto. Crianças e homens também podem usá -lo facilmente. Realmente o melhor valor para o dinheiro. Nem pense para outras marcas. Basta ir para a fabricante de Libra Chapati. Na verdade, reunir convidados não é mais tensão.</v>
      </c>
    </row>
    <row r="1421">
      <c r="A1421" s="9" t="s">
        <v>5777</v>
      </c>
      <c r="B1421" s="29" t="str">
        <f>VLOOKUP(dados!A1421, reviews!A:G, 5, FALSE)</f>
        <v>Nice product very easy clean,Don't buy it,nice,Multipurpose | little hard to clean,Absolutely perfect product,Must have product at home,Not good for any other use than boiler,Defective Model received - No refund, Only replace</v>
      </c>
      <c r="C1421" s="29" t="str">
        <f>VLOOKUP(dados!A1421, reviews!A:G, 6, FALSE)</f>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v>
      </c>
      <c r="D1421" s="29" t="str">
        <f>IFERROR(__xludf.DUMMYFUNCTION("GOOGLETRANSLATE(B1421, ""en"", ""pt-br"")"),"Bom produto muito fácil limpo, não compre, agradável, multiuso | Pouco produto difícil de limpar e absolutamente perfeito, deve ter produto em casa, não é bom para qualquer outro uso que não a caldeira, modelo defeituoso recebido - sem reembolso, apenas s"&amp;"ubstitua")</f>
        <v>Bom produto muito fácil limpo, não compre, agradável, multiuso | Pouco produto difícil de limpar e absolutamente perfeito, deve ter produto em casa, não é bom para qualquer outro uso que não a caldeira, modelo defeituoso recebido - sem reembolso, apenas substitua</v>
      </c>
      <c r="E1421" s="29" t="str">
        <f>IFERROR(__xludf.DUMMYFUNCTION("GOOGLETRANSLATE(C1421, ""en"", ""pt-br"")"),"Legal, não compre este item. Se você perfurar o ovo, ele sairá pelo buraco que você fez. E se você não perfurar o ovo, ele explode. Sempre que você vai para ferver de ovos, você perderá seus ovos, como é bom e multiuso, mas apenas a desvantagem é uma limp"&amp;"eza difícil, se você fizer algo além de ovos ferventes, feitos na Índia e mais útil, sugiro que tente este com certeza Você está satisfeito, nós temos uma família pequena para 2-3 pessoas do que este produto é para você, ele está tendo placa de aqueciment"&amp;"o não removível, difícil de limpar se usada para omlet., O modelo foi recebido com um pino de plugue de energia quebrado, tornando -o não utilizável, todos juntos. Esse modelo só retornou com substituição (sem reembolso), então eu coloquei minha solicitaç"&amp;"ão de substituição. Vamos ver qual seria a experiência - assista a este espaço para atualizar ... Update - o retorno foi concluído com sucesso e uma nova peça foi entregue como substituto. O novo item está funcionando bem. Todo o retorno e a substituição "&amp;"levaram uma semana. Estou satisfeito com toda a experiência. O item, no entanto, não é capaz de fazer nada além de ferver ou escapar / caçar ovos, mas a limpeza após a ramejar / caçar ovos é muito pesada e, portanto, é melhor se não for usado para essas p"&amp;"ropósitos . Para mim, é adequado apenas para ovos meio cozidos.")</f>
        <v>Legal, não compre este item. Se você perfurar o ovo, ele sairá pelo buraco que você fez. E se você não perfurar o ovo, ele explode. Sempre que você vai para ferver de ovos, você perderá seus ovos, como é bom e multiuso, mas apenas a desvantagem é uma limpeza difícil, se você fizer algo além de ovos ferventes, feitos na Índia e mais útil, sugiro que tente este com certeza Você está satisfeito, nós temos uma família pequena para 2-3 pessoas do que este produto é para você, ele está tendo placa de aquecimento não removível, difícil de limpar se usada para omlet., O modelo foi recebido com um pino de plugue de energia quebrado, tornando -o não utilizável, todos juntos. Esse modelo só retornou com substituição (sem reembolso), então eu coloquei minha solicitação de substituição. Vamos ver qual seria a experiência - assista a este espaço para atualizar ... Update - o retorno foi concluído com sucesso e uma nova peça foi entregue como substituto. O novo item está funcionando bem. Todo o retorno e a substituição levaram uma semana. Estou satisfeito com toda a experiência. O item, no entanto, não é capaz de fazer nada além de ferver ou escapar / caçar ovos, mas a limpeza após a ramejar / caçar ovos é muito pesada e, portanto, é melhor se não for usado para essas propósitos . Para mim, é adequado apenas para ovos meio cozidos.</v>
      </c>
    </row>
    <row r="1422">
      <c r="A1422" s="9" t="s">
        <v>5781</v>
      </c>
      <c r="B1422" s="29" t="str">
        <f>VLOOKUP(dados!A1422, reviews!A:G, 5, FALSE)</f>
        <v>Good enough,Nice Choice,Best price and best quality. Just go for it.,Value for money,Steel is good.,Good,Worthy product,Good</v>
      </c>
      <c r="C1422" s="29" t="str">
        <f>VLOOKUP(dados!A1422, reviews!A:G, 6, FALSE)</f>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v>
      </c>
      <c r="D1422" s="29" t="str">
        <f>IFERROR(__xludf.DUMMYFUNCTION("GOOGLETRANSLATE(B1422, ""en"", ""pt-br"")"),"Bom o suficiente, boa escolha, melhor preço e melhor qualidade. Basta ir em frente., Recurso pelo dinheiro, aço é bom., Bom e digno de produto, bom")</f>
        <v>Bom o suficiente, boa escolha, melhor preço e melhor qualidade. Basta ir em frente., Recurso pelo dinheiro, aço é bom., Bom e digno de produto, bom</v>
      </c>
      <c r="E1422" s="29" t="str">
        <f>IFERROR(__xludf.DUMMYFUNCTION("GOOGLETRANSLATE(C1422, ""en"", ""pt-br"")"),"O material de copos de medição maior é um pouco fino, então parece uma qualidade mais barata. O material das colheres menores de medição é espessa e de boa qualidade. As bordas das alças para o tamanho da copa são muito nítidas. Se você gosta de cozinhar "&amp;"regulares de itens de variedades, vá em frente., É bom comprar, eu assar bolos para as medições necessárias que isso deu preço mais barato com boa qualidade, https: //m.media-amazon.com/images/w/ Webp_402378-t2/imagens/i/81i4zpqbwpl._sy88.jpg, satisfeito "&amp;"com minha compra., Bom, sem correr .. bom produto para o propósito envolvido, é bom para preços pelo menos plastickits aço")</f>
        <v>O material de copos de medição maior é um pouco fino, então parece uma qualidade mais barata. O material das colheres menores de medição é espessa e de boa qualidade. As bordas das alças para o tamanho da copa são muito nítidas. Se você gosta de cozinhar regulares de itens de variedades, vá em frente., É bom comprar, eu assar bolos para as medições necessárias que isso deu preço mais barato com boa qualidade, https: //m.media-amazon.com/images/w/ Webp_402378-t2/imagens/i/81i4zpqbwpl._sy88.jpg, satisfeito com minha compra., Bom, sem correr .. bom produto para o propósito envolvido, é bom para preços pelo menos plastickits aço</v>
      </c>
    </row>
    <row r="1423">
      <c r="A1423" s="9" t="s">
        <v>5785</v>
      </c>
      <c r="B1423" s="29" t="str">
        <f>VLOOKUP(dados!A1423, reviews!A:G, 5, FALSE)</f>
        <v>Lint remover,So nice but takes longer then expected,Perfect,Works as promised,Very useful product,easy to use,Amazing product,Value for money</v>
      </c>
      <c r="C1423" s="29" t="str">
        <f>VLOOKUP(dados!A1423, reviews!A:G, 6, FALSE)</f>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v>
      </c>
      <c r="D1423" s="29" t="str">
        <f>IFERROR(__xludf.DUMMYFUNCTION("GOOGLETRANSLATE(B1423, ""en"", ""pt-br"")"),"Removedor")</f>
        <v>Removedor</v>
      </c>
      <c r="E1423" s="29" t="str">
        <f>IFERROR(__xludf.DUMMYFUNCTION("GOOGLETRANSLATE(C1423, ""en"", ""pt-br"")"),"Funciona perfeitamente e surpreendentemente. .com/imagens/w/webp_402378-t1/imagens/i/818fjulv22l._sy88.jpg, funciona bem. O fio também não é muito curto, muito agradável, fácil de usar, bom nesse preço., O produto é bom, fácil de usar, valor para dinheiro"&amp;", fácil de remover.")</f>
        <v>Funciona perfeitamente e surpreendentemente. .com/imagens/w/webp_402378-t1/imagens/i/818fjulv22l._sy88.jpg, funciona bem. O fio também não é muito curto, muito agradável, fácil de usar, bom nesse preço., O produto é bom, fácil de usar, valor para dinheiro, fácil de remover.</v>
      </c>
    </row>
    <row r="1424">
      <c r="A1424" s="9" t="s">
        <v>5789</v>
      </c>
      <c r="B1424" s="29" t="str">
        <f>VLOOKUP(dados!A1424, reviews!A:G, 5, FALSE)</f>
        <v>Nice,Good but screws are poor quality,Strong brackets,As required,Promt delivery,tlob ralugnA,Good,Quality of material is good but painting quality need to be improved in future product</v>
      </c>
      <c r="C1424" s="29" t="str">
        <f>VLOOKUP(dados!A1424, reviews!A:G, 6, FALSE)</f>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v>
      </c>
      <c r="D1424" s="29" t="str">
        <f>IFERROR(__xludf.DUMMYFUNCTION("GOOGLETRANSLATE(B1424, ""en"", ""pt-br"")"),"Bom, bom, mas parafusos são de baixa qualidade, colchetes fortes, conforme necessário, entrega de reprodução, tlob ralugna, boa, a qualidade do material é boa, mas a qualidade da pintura precisa ser melhorada em futuros produtos futuros")</f>
        <v>Bom, bom, mas parafusos são de baixa qualidade, colchetes fortes, conforme necessário, entrega de reprodução, tlob ralugna, boa, a qualidade do material é boa, mas a qualidade da pintura precisa ser melhorada em futuros produtos futuros</v>
      </c>
      <c r="E1424" s="29" t="str">
        <f>IFERROR(__xludf.DUMMYFUNCTION("GOOGLETRANSLATE(C1424, ""en"", ""pt-br"")"),"Bom produto adequado para o objetivo, o suporte é resistente, mas os parafusos são ruins se usados ​​para o suporte ao ar livre de 1,5t A/C., suportes fortes fáceis de montar, conforme necessário, https: //m.media-amazon.com/images/i/ 61dquxg5jel._sy88.jp"&amp;"g, o parafuso angular fornecido não é de boa qualidade. Teve que comprar outros 8 números do mercado. Me custou outro Rs. 140/-, é bom e forte o suficiente. A tinta pode ser removida após anos, mas a qualidade é boa e o preço é metade do que o cara da ins"&amp;"talação traz., Qualidade do material e acabamento")</f>
        <v>Bom produto adequado para o objetivo, o suporte é resistente, mas os parafusos são ruins se usados ​​para o suporte ao ar livre de 1,5t A/C., suportes fortes fáceis de montar, conforme necessário, https: //m.media-amazon.com/images/i/ 61dquxg5jel._sy88.jpg, o parafuso angular fornecido não é de boa qualidade. Teve que comprar outros 8 números do mercado. Me custou outro Rs. 140/-, é bom e forte o suficiente. A tinta pode ser removida após anos, mas a qualidade é boa e o preço é metade do que o cara da instalação traz., Qualidade do material e acabamento</v>
      </c>
    </row>
    <row r="1425">
      <c r="A1425" s="9" t="s">
        <v>5796</v>
      </c>
      <c r="B1425" s="29" t="str">
        <f>VLOOKUP(dados!A1425, reviews!A:G, 5, FALSE)</f>
        <v>It is nice ..and user-friendly,Really great product,Nice and easy to use,Good for light usage,Overall a valuable product in this range.,Good,Nice product,Nice product</v>
      </c>
      <c r="C1425" s="29" t="str">
        <f>VLOOKUP(dados!A1425, reviews!A:G, 6, FALSE)</f>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v>
      </c>
      <c r="D1425" s="29" t="str">
        <f>IFERROR(__xludf.DUMMYFUNCTION("GOOGLETRANSLATE(B1425, ""en"", ""pt-br"")"),"É bom ... e é fácil de usar, realmente ótimo produto, agradável e fácil de usar, bom para uso de luz, em geral um produto valioso nessa faixa., Bom e bom produto, bom produto")</f>
        <v>É bom ... e é fácil de usar, realmente ótimo produto, agradável e fácil de usar, bom para uso de luz, em geral um produto valioso nessa faixa., Bom e bom produto, bom produto</v>
      </c>
      <c r="E1425" s="29" t="str">
        <f>IFERROR(__xludf.DUMMYFUNCTION("GOOGLETRANSLATE(C1425, ""en"", ""pt-br"")"),"Bonito com um design especial e pareça atraente ... e amigável .., https: //m.media-amazon.com/images/i/71t+jszm1jl._sy88.jpg,sple, mas muito bom, leve peso item. Bom para o uso da luz., Compre pela primeira vez o produto IBall, mas o produto tem bom como"&amp;" o esperado. No geral, um produto valioso nesse intervalo. Obrigado Iball e Amazon., Conforme esperado.")</f>
        <v>Bonito com um design especial e pareça atraente ... e amigável .., https: //m.media-amazon.com/images/i/71t+jszm1jl._sy88.jpg,sple, mas muito bom, leve peso item. Bom para o uso da luz., Compre pela primeira vez o produto IBall, mas o produto tem bom como o esperado. No geral, um produto valioso nesse intervalo. Obrigado Iball e Amazon., Conforme esperado.</v>
      </c>
    </row>
    <row r="1426">
      <c r="A1426" s="9" t="s">
        <v>5800</v>
      </c>
      <c r="B1426" s="29" t="str">
        <f>VLOOKUP(dados!A1426, reviews!A:G, 5, FALSE)</f>
        <v>Good product,Delivery at door step,Price is greater than printed price.,Original spare part,Original product,Sediment filter,Good,Authentic product</v>
      </c>
      <c r="C1426" s="29" t="str">
        <f>VLOOKUP(dados!A1426, reviews!A:G, 6, FALSE)</f>
        <v>Value for money.,Good product,Printed price is ₹ 260 but I have purchased at ₹ 325,Good one it's a genuine part,,Good and genuine product go for it,Good product,Authentic company product , cheaper price</v>
      </c>
      <c r="D1426" s="29" t="str">
        <f>IFERROR(__xludf.DUMMYFUNCTION("GOOGLETRANSLATE(B1426, ""en"", ""pt-br"")"),"Bom produto, entrega na etapa da porta, preço é maior que o preço impresso., Parte de reposição original, produto original, filtro de sedimentos, produto bom e autêntico")</f>
        <v>Bom produto, entrega na etapa da porta, preço é maior que o preço impresso., Parte de reposição original, produto original, filtro de sedimentos, produto bom e autêntico</v>
      </c>
      <c r="E1426" s="29" t="str">
        <f>IFERROR(__xludf.DUMMYFUNCTION("GOOGLETRANSLATE(C1426, ""en"", ""pt-br"")"),"Valor do dinheiro., Bom produto, preço impresso é ₹ 260, mas eu comprei a ₹ 325, bom, é uma parte genuína ,, bom e genuíno produto, vá em frente, bom produto, produto autêntico da empresa, preço mais barato")</f>
        <v>Valor do dinheiro., Bom produto, preço impresso é ₹ 260, mas eu comprei a ₹ 325, bom, é uma parte genuína ,, bom e genuíno produto, vá em frente, bom produto, produto autêntico da empresa, preço mais barato</v>
      </c>
    </row>
    <row r="1427">
      <c r="A1427" s="9" t="s">
        <v>5804</v>
      </c>
      <c r="B1427" s="29" t="str">
        <f>VLOOKUP(dados!A1427, reviews!A:G, 5, FALSE)</f>
        <v>Great Product!!,Good product,Adhesion,Amazing product, value for money,Works just the way it is advertised,Good One !,Easy to use,Poor quality</v>
      </c>
      <c r="C1427" s="29" t="str">
        <f>VLOOKUP(dados!A1427, reviews!A:G, 6, FALSE)</f>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v>
      </c>
      <c r="D1427" s="29" t="str">
        <f>IFERROR(__xludf.DUMMYFUNCTION("GOOGLETRANSLATE(B1427, ""en"", ""pt-br"")"),"Ótimo produto !!, bom produto, adesão, produto incrível, valor ao dinheiro, funciona da maneira que é anunciada, boa!, Fácil de usar, baixa qualidade")</f>
        <v>Ótimo produto !!, bom produto, adesão, produto incrível, valor ao dinheiro, funciona da maneira que é anunciada, boa!, Fácil de usar, baixa qualidade</v>
      </c>
      <c r="E1427" s="29" t="str">
        <f>IFERROR(__xludf.DUMMYFUNCTION("GOOGLETRANSLATE(C1427, ""en"", ""pt-br"")"),", É fácil de usar, uma folha para um vestido. A adesão está ok. Ele absorve a maior parte do fiapo em 2 ou 3 tentativas. Sobre todo valor pelo dinheiro., Não funciona em cobertores de lã. A adesão não é muito boa., Https: //m.media-amazon.com/images/w/web"&amp;"p_402378-t1/images/i/61enrvnnrrl._sy88.jpg funciona bem, sem problemas, faz o que afirma fazer fazer . Bastante econômico. Definitivamente vou comprar novamente., Gosto deste produto. É muito fácil de usar . Torna a poeira de pano livre, a qualidade do pl"&amp;"ástico é muito ruim. No geral, abaixo da média")</f>
        <v>, É fácil de usar, uma folha para um vestido. A adesão está ok. Ele absorve a maior parte do fiapo em 2 ou 3 tentativas. Sobre todo valor pelo dinheiro., Não funciona em cobertores de lã. A adesão não é muito boa., Https: //m.media-amazon.com/images/w/webp_402378-t1/images/i/61enrvnnrrl._sy88.jpg funciona bem, sem problemas, faz o que afirma fazer fazer . Bastante econômico. Definitivamente vou comprar novamente., Gosto deste produto. É muito fácil de usar . Torna a poeira de pano livre, a qualidade do plástico é muito ruim. No geral, abaixo da média</v>
      </c>
    </row>
    <row r="1428">
      <c r="A1428" s="9" t="s">
        <v>5808</v>
      </c>
      <c r="B1428" s="29" t="str">
        <f>VLOOKUP(dados!A1428, reviews!A:G, 5, FALSE)</f>
        <v>Good product,The product is amazing,Super product 👍,Tuta dhakkn,Good product at reasonable price,Time saving,Best product,Product look goods and easy to handle.</v>
      </c>
      <c r="C1428" s="29" t="str">
        <f>VLOOKUP(dados!A1428, reviews!A:G, 6, FALSE)</f>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v>
      </c>
      <c r="D1428" s="29" t="str">
        <f>IFERROR(__xludf.DUMMYFUNCTION("GOOGLETRANSLATE(B1428, ""en"", ""pt-br"")"),"Bom produto, o produto é incrível, super produto 👍, tuta dhakkn, bom produto a preço razoável, economia de tempo, melhor produto, aparência de produtos e fáceis de manusear.")</f>
        <v>Bom produto, o produto é incrível, super produto 👍, tuta dhakkn, bom produto a preço razoável, economia de tempo, melhor produto, aparência de produtos e fáceis de manusear.</v>
      </c>
      <c r="E1428" s="29" t="str">
        <f>IFERROR(__xludf.DUMMYFUNCTION("GOOGLETRANSLATE(C1428, ""en"", ""pt-br"")"),"O comprimento do cordão pode ser mais longo, a qualidade do produto é boa., Muito bom Mai istemal kiya hoo kaphi rápido obala raha h, tuta dhakan, chaleira de bom tamanho. Bonito. No entanto, no primeiro uso, que era para fins de teste, havia um cheiro de"&amp;" queima de cabos, embora nada como tal aconteceu. Pode ser devido ao uso pela primeira vez, ele estava tentando ajustar o calor., Valor por dinheiro, bom produto, o comprimento do cordão é suficiente e fácil de limpar a chaleira.")</f>
        <v>O comprimento do cordão pode ser mais longo, a qualidade do produto é boa., Muito bom Mai istemal kiya hoo kaphi rápido obala raha h, tuta dhakan, chaleira de bom tamanho. Bonito. No entanto, no primeiro uso, que era para fins de teste, havia um cheiro de queima de cabos, embora nada como tal aconteceu. Pode ser devido ao uso pela primeira vez, ele estava tentando ajustar o calor., Valor por dinheiro, bom produto, o comprimento do cordão é suficiente e fácil de limpar a chaleira.</v>
      </c>
    </row>
    <row r="1429">
      <c r="A1429" s="9" t="s">
        <v>5812</v>
      </c>
      <c r="B1429" s="29" t="str">
        <f>VLOOKUP(dados!A1429, reviews!A:G, 5, FALSE)</f>
        <v>Good👍,A nice product in budget price 👌,Not good,A good product .,Good Product,Good,Jar was leaking even after replacing the product,Good</v>
      </c>
      <c r="C1429" s="29" t="str">
        <f>VLOOKUP(dados!A1429, reviews!A:G, 6, FALSE)</f>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v>
      </c>
      <c r="D1429" s="29" t="str">
        <f>IFERROR(__xludf.DUMMYFUNCTION("GOOGLETRANSLATE(B1429, ""en"", ""pt-br"")"),"Bom👍, um bom produto no preço do orçamento 👌, não bom, um bom produto., Bom produto, bom, jar estava vazando mesmo depois de substituir o produto, bom")</f>
        <v>Bom👍, um bom produto no preço do orçamento 👌, não bom, um bom produto., Bom produto, bom, jar estava vazando mesmo depois de substituir o produto, bom</v>
      </c>
      <c r="E1429" s="29" t="str">
        <f>IFERROR(__xludf.DUMMYFUNCTION("GOOGLETRANSLATE(C1429, ""en"", ""pt-br"")"),"Eu gosto, parece que a qualidade foi considerada bem em todos os aspectos !!!!, depois de cerca de 3Weeksone Cutter Got Jam, então não sei como reivindicar a garantia de tudo aqui parece barato. Custo, parece bom, faz menos ruído, os frascos são leves. De"&amp;"ve -se comprá -lo, bom produto, bom produto, bom produto, qualquer um pode comprar")</f>
        <v>Eu gosto, parece que a qualidade foi considerada bem em todos os aspectos !!!!, depois de cerca de 3Weeksone Cutter Got Jam, então não sei como reivindicar a garantia de tudo aqui parece barato. Custo, parece bom, faz menos ruído, os frascos são leves. Deve -se comprá -lo, bom produto, bom produto, bom produto, qualquer um pode comprar</v>
      </c>
    </row>
    <row r="1430">
      <c r="A1430" s="9" t="s">
        <v>5816</v>
      </c>
      <c r="B1430" s="29" t="str">
        <f>VLOOKUP(dados!A1430, reviews!A:G, 5, FALSE)</f>
        <v>Good product,Quality is great but chuteney jar is not working well,Good,Superb,Very good item,Super purchase,Superb 👍,Sujata hi lena.</v>
      </c>
      <c r="C1430" s="29" t="str">
        <f>VLOOKUP(dados!A1430, reviews!A:G, 6, FALSE)</f>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problem,👍,Excellent product!,This is such a big name in my family, and it holds the name true. Well packed, and really good finish. Very happy.</v>
      </c>
      <c r="D1430" s="29" t="str">
        <f>IFERROR(__xludf.DUMMYFUNCTION("GOOGLETRANSLATE(B1430, ""en"", ""pt-br"")"),"Bom produto, a qualidade é ótima, mas o frasco de chuteney não está funcionando bem, um item bom, excelente, muito bom, super compra, excelente 👍, sujata hi lena.")</f>
        <v>Bom produto, a qualidade é ótima, mas o frasco de chuteney não está funcionando bem, um item bom, excelente, muito bom, super compra, excelente 👍, sujata hi lena.</v>
      </c>
      <c r="E1430" s="29" t="str">
        <f>IFERROR(__xludf.DUMMYFUNCTION("GOOGLETRANSLATE(C1430, ""en"", ""pt-br"")"),"Consegui com embalagens intactas abri -lo no motor e os frascos estavam brilhando, usamos esse misturador há alguns meses e ele faz maravilhas. Eu tenho usado o jarro de moedor seco para moer açafrão, arroz para o meu frasco de 6 meses e chutney para dife"&amp;"rentes tipos de chutney. Usamos muitos outros misturadores de marcas, mas nunca tivemos essa poderosa funcionamento suave. Você deve ir em frente., A qualidade dos mixer e dos potes é boa, mas o frasco de chuteney é de grande tamanho, portanto, não é bom "&amp;"para pequenas moagem diária de masala. Deveria ter fornecido um jar pequeno ou opção para selecionar., Bom, muito bom produto, funcionamento eficiente., Trabalhando muito bem sem dar nenhum problema, 👍, excelente produto!, Este é um nome tão grande na mi"&amp;"nha família e mantém o nome verdadeiro. Bem embalado e muito bom acabamento. Muito feliz.")</f>
        <v>Consegui com embalagens intactas abri -lo no motor e os frascos estavam brilhando, usamos esse misturador há alguns meses e ele faz maravilhas. Eu tenho usado o jarro de moedor seco para moer açafrão, arroz para o meu frasco de 6 meses e chutney para diferentes tipos de chutney. Usamos muitos outros misturadores de marcas, mas nunca tivemos essa poderosa funcionamento suave. Você deve ir em frente., A qualidade dos mixer e dos potes é boa, mas o frasco de chuteney é de grande tamanho, portanto, não é bom para pequenas moagem diária de masala. Deveria ter fornecido um jar pequeno ou opção para selecionar., Bom, muito bom produto, funcionamento eficiente., Trabalhando muito bem sem dar nenhum problema, 👍, excelente produto!, Este é um nome tão grande na minha família e mantém o nome verdadeiro. Bem embalado e muito bom acabamento. Muito feliz.</v>
      </c>
    </row>
    <row r="1431">
      <c r="A1431" s="9" t="s">
        <v>5820</v>
      </c>
      <c r="B1431" s="29" t="str">
        <f>VLOOKUP(dados!A1431, reviews!A:G, 5, FALSE)</f>
        <v>I got a used item,Nice,The product is good but water dripping outside of the iron box,Ok product and easy to use,Suitable only for light use.,nice,Just OK. Less heating,Socket is loose.</v>
      </c>
      <c r="C1431" s="29" t="str">
        <f>VLOOKUP(dados!A1431, reviews!A:G, 6, FALSE)</f>
        <v>The iron had water still inside it, the plastic clips were half opened and the box looked like it was opened , the Amazon box was intact . Just that product box was taped up . Expected to get a new product and not a renewed item .If I knew I was buying a renewed item I wouldn’t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v>
      </c>
      <c r="D1431" s="29" t="str">
        <f>IFERROR(__xludf.DUMMYFUNCTION("GOOGLETRANSLATE(B1431, ""en"", ""pt-br"")"),"Eu tenho um item usado, bom, o produto é bom, mas pingando água fora da caixa de ferro, produto OK e fácil de usar, adequado apenas para uso leve., Agradável, apenas ok. Menos aquecimento, o soquete está solto.")</f>
        <v>Eu tenho um item usado, bom, o produto é bom, mas pingando água fora da caixa de ferro, produto OK e fácil de usar, adequado apenas para uso leve., Agradável, apenas ok. Menos aquecimento, o soquete está solto.</v>
      </c>
      <c r="E1431" s="29" t="str">
        <f>IFERROR(__xludf.DUMMYFUNCTION("GOOGLETRANSLATE(C1431, ""en"", ""pt-br"")"),"O ferro ainda tinha água dentro dele, os clipes de plástico foram abertos pela metade e a caixa parecia aberta, a caixa da Amazon estava intacta. Apenas essa caixa de produto foi gravada. Espera -se obter um novo produto e não um item renovado. Se eu soub"&amp;"esse que estava comprando um item renovado que não teria pago o preço total., Bom produto, o produto é bom, mas não para ferro a vapor. A água pingando fora da caixa de ferro molhando o pano., Este produto é fácil de usar, pois nenhum problema de arame e "&amp;"funciona bem e demore mais tempo, remova as rugas, 1) 1380W não é suficiente para um design sem fio (rapidamente perde o calor enquanto o uso e pega Hora de aquecer - você costuma acabar esperando a unidade ser reaquecida! - o design com fio é melhor para"&amp;" modelos de faixa de 1000W.2) Embora essa tenha uma opção de vapor contínuo - isso reduz drasticamente o tempo utilizável e depois de retornar a unidade para base - Os problemas excessivos de pingos de água podem ser observados. A água condensada flui pel"&amp;"a base para a tabela !!! 3) O manual do usuário não cobre todos os detalhes necessários. No geral - este não é um produto bem projetado. E não feliz com o uso da vida real, o produto agradável, a temperatura cai muito rápido, o soquete da estação de reten"&amp;"ção parece solto. Em algum momento, precisa pressionar com força a estação de retenção.")</f>
        <v>O ferro ainda tinha água dentro dele, os clipes de plástico foram abertos pela metade e a caixa parecia aberta, a caixa da Amazon estava intacta. Apenas essa caixa de produto foi gravada. Espera -se obter um novo produto e não um item renovado. Se eu soubesse que estava comprando um item renovado que não teria pago o preço total., Bom produto, o produto é bom, mas não para ferro a vapor. A água pingando fora da caixa de ferro molhando o pano., Este produto é fácil de usar, pois nenhum problema de arame e funciona bem e demore mais tempo, remova as rugas, 1) 1380W não é suficiente para um design sem fio (rapidamente perde o calor enquanto o uso e pega Hora de aquecer - você costuma acabar esperando a unidade ser reaquecida! - o design com fio é melhor para modelos de faixa de 1000W.2) Embora essa tenha uma opção de vapor contínuo - isso reduz drasticamente o tempo utilizável e depois de retornar a unidade para base - Os problemas excessivos de pingos de água podem ser observados. A água condensada flui pela base para a tabela !!! 3) O manual do usuário não cobre todos os detalhes necessários. No geral - este não é um produto bem projetado. E não feliz com o uso da vida real, o produto agradável, a temperatura cai muito rápido, o soquete da estação de retenção parece solto. Em algum momento, precisa pressionar com força a estação de retenção.</v>
      </c>
    </row>
    <row r="1432">
      <c r="A1432" s="9" t="s">
        <v>5824</v>
      </c>
      <c r="B1432" s="29" t="str">
        <f>VLOOKUP(dados!A1432, reviews!A:G, 5, FALSE)</f>
        <v>Works as expected but some things can improve,I am using this more than 1 year,Overall its a good product, very useful.Some minor drawbacks.,Great for vacuum, bad for mopping,Good product.,Product service issues,Good product,A helping hand for working women</v>
      </c>
      <c r="C1432" s="29" t="str">
        <f>VLOOKUP(dados!A1432, reviews!A:G, 6, FALSE)</f>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v>
      </c>
      <c r="D1432" s="29" t="str">
        <f>IFERROR(__xludf.DUMMYFUNCTION("GOOGLETRANSLATE(B1432, ""en"", ""pt-br"")"),"Funciona como esperado, mas algumas coisas podem melhorar, estou usando isso mais de 1 ano, no geral é um bom produto, muito útil. , Uma mão amiga para mulheres que trabalham")</f>
        <v>Funciona como esperado, mas algumas coisas podem melhorar, estou usando isso mais de 1 ano, no geral é um bom produto, muito útil. , Uma mão amiga para mulheres que trabalham</v>
      </c>
      <c r="E1432" s="29" t="str">
        <f>IFERROR(__xludf.DUMMYFUNCTION("GOOGLETRANSLATE(C1432, ""en"", ""pt-br"")"),"Minha resenha sobre o uso de novos vácuo MOP Pro 2 por 3 dias ... 1. O produto é um pouco complicado de configurar com o aplicativo e você deve seguir os vídeos do YouTube para configurá -lo. Eu gostaria que a Xiaomi forneça links de tutorial em vídeo em "&amp;"seus manuais de usuário. Eles não mencionam, mas precisamos de conexão Bluetooth e Wi -Fi para ser configurada, para que o aplicativo e o robô trabalhem juntos. Esta dica está faltando no manual do usuário. A conectividade Wi -Fi às vezes se perde, mas is"&amp;"so ocorre porque meu roteador está longe de certos lugares da minha casa. Naquela época, o robô precisa ser trazido de volta à linha Wi -Fi. A conexão 5GHz não funciona com este modelo. O robô leva entre 40 e 60 minutos para vacinar completamente minha ca"&amp;"sa de 800 pés quadrados. A duração da bateria é realmente boa no novo modelo. 50% ou mais ainda é deixado após uma varredura completa ou ciclo de esfregão da minha casa. O carregamento também não é ruim. Foram necessários 1,5 horas para cobrar 100% da pri"&amp;"meira vez. Algumas vezes, ficou confuso em uma área específica em minha casa e eu tive que redefinir o mapa inteiro para ele funcionar corretamente novamente. Depois que o mapa foi criado e o dispositivo varre e esfregou essa área por algumas vezes, ele n"&amp;"ão repetiria esse comportamento.5. O pó é de qualidade A1. Cada vez que a quantidade de poeira coletada é impressionante. Nunca soubemos que tínhamos muita poeira em nossa casa! 6. A limpeza é média. Eu chamaria de ""limpador de luz"" e não esfregando. Ma"&amp;"nchas duras ou manchas pegajosas ou manchas secas não são afetadas pelo esfregão. Apenas poeira leve ou viscosidade fraca é apagada. Adicionar um pouco de líquido de limpeza do piso ou líquido de vim na água ajuda.7. O modo misto de vácuo + MOP é limitado"&amp;" em sua eficácia. Nesse modo, o limpamento às vezes enrola o piso e faz com que a poeira seca grude no chão que o vácuo não consegue captar. Recomendo vácuo e esfregar como dois ciclos separados.8. Manter a extensão da esfregona presa ao robô o tempo todo"&amp;" faz com que o pano de limpeza acumule a sujeira e, quando é arrastada ao longo do chão, faz com que a esfregona suja molhada seja limpa pela casa. Isso não é ideal. Portanto, é importante remover essa extensão do bot de vácuo quando você está apenas aspi"&amp;"rando e não esfregando. O esfregão trabalha terrivelmente nos tapetes da porta (tapetes de porta principal ou banheiro). Fica muito sujo quando se move sobre tapetes e depois a sujeira molhada se espalha por todo o lugar. Então, remova todos os tapetes, e"&amp;"sp. Durante a sessão de esfregaço. Os níveis de ruído são bastante baixos no modo médio. Às vezes, nem sabemos para onde foi, fica tão silencioso. É, na melhor das hipóteses, pode ser chamado de limpeza de luz.* A configuração é um pouco complicada, o man"&amp;"ual do usuário é insuficiente. A Xiaomi não entra em contato ou envia nenhuma pessoa demo em casa. Você tem que descobrir usando vídeos do YouTube. Eu posso ver pessoas idosas ou pessoas que não são mais experientes em tecnologia, terão muita dificuldade "&amp;"com isso.* Depois que o dispositivo estiver confuso, ele não se corrige automaticamente. Ele precisa de uma redefinição de mapa. é muito eficaz para varrer a poeira na casa limpa., Prosfora de limpeza em poeira É muito bom. Podemos definir o cronograma di"&amp;"ário. Mesmo que esqueça de fazê -lo, ele automaticamente fará o trabalho definindo o cronograma ... Limpeza da caixa após seu trabalho também não é muito agitado ... as piadas estão fornecendo ... podemos definir áreas restritas. Os mais dos pêlos e os fi"&amp;"os estão presos no pincel principal redondo. Pouco difícil limpar o pincel. Usando isso. Um tempo o movimento é baixo. Quando é um pouco mais difícil. As coisas permanecerão no chão ... uma vez ou duas vezes na semana, temos que esfregar com muita água e "&amp;"lizol ... não pode chegar aos cantos afiados também. Detectar a área adequada que marcamos ... então entra nessas áreas e fica preso na maioria dos tempos. Definir área restrita novamente ... é um pouco irritante, é muito bom para mim ... minha vassoura é"&amp;" quase completamente substituída por isso ... uma vez em semana eu faço a limpeza completa com vassoura para todas as áreas que não foram cobertas por isso máquina .., em todos os outros aspectos, como preço, bateria, recurso de aplicativo, sucção e limpe"&amp;"za, seu produto realmente muito bom. Acho muito útil e agradável ter produto. Então, tomará diretamente nota de algumas desvantagens/área de melhoria, eu observado. A Xiaomi poderia ter fornece um filtro HEPA extra. , se comparado a qualquer bateria de 52"&amp;"00mAh com um carregador móvel rápido, é ~ 10 vezes mais lento, apesar disso, um grande carregador de encaixe., Eu sou um solteiro e não gosto de empregada doméstica para minha casa. Isso resolve o objetivo. É ótimo em aspirar minha casa de 2000 pés quadra"&amp;"dos. Pode fazê -lo no modo turbo com limpeza dupla na duração da bateria única. Fiquei surpreso com a potência de vácuo e a duração da bateria. Ele coleta muito mais poeira do que a vassoura manual. Pode pular cantos e lugares estreitos. De vez em quando,"&amp;" eu apenas vasculho os cantos e trago a poeira no meio antes de ativar o robô.5/5 para navegação e mapeamento da sala. A mudança é igualmente ruim. O MOP não cobre toda a área e deixa trilhas. Deixa o chão com uma aparência pior do que o piso da ONU. Tamb"&amp;"ém o tanque de água quebrou em apenas algumas limpezas. Recompensado para fins de aspiradores., Produto muito bom. Produto muito útil em minha casa., Compramos o produto em abril e agora ele não está funcionando. Depois que a cobrança está funcionando por"&amp;" menos de um minuto e ficando parada, fácil de usar e funcionar bem um pouco de ruído, mas aceitável. ,Mão amiga. Mais confiável que as empregadas. Faz bem o trabalho. Uma vez em 4 dias, você precisa se limpar. Bom poder de sucção.")</f>
        <v>Minha resenha sobre o uso de novos vácuo MOP Pro 2 por 3 dias ... 1. O produto é um pouco complicado de configurar com o aplicativo e você deve seguir os vídeos do YouTube para configurá -lo. Eu gostaria que a Xiaomi forneça links de tutorial em vídeo em seus manuais de usuário. Eles não mencionam, mas precisamos de conexão Bluetooth e Wi -Fi para ser configurada, para que o aplicativo e o robô trabalhem juntos. Esta dica está faltando no manual do usuário. A conectividade Wi -Fi às vezes se perde, mas isso ocorre porque meu roteador está longe de certos lugares da minha casa. Naquela época, o robô precisa ser trazido de volta à linha Wi -Fi. A conexão 5GHz não funciona com este modelo. O robô leva entre 40 e 60 minutos para vacinar completamente minha casa de 800 pés quadrados. A duração da bateria é realmente boa no novo modelo. 50% ou mais ainda é deixado após uma varredura completa ou ciclo de esfregão da minha casa. O carregamento também não é ruim. Foram necessários 1,5 horas para cobrar 100% da primeira vez. Algumas vezes, ficou confuso em uma área específica em minha casa e eu tive que redefinir o mapa inteiro para ele funcionar corretamente novamente. Depois que o mapa foi criado e o dispositivo varre e esfregou essa área por algumas vezes, ele não repetiria esse comportamento.5. O pó é de qualidade A1. Cada vez que a quantidade de poeira coletada é impressionante. Nunca soubemos que tínhamos muita poeira em nossa casa! 6. A limpeza é média. Eu chamaria de "limpador de luz" e não esfregando. Manchas duras ou manchas pegajosas ou manchas secas não são afetadas pelo esfregão. Apenas poeira leve ou viscosidade fraca é apagada. Adicionar um pouco de líquido de limpeza do piso ou líquido de vim na água ajuda.7. O modo misto de vácuo + MOP é limitado em sua eficácia. Nesse modo, o limpamento às vezes enrola o piso e faz com que a poeira seca grude no chão que o vácuo não consegue captar. Recomendo vácuo e esfregar como dois ciclos separados.8. Manter a extensão da esfregona presa ao robô o tempo todo faz com que o pano de limpeza acumule a sujeira e, quando é arrastada ao longo do chão, faz com que a esfregona suja molhada seja limpa pela casa. Isso não é ideal. Portanto, é importante remover essa extensão do bot de vácuo quando você está apenas aspirando e não esfregando. O esfregão trabalha terrivelmente nos tapetes da porta (tapetes de porta principal ou banheiro). Fica muito sujo quando se move sobre tapetes e depois a sujeira molhada se espalha por todo o lugar. Então, remova todos os tapetes, esp. Durante a sessão de esfregaço. Os níveis de ruído são bastante baixos no modo médio. Às vezes, nem sabemos para onde foi, fica tão silencioso. É, na melhor das hipóteses, pode ser chamado de limpeza de luz.* A configuração é um pouco complicada, o manual do usuário é insuficiente. A Xiaomi não entra em contato ou envia nenhuma pessoa demo em casa. Você tem que descobrir usando vídeos do YouTube. Eu posso ver pessoas idosas ou pessoas que não são mais experientes em tecnologia, terão muita dificuldade com isso.* Depois que o dispositivo estiver confuso, ele não se corrige automaticamente. Ele precisa de uma redefinição de mapa. é muito eficaz para varrer a poeira na casa limpa., Prosfora de limpeza em poeira É muito bom. Podemos definir o cronograma diário. Mesmo que esqueça de fazê -lo, ele automaticamente fará o trabalho definindo o cronograma ... Limpeza da caixa após seu trabalho também não é muito agitado ... as piadas estão fornecendo ... podemos definir áreas restritas. Os mais dos pêlos e os fios estão presos no pincel principal redondo. Pouco difícil limpar o pincel. Usando isso. Um tempo o movimento é baixo. Quando é um pouco mais difícil. As coisas permanecerão no chão ... uma vez ou duas vezes na semana, temos que esfregar com muita água e lizol ... não pode chegar aos cantos afiados também. Detectar a área adequada que marcamos ... então entra nessas áreas e fica preso na maioria dos tempos. Definir área restrita novamente ... é um pouco irritante, é muito bom para mim ... minha vassoura é quase completamente substituída por isso ... uma vez em semana eu faço a limpeza completa com vassoura para todas as áreas que não foram cobertas por isso máquina .., em todos os outros aspectos, como preço, bateria, recurso de aplicativo, sucção e limpeza, seu produto realmente muito bom. Acho muito útil e agradável ter produto. Então, tomará diretamente nota de algumas desvantagens/área de melhoria, eu observado. A Xiaomi poderia ter fornece um filtro HEPA extra. , se comparado a qualquer bateria de 5200mAh com um carregador móvel rápido, é ~ 10 vezes mais lento, apesar disso, um grande carregador de encaixe., Eu sou um solteiro e não gosto de empregada doméstica para minha casa. Isso resolve o objetivo. É ótimo em aspirar minha casa de 2000 pés quadrados. Pode fazê -lo no modo turbo com limpeza dupla na duração da bateria única. Fiquei surpreso com a potência de vácuo e a duração da bateria. Ele coleta muito mais poeira do que a vassoura manual. Pode pular cantos e lugares estreitos. De vez em quando, eu apenas vasculho os cantos e trago a poeira no meio antes de ativar o robô.5/5 para navegação e mapeamento da sala. A mudança é igualmente ruim. O MOP não cobre toda a área e deixa trilhas. Deixa o chão com uma aparência pior do que o piso da ONU. Também o tanque de água quebrou em apenas algumas limpezas. Recompensado para fins de aspiradores., Produto muito bom. Produto muito útil em minha casa., Compramos o produto em abril e agora ele não está funcionando. Depois que a cobrança está funcionando por menos de um minuto e ficando parada, fácil de usar e funcionar bem um pouco de ruído, mas aceitável. ,Mão amiga. Mais confiável que as empregadas. Faz bem o trabalho. Uma vez em 4 dias, você precisa se limpar. Bom poder de sucção.</v>
      </c>
    </row>
    <row r="1433">
      <c r="A1433" s="9" t="s">
        <v>5828</v>
      </c>
      <c r="B1433" s="29" t="str">
        <f>VLOOKUP(dados!A1433, reviews!A:G, 5, FALSE)</f>
        <v>Nice,Perfect. Reliable. Standard size. Good suction for 10*10 bathroom,Good but got costly at 1600,Good exhaust for bathroom,Good product,Request to Return/Exchange,Easy to use,No bad</v>
      </c>
      <c r="C1433" s="29" t="str">
        <f>VLOOKUP(dados!A1433, reviews!A:G, 6, FALSE)</f>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v>
      </c>
      <c r="D1433" s="29" t="str">
        <f>IFERROR(__xludf.DUMMYFUNCTION("GOOGLETRANSLATE(B1433, ""en"", ""pt-br"")"),"Bom, perfeito. Confiável. Tamanho padrão. Boa sucção para 10*10 banheiros, bom, mas ficou caro em 1600, bom escape para o banheiro, bom produto, solicitação para retornar/trocar, fácil de usar, sem ruim")</f>
        <v>Bom, perfeito. Confiável. Tamanho padrão. Boa sucção para 10*10 banheiros, bom, mas ficou caro em 1600, bom escape para o banheiro, bom produto, solicitação para retornar/trocar, fácil de usar, sem ruim</v>
      </c>
      <c r="E1433" s="29" t="str">
        <f>IFERROR(__xludf.DUMMYFUNCTION("GOOGLETRANSLATE(C1433, ""en"", ""pt-br"")"),"Um produto razoavelmente bom, um pouco caro para mim, usando desde 1 ano. Nenhum problema enfrentado. O solo é normal., A forma não se encaixa onde eu quero instalá -lo. Eu quero a primeira rodada. Posso trocá -lo ou devolvido, por favor?, Fácil de usar, "&amp;"bom produto, mas a velocidade é um pouco baixa. Portanto, menos poder de sucção. Ruído muito baixo.")</f>
        <v>Um produto razoavelmente bom, um pouco caro para mim, usando desde 1 ano. Nenhum problema enfrentado. O solo é normal., A forma não se encaixa onde eu quero instalá -lo. Eu quero a primeira rodada. Posso trocá -lo ou devolvido, por favor?, Fácil de usar, bom produto, mas a velocidade é um pouco baixa. Portanto, menos poder de sucção. Ruído muito baixo.</v>
      </c>
    </row>
    <row r="1434">
      <c r="A1434" s="9" t="s">
        <v>5832</v>
      </c>
      <c r="B1434" s="29" t="str">
        <f>VLOOKUP(dados!A1434, reviews!A:G, 5, FALSE)</f>
        <v>Happy that I chose this,Good product,Easy usage,Go for it!,After a lot of research I found this one a very gud nd useful.,Higher sound level,Good to use. Using for the past 6 months. I run a home bakery. Quality is good.,Excellent</v>
      </c>
      <c r="C1434" s="29" t="str">
        <f>VLOOKUP(dados!A1434, reviews!A:G, 6, FALSE)</f>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product👌,I m using this stand mixer for making cakes. It's great .,Used for making dough, it went well and it was quick one. May be due to its planetary motion, it's making sound than expected.,Very sturdy,Dough maker</v>
      </c>
      <c r="D1434" s="29" t="str">
        <f>IFERROR(__xludf.DUMMYFUNCTION("GOOGLETRANSLATE(B1434, ""en"", ""pt-br"")"),"Feliz por ter escolhido isso, bom produto, uso fácil, vá em frente!, Depois de muitas pesquisas, achei este muito útil. Usando nos últimos 6 meses. Eu corro uma padaria em casa. Qualidade é boa., Excelente")</f>
        <v>Feliz por ter escolhido isso, bom produto, uso fácil, vá em frente!, Depois de muitas pesquisas, achei este muito útil. Usando nos últimos 6 meses. Eu corro uma padaria em casa. Qualidade é boa., Excelente</v>
      </c>
      <c r="E1434" s="29" t="str">
        <f>IFERROR(__xludf.DUMMYFUNCTION("GOOGLETRANSLATE(C1434, ""en"", ""pt-br"")"),"Muito feliz por ter escolhido isso para minha mãe. Tornou sua vida muito mais fácil. Somos uma família grande de 8 e a usamos apenas para amassar a farinha. Ele faz o trabalho que se destina, muito útil produto fácil de lidar, https: //m.media-amazon.com/"&amp;"images/i/61rjfycs0ql._sy88.jpg.nice Product👌, estou usando isso Misture para fazer bolos. É ótimo., Usado para fazer massa, correu bem e foi rápido. Pode ser devido ao seu movimento planetário, está fazendo som do que o esperado., Muito resistente, fabri"&amp;"cante de massa")</f>
        <v>Muito feliz por ter escolhido isso para minha mãe. Tornou sua vida muito mais fácil. Somos uma família grande de 8 e a usamos apenas para amassar a farinha. Ele faz o trabalho que se destina, muito útil produto fácil de lidar, https: //m.media-amazon.com/images/i/61rjfycs0ql._sy88.jpg.nice Product👌, estou usando isso Misture para fazer bolos. É ótimo., Usado para fazer massa, correu bem e foi rápido. Pode ser devido ao seu movimento planetário, está fazendo som do que o esperado., Muito resistente, fabricante de massa</v>
      </c>
    </row>
    <row r="1435">
      <c r="A1435" s="9" t="s">
        <v>5838</v>
      </c>
      <c r="B1435" s="29" t="str">
        <f>VLOOKUP(dados!A1435, reviews!A:G, 5, FALSE)</f>
        <v>Good quality and build,Noice to high,👌👌,Looking good,No anti dast,It is an excellent/quiet/efficient fan and the burgundy color is very good!,When it slow running It's noise out,Elegant and good quality product</v>
      </c>
      <c r="C1435" s="29" t="str">
        <f>VLOOKUP(dados!A1435, reviews!A:G, 6, FALSE)</f>
        <v>Good quality fan. Finish and colour was good. They even gave a safety metal rope for added safety.,Wind size improve,,Good fan from bugget,No Ani dast,,I am not satisfied this product,https://m.media-amazon.com/images/I/51-wl+rlQPL._SY88.jpg</v>
      </c>
      <c r="D1435" s="29" t="str">
        <f>IFERROR(__xludf.DUMMYFUNCTION("GOOGLETRANSLATE(B1435, ""en"", ""pt-br"")"),"Boa qualidade e construção, noice para alto, 👌👌, com boa aparência, sem anti -Dast, é um ventilador excelente/silencioso/eficiente e a cor da Borgonha é muito boa!, Quando está correndo devagar")</f>
        <v>Boa qualidade e construção, noice para alto, 👌👌, com boa aparência, sem anti -Dast, é um ventilador excelente/silencioso/eficiente e a cor da Borgonha é muito boa!, Quando está correndo devagar</v>
      </c>
      <c r="E1435" s="29" t="str">
        <f>IFERROR(__xludf.DUMMYFUNCTION("GOOGLETRANSLATE(C1435, ""en"", ""pt-br"")"),"Fã de boa qualidade. Acabamento e cor foi boa. Eles até deram uma corda de metal de segurança para maior segurança., Melhor o tamanho do vento, um bom ventilador de Bugget, sem ani dast ,, não estou satisfeito com este produto, https: //m.media-amazon.com"&amp;"/images/i/ 51-WL+RLQPL._SY88.JPG")</f>
        <v>Fã de boa qualidade. Acabamento e cor foi boa. Eles até deram uma corda de metal de segurança para maior segurança., Melhor o tamanho do vento, um bom ventilador de Bugget, sem ani dast ,, não estou satisfeito com este produto, https: //m.media-amazon.com/images/i/ 51-WL+RLQPL._SY88.JPG</v>
      </c>
    </row>
    <row r="1436">
      <c r="A1436" s="9" t="s">
        <v>5842</v>
      </c>
      <c r="B1436" s="29" t="str">
        <f>VLOOKUP(dados!A1436, reviews!A:G, 5, FALSE)</f>
        <v>First time product user,Too short to use,Good product,Easy to use,Cost effective,Nice!!,Not great,Perfect Waffles #Waffled👍🏻</v>
      </c>
      <c r="C1436" s="29" t="str">
        <f>VLOOKUP(dados!A1436, reviews!A:G, 6, FALSE)</f>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Let’s see if it lasts.,Very good, Easy, Good quality,Waffle maker in the market available, Very affordable price, Great deal</v>
      </c>
      <c r="D1436" s="29" t="str">
        <f>IFERROR(__xludf.DUMMYFUNCTION("GOOGLETRANSLATE(B1436, ""en"", ""pt-br"")"),"Primeira vez que o usuário do produto, muito curto para usar, bom produto, fácil de usar, econômico, agradável !!, não ótimo, waffles perfeito #waffled👍🏻")</f>
        <v>Primeira vez que o usuário do produto, muito curto para usar, bom produto, fácil de usar, econômico, agradável !!, não ótimo, waffles perfeito #waffled👍🏻</v>
      </c>
      <c r="E1436" s="29" t="str">
        <f>IFERROR(__xludf.DUMMYFUNCTION("GOOGLETRANSLATE(C1436, ""en"", ""pt-br"")"),"Recebeu um produto ainda por usar e fazer uma revisão adicional, no entanto, a qualidade é boa. As instruções são claras e fáceis de entender., Está tudo bem, mas o acorde de energia é muito curto, apenas 50-60 cm de comprimento. Sem flexibilidade no uso "&amp;"da máquina na cozinha ou em outro lugar. Verifique se o comprimento do fio elétrico é suficiente para o seu uso antes do pedido., Waffles incríveis são preparados, deve optar por isso, um produto muito bom. Fácil de fazer waffles. Fácil de usar . Worthit "&amp;"para comprar., Produto incrível que vale cada centavo! Ao custo de 5 waffle, pode -se obter a vida útil sempre que waffle! Super fácil de fazer waffle. Cuidado para o corpo plástico externo, muito frágil!, Fiz waffles pela primeira vez. Para torná -lo cro"&amp;"cante, garanta que você não preencha muita massa e também mantenha -o por um pouco mais, mesmo depois que a luz ficar verde. Fique de olho nele até obter uma cor escura de waffle [verifique se não queima;)]. Bom para uso doméstico. Fácil de limpar. O fio "&amp;"é muito curto, mas é gerenciável para mim, então eu dei 5 estrelas como é conforme minhas expectativas., O ferro waffle não aquece o suficiente para fazer os waffles no tempo indicado pela luz ou pelo tempo de cozimento no receita. Tentei pela primeira ve"&amp;"z hoje. Vamos ver se dura., Muito bom, fácil, de boa qualidade, fabricante de waffles no mercado disponível, preço muito acessível, excelente negócio")</f>
        <v>Recebeu um produto ainda por usar e fazer uma revisão adicional, no entanto, a qualidade é boa. As instruções são claras e fáceis de entender., Está tudo bem, mas o acorde de energia é muito curto, apenas 50-60 cm de comprimento. Sem flexibilidade no uso da máquina na cozinha ou em outro lugar. Verifique se o comprimento do fio elétrico é suficiente para o seu uso antes do pedido., Waffles incríveis são preparados, deve optar por isso, um produto muito bom. Fácil de fazer waffles. Fácil de usar . Worthit para comprar., Produto incrível que vale cada centavo! Ao custo de 5 waffle, pode -se obter a vida útil sempre que waffle! Super fácil de fazer waffle. Cuidado para o corpo plástico externo, muito frágil!, Fiz waffles pela primeira vez. Para torná -lo crocante, garanta que você não preencha muita massa e também mantenha -o por um pouco mais, mesmo depois que a luz ficar verde. Fique de olho nele até obter uma cor escura de waffle [verifique se não queima;)]. Bom para uso doméstico. Fácil de limpar. O fio é muito curto, mas é gerenciável para mim, então eu dei 5 estrelas como é conforme minhas expectativas., O ferro waffle não aquece o suficiente para fazer os waffles no tempo indicado pela luz ou pelo tempo de cozimento no receita. Tentei pela primeira vez hoje. Vamos ver se dura., Muito bom, fácil, de boa qualidade, fabricante de waffles no mercado disponível, preço muito acessível, excelente negócio</v>
      </c>
    </row>
    <row r="1437">
      <c r="A1437" s="9" t="s">
        <v>5846</v>
      </c>
      <c r="B1437" s="29" t="str">
        <f>VLOOKUP(dados!A1437, reviews!A:G, 5, FALSE)</f>
        <v>Worth Buying,Utility product,Good one,Average,Super,It’s ok,Good quality and worth the money,Not so durable and sturdy</v>
      </c>
      <c r="C1437" s="29" t="str">
        <f>VLOOKUP(dados!A1437, reviews!A:G, 6, FALSE)</f>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product........❤️good thickness...,It ok,Good sturdiness , durable and good buy for the money..,It's a so so product. Not so sturdy and durable.Not also free standing sometimeLittle bit expensive.Storing capacity is good</v>
      </c>
      <c r="D1437" s="29" t="str">
        <f>IFERROR(__xludf.DUMMYFUNCTION("GOOGLETRANSLATE(B1437, ""en"", ""pt-br"")"),"Vale a pena comprar, produto utilitário, bom, médio, super, tudo bem, boa qualidade e vale o dinheiro, não tão durável e robusto")</f>
        <v>Vale a pena comprar, produto utilitário, bom, médio, super, tudo bem, boa qualidade e vale o dinheiro, não tão durável e robusto</v>
      </c>
      <c r="E1437" s="29" t="str">
        <f>IFERROR(__xludf.DUMMYFUNCTION("GOOGLETRANSLATE(C1437, ""en"", ""pt-br"")"),"Se você não está procurando um produto caro, é uma boa escolha para você. Linda maneira- boa embalagem, boa, mas deve ser tratada com cuidado. É tão leve e peso. Para menos roupas que podem ser usadas, alças não costuradas bem., Super produto ........ ❤️G"&amp;"ood espessura ..., tudo bem, boa robustez, durável e boa compra pelo dinheiro .., é um então produto. Não é tão resistente e durável. Não é livre também em pé um pouco muito caro. A capacidade de terra é boa")</f>
        <v>Se você não está procurando um produto caro, é uma boa escolha para você. Linda maneira- boa embalagem, boa, mas deve ser tratada com cuidado. É tão leve e peso. Para menos roupas que podem ser usadas, alças não costuradas bem., Super produto ........ ❤️Good espessura ..., tudo bem, boa robustez, durável e boa compra pelo dinheiro .., é um então produto. Não é tão resistente e durável. Não é livre também em pé um pouco muito caro. A capacidade de terra é boa</v>
      </c>
    </row>
    <row r="1438">
      <c r="A1438" s="9" t="s">
        <v>5850</v>
      </c>
      <c r="B1438" s="29" t="str">
        <f>VLOOKUP(dados!A1438, reviews!A:G, 5, FALSE)</f>
        <v>Nice product,Best product for use in winter season,Amazing product,This devie is portable that majes its design fantastic and easy to use!,Handy heater,Awesome product,Fantastic one,Portable and easy to use.</v>
      </c>
      <c r="C1438" s="29" t="str">
        <f>VLOOKUP(dados!A1438, reviews!A:G, 6, FALSE)</f>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v>
      </c>
      <c r="D1438" s="29" t="str">
        <f>IFERROR(__xludf.DUMMYFUNCTION("GOOGLETRANSLATE(B1438, ""en"", ""pt-br"")"),"Bom produto, o melhor produto para uso no inverno, produto incrível, este Devie é portátil que formará seu design fantástico e fácil de usar!, Aquecedor prático, produto incrível, fantástico, portátil e fácil de usar.")</f>
        <v>Bom produto, o melhor produto para uso no inverno, produto incrível, este Devie é portátil que formará seu design fantástico e fácil de usar!, Aquecedor prático, produto incrível, fantástico, portátil e fácil de usar.</v>
      </c>
      <c r="E1438" s="29" t="str">
        <f>IFERROR(__xludf.DUMMYFUNCTION("GOOGLETRANSLATE(C1438, ""en"", ""pt-br"")"),"Estou usando isso para o meu quarto pessoal, bom produto para a temporada de inverno, bom produto e preço, este dispositivo é febuloso., O aquecedor prático é bom para o aluno. Eu trouxe especialmente para estudar, estou feliz, estou usando para o meu qua"&amp;"rto e dar calor adequado, mas leva tempo para aumentar a temperatura ambiente geral. Aquecedor portátil de valor para dinheiro pode ser usado em qualquer lugar., É fácil portar um bom aquecedor sem fio extra diretamente ajustado no soquete., eu adorei est"&amp;"e produto. É menor em tamanho, portátil, fácil de usar e, o mais importante, não consome muita energia.")</f>
        <v>Estou usando isso para o meu quarto pessoal, bom produto para a temporada de inverno, bom produto e preço, este dispositivo é febuloso., O aquecedor prático é bom para o aluno. Eu trouxe especialmente para estudar, estou feliz, estou usando para o meu quarto e dar calor adequado, mas leva tempo para aumentar a temperatura ambiente geral. Aquecedor portátil de valor para dinheiro pode ser usado em qualquer lugar., É fácil portar um bom aquecedor sem fio extra diretamente ajustado no soquete., eu adorei este produto. É menor em tamanho, portátil, fácil de usar e, o mais importante, não consome muita energia.</v>
      </c>
    </row>
    <row r="1439">
      <c r="A1439" s="9" t="s">
        <v>5853</v>
      </c>
      <c r="B1439" s="29" t="str">
        <f>VLOOKUP(dados!A1439, reviews!A:G, 5, FALSE)</f>
        <v>Product is good but huge noise,Good vaccum but too loud and noisy,The product was good,Good one,Super,Suction is awesome,Damage product received,A decent budget product for a clean house.</v>
      </c>
      <c r="C1439" s="29" t="str">
        <f>VLOOKUP(dados!A1439, reviews!A:G, 6, FALSE)</f>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v>
      </c>
      <c r="D1439" s="29" t="str">
        <f>IFERROR(__xludf.DUMMYFUNCTION("GOOGLETRANSLATE(B1439, ""en"", ""pt-br"")"),"O produto é bom, mas um ruído enorme, um bom váculo, mas muito alto e barulhento, o produto foi bom, bom, super, sucção é incrível, o produto de dano recebido, um produto decente orçamentário para uma casa limpa.")</f>
        <v>O produto é bom, mas um ruído enorme, um bom váculo, mas muito alto e barulhento, o produto foi bom, bom, super, sucção é incrível, o produto de dano recebido, um produto decente orçamentário para uma casa limpa.</v>
      </c>
      <c r="E1439" s="29" t="str">
        <f>IFERROR(__xludf.DUMMYFUNCTION("GOOGLETRANSLATE(C1439, ""en"", ""pt-br"")"),"O produto é bom, mas enorme ruído irritado usa o produto, gostou da função do ventilador e também a sucção é forte, no entanto, a máquina é muito alta e as extensões poderiam ter sido mais longas., O nível de ruído é muita esperança de que eles fizeram um"&amp;" dispositivo com ruído nível baixo, revisando após 3 semanas de uso. Comprado para fins de limpeza na minha unidade de pequenas roupas. Limpa a poeira com muita eficácia. Fácil de usar e mover. O saco de papel dentro para coletar a poeira e outras partícu"&amp;"las não é bom o suficiente. Wil rasgou facilmente. Mas pode usar o VC sem ele. Em termos de desempenho, é um bom produto. O soprador é, no entanto, médio. Em tudo, sem dúvida, um dos melhores aspiradores de aspiradores disponíveis nesta faixa de preço., H"&amp;"ttps: //m.media-amazon.com/images/i/51quzg+l+ql._sy88.jpg. Essa é a minha classificação genuína. A coisa toda é boa. Se você quiser, pode comprar mais acessórios de acordo com o nosso uso. O som é um bot alto, mas é como isso funciona com alta potência de"&amp;" sucção. Ele tem seu próprio espaço para manter acessórios que são legais")</f>
        <v>O produto é bom, mas enorme ruído irritado usa o produto, gostou da função do ventilador e também a sucção é forte, no entanto, a máquina é muito alta e as extensões poderiam ter sido mais longas., O nível de ruído é muita esperança de que eles fizeram um dispositivo com ruído nível baixo, revisando após 3 semanas de uso. Comprado para fins de limpeza na minha unidade de pequenas roupas. Limpa a poeira com muita eficácia. Fácil de usar e mover. O saco de papel dentro para coletar a poeira e outras partículas não é bom o suficiente. Wil rasgou facilmente. Mas pode usar o VC sem ele. Em termos de desempenho, é um bom produto. O soprador é, no entanto, médio. Em tudo, sem dúvida, um dos melhores aspiradores de aspiradores disponíveis nesta faixa de preço., Https: //m.media-amazon.com/images/i/51quzg+l+ql._sy88.jpg. Essa é a minha classificação genuína. A coisa toda é boa. Se você quiser, pode comprar mais acessórios de acordo com o nosso uso. O som é um bot alto, mas é como isso funciona com alta potência de sucção. Ele tem seu próprio espaço para manter acessórios que são legais</v>
      </c>
    </row>
    <row r="1440">
      <c r="A1440" s="9" t="s">
        <v>5857</v>
      </c>
      <c r="B1440" s="29" t="str">
        <f>VLOOKUP(dados!A1440, reviews!A:G, 5, FALSE)</f>
        <v>Nice product,Absolutely wonderful! Efficient and healthy,This is pretty good air fryer,Very good product,Very good quality product,Innovative design and good product,Best deal in this price,Cheap and best</v>
      </c>
      <c r="C1440" s="29" t="str">
        <f>VLOOKUP(dados!A1440, reviews!A:G, 6, FALSE)</f>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v>
      </c>
      <c r="D1440" s="29" t="str">
        <f>IFERROR(__xludf.DUMMYFUNCTION("GOOGLETRANSLATE(B1440, ""en"", ""pt-br"")"),"Bom produto, absolutamente maravilhoso! Eficiente e saudável, isso é muito bom fritadeira, produto muito bom, produto de muito boa qualidade, design inovador e bom produto, melhor negócio nesse preço, barato e melhor")</f>
        <v>Bom produto, absolutamente maravilhoso! Eficiente e saudável, isso é muito bom fritadeira, produto muito bom, produto de muito boa qualidade, design inovador e bom produto, melhor negócio nesse preço, barato e melhor</v>
      </c>
      <c r="E1440" s="29" t="str">
        <f>IFERROR(__xludf.DUMMYFUNCTION("GOOGLETRANSLATE(C1440, ""en"", ""pt-br"")"),"Boa compra, realmente gostei .., muito fácil de usar e limpar. Fizeram vários itens de batatas fritas, nuggets de frango e baquetas de frango, samosas de leguminosas e todas elas saíram muito bem. A melhor parte- sem óleo !! Então é realmente saudável. As"&amp;" opções de tela de toque digital são precisas e até permite alterar as configurações sem problemas. É fácil de usar e limpar. Apenas mergulhe com um pouco de sabão líquido e limpo com esponja suave. Recomendado de maneira alta se você quiser ficar saudáve"&amp;"l e não ter problemas de fritura profunda! Totalmente valor pelo dinheiro!, Esta é uma boa fritadeira, faz bem o trabalho., Este Airfryer do Inalsa é muito confiável e muito fácil de usar, faz o trabalho e tem uma taxa muito razoável. Jó de ar Airfryer pe"&amp;"rfeito, o Inalsa Air Fryer 4 l é um produto de boa qualidade. Ele veio em uma boa embalagem. Estamos usando isso por quatro dias. Nós fritos, frituras, peixes etc. É bom suprir um pouco de óleo sobre peixes. Também cozinhamos porotta. Tudo saiu bem. A pla"&amp;"ca digital funciona bem. Podemos adicionar mais temperatura ou tempo. Terminando bem. O ar quente não sai em excesso. Eu recomendo para uma família de 5 membros. Comprei este produto na Amazon e consegui minha entrega a tempo. Também recebi uma ligação da"&amp;" INALSA CLIENTE AARTILE na data da entrega para reservar a demonstração do produto. O técnico de demonstração também chegou a tempo, de acordo com o slot atribuído e explicado sobre o produto muito profissionalmente. Gostei do produto e do atendimento ao "&amp;"cliente. Vá para este produto!, A primeira aparência do produto é realmente impressionante. Funciona bem também. Estou feliz com a compra., Barato e melhor")</f>
        <v>Boa compra, realmente gostei .., muito fácil de usar e limpar. Fizeram vários itens de batatas fritas, nuggets de frango e baquetas de frango, samosas de leguminosas e todas elas saíram muito bem. A melhor parte- sem óleo !! Então é realmente saudável. As opções de tela de toque digital são precisas e até permite alterar as configurações sem problemas. É fácil de usar e limpar. Apenas mergulhe com um pouco de sabão líquido e limpo com esponja suave. Recomendado de maneira alta se você quiser ficar saudável e não ter problemas de fritura profunda! Totalmente valor pelo dinheiro!, Esta é uma boa fritadeira, faz bem o trabalho., Este Airfryer do Inalsa é muito confiável e muito fácil de usar, faz o trabalho e tem uma taxa muito razoável. Jó de ar Airfryer perfeito, o Inalsa Air Fryer 4 l é um produto de boa qualidade. Ele veio em uma boa embalagem. Estamos usando isso por quatro dias. Nós fritos, frituras, peixes etc. É bom suprir um pouco de óleo sobre peixes. Também cozinhamos porotta. Tudo saiu bem. A placa digital funciona bem. Podemos adicionar mais temperatura ou tempo. Terminando bem. O ar quente não sai em excesso. Eu recomendo para uma família de 5 membros. Comprei este produto na Amazon e consegui minha entrega a tempo. Também recebi uma ligação da INALSA CLIENTE AARTILE na data da entrega para reservar a demonstração do produto. O técnico de demonstração também chegou a tempo, de acordo com o slot atribuído e explicado sobre o produto muito profissionalmente. Gostei do produto e do atendimento ao cliente. Vá para este produto!, A primeira aparência do produto é realmente impressionante. Funciona bem também. Estou feliz com a compra., Barato e melhor</v>
      </c>
    </row>
    <row r="1441">
      <c r="A1441" s="9" t="s">
        <v>5861</v>
      </c>
      <c r="B1441" s="29" t="str">
        <f>VLOOKUP(dados!A1441, reviews!A:G, 5, FALSE)</f>
        <v>Good quality fan,Good one...,Fraud,No remote control,Value for money,Easy to assemble,no remote control but I think worth for money(bcz low budget pedestal fan,Good,Nice fan</v>
      </c>
      <c r="C1441" s="29" t="str">
        <f>VLOOKUP(dados!A1441, reviews!A:G, 6, FALSE)</f>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Tq🙏🏻🥰,Good productYou can buy it,Nice fan which one can consider at this price but should have different colour options white gets dirty early which needs care regularly otherwise nice product</v>
      </c>
      <c r="D1441" s="29" t="str">
        <f>IFERROR(__xludf.DUMMYFUNCTION("GOOGLETRANSLATE(B1441, ""en"", ""pt-br"")"),"Fã de boa qualidade, bom ..., fraude, sem controle remoto, valor para dinheiro, fácil de montar, sem controle remoto, mas acho")</f>
        <v>Fã de boa qualidade, bom ..., fraude, sem controle remoto, valor para dinheiro, fácil de montar, sem controle remoto, mas acho</v>
      </c>
      <c r="E1441" s="29" t="str">
        <f>IFERROR(__xludf.DUMMYFUNCTION("GOOGLETRANSLATE(C1441, ""en"", ""pt-br"")"),"Bom design, menos barulhento e bom ar, bom .. mais do que o esperado ... mas não pode inclinar o máximo ... Melhor alterá -lo para aparafusar para se ajustar .., remoto não é fornecido., Remoto Incluído conforme mencionado nas seções de perguntas e respos"&amp;"tas, mas não disponível, não gosta: 1) nenhum controle remoto 2) nível de ruído HighLike: 1) Vale pelo dinheiro 2) Fácil de montar 5) Ok, bom produto tq🙏🏻🥰, bom producttyou pode comprá -lo, nice Fan que se pode considerar a esse preço, mas deve ter dif"&amp;"erentes opções de cores, o branco fica sujo mais cedo, o que precisa de cuidados regularmente")</f>
        <v>Bom design, menos barulhento e bom ar, bom .. mais do que o esperado ... mas não pode inclinar o máximo ... Melhor alterá -lo para aparafusar para se ajustar .., remoto não é fornecido., Remoto Incluído conforme mencionado nas seções de perguntas e respostas, mas não disponível, não gosta: 1) nenhum controle remoto 2) nível de ruído HighLike: 1) Vale pelo dinheiro 2) Fácil de montar 5) Ok, bom produto tq🙏🏻🥰, bom producttyou pode comprá -lo, nice Fan que se pode considerar a esse preço, mas deve ter diferentes opções de cores, o branco fica sujo mais cedo, o que precisa de cuidados regularmente</v>
      </c>
    </row>
    <row r="1442">
      <c r="A1442" s="9" t="s">
        <v>5867</v>
      </c>
      <c r="B1442" s="29" t="str">
        <f>VLOOKUP(dados!A1442, reviews!A:G, 5, FALSE)</f>
        <v>Good,Value of money,Good Product,Good,Product Provider is super responsive, as received my order within 2 days,Good product. Very useful. Highly recommended.,Honesty and transperancy of the seller was perfect,Poor</v>
      </c>
      <c r="C1442" s="29" t="str">
        <f>VLOOKUP(dados!A1442, reviews!A:G, 6, FALSE)</f>
        <v>Good. Apt to IFB washing machine,Useful for ifb washing Machines,Product is good and works fine for a month.,Good,Product is good and the provider also responses very fast . I got the order within 2 days,The product is so good for use.,One of the best. Extremely needful product,Expensive</v>
      </c>
      <c r="D1442" s="29" t="str">
        <f>IFERROR(__xludf.DUMMYFUNCTION("GOOGLETRANSLATE(B1442, ""en"", ""pt-br"")"),"Bom, valor ao dinheiro, bom produto, bom provedor de produtos é super responsivo, conforme recebido meu pedido dentro de 2 dias, bom produto. Muito útil. Altamente recomendado., Honestidade e transpelancia do vendedor eram perfeitas, pobres")</f>
        <v>Bom, valor ao dinheiro, bom produto, bom provedor de produtos é super responsivo, conforme recebido meu pedido dentro de 2 dias, bom produto. Muito útil. Altamente recomendado., Honestidade e transpelancia do vendedor eram perfeitas, pobres</v>
      </c>
      <c r="E1442" s="29" t="str">
        <f>IFERROR(__xludf.DUMMYFUNCTION("GOOGLETRANSLATE(C1442, ""en"", ""pt-br"")"),"Bom. Apt à máquina de lavar IFB, útil para máquinas de lavar IFB, o produto é bom e funciona bem por um mês., Bom, o produto é bom e o provedor também resiste muito rápido. Eu recebi o pedido dentro de 2 dias, o produto é tão bom para uso., Um dos melhore"&amp;"s. Produto extremamente necessário, caro")</f>
        <v>Bom. Apt à máquina de lavar IFB, útil para máquinas de lavar IFB, o produto é bom e funciona bem por um mês., Bom, o produto é bom e o provedor também resiste muito rápido. Eu recebi o pedido dentro de 2 dias, o produto é tão bom para uso., Um dos melhores. Produto extremamente necessário, caro</v>
      </c>
    </row>
    <row r="1443">
      <c r="A1443" s="9" t="s">
        <v>5871</v>
      </c>
      <c r="B1443" s="29" t="str">
        <f>VLOOKUP(dados!A1443, reviews!A:G, 5, FALSE)</f>
        <v>Excellent product,Great Quality,Good,V good product,Overall a good product,Money waste,Good kettle, but NOT for boiling milk,Gud</v>
      </c>
      <c r="C1443" s="29" t="str">
        <f>VLOOKUP(dados!A1443, reviews!A:G, 6, FALSE)</f>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v>
      </c>
      <c r="D1443" s="29" t="str">
        <f>IFERROR(__xludf.DUMMYFUNCTION("GOOGLETRANSLATE(B1443, ""en"", ""pt-br"")"),"Excelente produto, ótima qualidade, bom, v bom produto, em geral um bom produto, desperdício de dinheiro, boa chaleira, mas não para ferver leite, gud")</f>
        <v>Excelente produto, ótima qualidade, bom, v bom produto, em geral um bom produto, desperdício de dinheiro, boa chaleira, mas não para ferver leite, gud</v>
      </c>
      <c r="E1443" s="29" t="str">
        <f>IFERROR(__xludf.DUMMYFUNCTION("GOOGLETRANSLATE(C1443, ""en"", ""pt-br"")"),"Útil para hostal, a chaleira Borosil Omni é de boa qualidade e serve ao propósito. Altamente recomendado para todas as famílias., Prós:-O comprimento do cordão é bom. de ignorância.)-VolumEcons:-Inicialmente a água após o aquecimento costumava ter um chei"&amp;"ro. Desses queimados, um deles dentro de um ano e foi enviado para reivindicação de garantia. Então, suponho que seja da natureza das chaleiras parar de funcionar após uso suficiente. Vou experimentar Kent (transparente) da próxima vez. (Shi Khel Chal Rha"&amp;" Hai chaleiras ke saath, kya karen zarurat padti hai hai ghar pe), v bom produto, em geral um bom produto, exceto as bordas internas na abertura da chaleira, é muito nítida ... quando você está limpando -o Temos que ter cuidado, caso contrário, causará um"&amp;" corte nos dedos, não está funcionando após 6 meses. Desperdício de dinheiro, gostei muito da chaleira. A tampa também é de boa qualidade e, feita de vidro. Chaleira para ferver o leite ""..... Então, você tem, pessoal, você pode usar esta chaleira para f"&amp;"erver e chá de leite para fins de chá. Eu encontrei um pouco de dente no lado interno na base, mas apenas seu minuto, então não As preocupações dizem um pouco sobre controle de qualidade. Mas não é realmente uma negociação. bandeja de ovos termoplásticos "&amp;"fornecidos e bastão de transporte fácil, que você precisa montar.")</f>
        <v>Útil para hostal, a chaleira Borosil Omni é de boa qualidade e serve ao propósito. Altamente recomendado para todas as famílias., Prós:-O comprimento do cordão é bom. de ignorância.)-VolumEcons:-Inicialmente a água após o aquecimento costumava ter um cheiro. Desses queimados, um deles dentro de um ano e foi enviado para reivindicação de garantia. Então, suponho que seja da natureza das chaleiras parar de funcionar após uso suficiente. Vou experimentar Kent (transparente) da próxima vez. (Shi Khel Chal Rha Hai chaleiras ke saath, kya karen zarurat padti hai hai ghar pe), v bom produto, em geral um bom produto, exceto as bordas internas na abertura da chaleira, é muito nítida ... quando você está limpando -o Temos que ter cuidado, caso contrário, causará um corte nos dedos, não está funcionando após 6 meses. Desperdício de dinheiro, gostei muito da chaleira. A tampa também é de boa qualidade e, feita de vidro. Chaleira para ferver o leite "..... Então, você tem, pessoal, você pode usar esta chaleira para ferver e chá de leite para fins de chá. Eu encontrei um pouco de dente no lado interno na base, mas apenas seu minuto, então não As preocupações dizem um pouco sobre controle de qualidade. Mas não é realmente uma negociação. bandeja de ovos termoplásticos fornecidos e bastão de transporte fácil, que você precisa montar.</v>
      </c>
    </row>
    <row r="1444">
      <c r="A1444" s="9" t="s">
        <v>5875</v>
      </c>
      <c r="B1444" s="29" t="str">
        <f>VLOOKUP(dados!A1444, reviews!A:G, 5, FALSE)</f>
        <v>Very good product..quality is good,A good product with superb buid quality,Not happy,Good,Good,Noisy but good,Remote control spoils the fan operation,Good performance</v>
      </c>
      <c r="C1444" s="29" t="str">
        <f>VLOOKUP(dados!A1444, reviews!A:G, 6, FALSE)</f>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v>
      </c>
      <c r="D1444" s="29" t="str">
        <f>IFERROR(__xludf.DUMMYFUNCTION("GOOGLETRANSLATE(B1444, ""en"", ""pt-br"")"),"Produto muito bom ... a qualidade é boa, um bom produto com excelente qualidade de buid, não feliz, bom, bom, barulhento, mas bom, controle remoto estraga a operação do ventilador, bom desempenho")</f>
        <v>Produto muito bom ... a qualidade é boa, um bom produto com excelente qualidade de buid, não feliz, bom, bom, barulhento, mas bom, controle remoto estraga a operação do ventilador, bom desempenho</v>
      </c>
      <c r="E1444" s="29" t="str">
        <f>IFERROR(__xludf.DUMMYFUNCTION("GOOGLETRANSLATE(C1444, ""en"", ""pt-br"")"),"Bom cor .., no geral, estou satisfeito com o produto, a qualidade da tinta e a qualidade da Buid é boa. O único problema que ele captura a poeira com muita facilidade, portanto, é necessário limpar a cada semana., Não feliz com este motor de produto não é"&amp;" bom. Dentro de um ano, fã ficando lento. Motor de um, o nosso foi substituído por 2 meses. Outro necessidade de reparo, menos ruído, bom. Parece bom se eles incluíram o forro SS para border para design marrom, bom produto e fã barulhento. E velocidade ma"&amp;"is lenta, mais ruído., Controle remoto estraga a operação do ventilador, bom produto")</f>
        <v>Bom cor .., no geral, estou satisfeito com o produto, a qualidade da tinta e a qualidade da Buid é boa. O único problema que ele captura a poeira com muita facilidade, portanto, é necessário limpar a cada semana., Não feliz com este motor de produto não é bom. Dentro de um ano, fã ficando lento. Motor de um, o nosso foi substituído por 2 meses. Outro necessidade de reparo, menos ruído, bom. Parece bom se eles incluíram o forro SS para border para design marrom, bom produto e fã barulhento. E velocidade mais lenta, mais ruído., Controle remoto estraga a operação do ventilador, bom produto</v>
      </c>
    </row>
    <row r="1445">
      <c r="A1445" s="9" t="s">
        <v>5879</v>
      </c>
      <c r="B1445" s="29" t="str">
        <f>VLOOKUP(dados!A1445, reviews!A:G, 5, FALSE)</f>
        <v>Spring alignment issue or overall alignment,Love it…,Only for black coffee not with mil,Great coffee maker.,Good product,Great coffee maker,Best brews coffee,Nice coffee maker</v>
      </c>
      <c r="C1445" s="29" t="str">
        <f>VLOOKUP(dados!A1445, reviews!A:G, 6, FALSE)</f>
        <v>Alignment between mug and top springi is not good which resulted water stagnation at top section causing bitter coffee taste,Absolutely amazing….,You can use if you wish to have black coffee or filter coffee. You can’t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v>
      </c>
      <c r="D1445" s="29" t="str">
        <f>IFERROR(__xludf.DUMMYFUNCTION("GOOGLETRANSLATE(B1445, ""en"", ""pt-br"")"),"Problema de alinhamento da primavera ou alinhamento geral, adoro ..., apenas para café preto não com mil, ótima cafeteira., Bom produto, ótima cafeteira, melhor café com cervejas, boa cafeteira")</f>
        <v>Problema de alinhamento da primavera ou alinhamento geral, adoro ..., apenas para café preto não com mil, ótima cafeteira., Bom produto, ótima cafeteira, melhor café com cervejas, boa cafeteira</v>
      </c>
      <c r="E1445" s="29" t="str">
        <f>IFERROR(__xludf.DUMMYFUNCTION("GOOGLETRANSLATE(C1445, ""en"", ""pt-br"")"),"O alinhamento entre a caneca e o topo Springi não é bom, o que resultou em estagnação de água na seção superior, causando um sabor amargo de café, absolutamente incrível ..., você pode usar se desejar tomar café preto ou filtrar café. Você não pode fazer "&amp;"café usando leite., Inicialmente, recebi um produto danificado e a Amazon o substituiu em um dia. É isso que eu precisava para começar as manhãs. Excelente produto., Bom aparelho, produto decente para casa, melhor produto para amante de café, coisa boa é "&amp;"fácil de usar, o café é bom, coisa ruim é que o prato quente não é cortado automaticamente, então tem que desligar manualmente e pode Deixar -se de novo para reaquecer, pois começará a fazer café.")</f>
        <v>O alinhamento entre a caneca e o topo Springi não é bom, o que resultou em estagnação de água na seção superior, causando um sabor amargo de café, absolutamente incrível ..., você pode usar se desejar tomar café preto ou filtrar café. Você não pode fazer café usando leite., Inicialmente, recebi um produto danificado e a Amazon o substituiu em um dia. É isso que eu precisava para começar as manhãs. Excelente produto., Bom aparelho, produto decente para casa, melhor produto para amante de café, coisa boa é fácil de usar, o café é bom, coisa ruim é que o prato quente não é cortado automaticamente, então tem que desligar manualmente e pode Deixar -se de novo para reaquecer, pois começará a fazer café.</v>
      </c>
    </row>
    <row r="1446">
      <c r="A1446" s="9" t="s">
        <v>5883</v>
      </c>
      <c r="B1446" s="29" t="str">
        <f>VLOOKUP(dados!A1446, reviews!A:G, 5, FALSE)</f>
        <v>Bigger size,Superb.,Vacuum Bag,Price is reasonable and not available locally,Works perfect,Genuine Eureka Forbes,nice,Very good</v>
      </c>
      <c r="C1446" s="29" t="str">
        <f>VLOOKUP(dados!A1446, reviews!A:G, 6, FALSE)</f>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v>
      </c>
      <c r="D1446" s="29" t="str">
        <f>IFERROR(__xludf.DUMMYFUNCTION("GOOGLETRANSLATE(B1446, ""en"", ""pt-br"")"),"Tamanho maior, soberbo.")</f>
        <v>Tamanho maior, soberbo.</v>
      </c>
      <c r="E1446" s="29" t="str">
        <f>IFERROR(__xludf.DUMMYFUNCTION("GOOGLETRANSLATE(C1446, ""en"", ""pt-br"")"),"Estes são os maiores que seus modelos usam e você deve apará -los conforme necessário. Menor incômodo, de outra forma, eles têm como pretendido, valor ao dinheiro. Suites meu modelo de bala., Melhor bolsa disponível para o antigo estilo eureka forbes aspi"&amp;"rador de pó., Acho que meu pacote era velho e todas as malas parecem pouco amareladas, caso contrário, tudo bem., Usei apenas 1 até agora. ., Genuine Eureka Forbes Bags funciona bem na minha idade Euroclean xl., Bom, conseguiu o que eu precisava")</f>
        <v>Estes são os maiores que seus modelos usam e você deve apará -los conforme necessário. Menor incômodo, de outra forma, eles têm como pretendido, valor ao dinheiro. Suites meu modelo de bala., Melhor bolsa disponível para o antigo estilo eureka forbes aspirador de pó., Acho que meu pacote era velho e todas as malas parecem pouco amareladas, caso contrário, tudo bem., Usei apenas 1 até agora. ., Genuine Eureka Forbes Bags funciona bem na minha idade Euroclean xl., Bom, conseguiu o que eu precisava</v>
      </c>
    </row>
    <row r="1447">
      <c r="A1447" s="9" t="s">
        <v>5889</v>
      </c>
      <c r="B1447" s="29" t="str">
        <f>VLOOKUP(dados!A1447, reviews!A:G, 5, FALSE)</f>
        <v>I would not really recommend it,Good,Over all good, not suitable for living room,NOT USEFUL,Great product! Works perfectly fine,Smells good,Ok,Worth it</v>
      </c>
      <c r="C1447" s="29" t="str">
        <f>VLOOKUP(dados!A1447, reviews!A:G, 6, FALSE)</f>
        <v>So I got it today , I have been using one for years n it stopped working so I thought I’ll buy this for now. Normally I just put water n oil n walla it works but in this one u have a 2wicks given to u which u have to leave in water. Then put one back inside the humidifier. Till d wick stays wet it works n then doesn’t so u have to remove the one inside n dip it in water again to work. Now that’s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v>
      </c>
      <c r="D1447" s="29" t="str">
        <f>IFERROR(__xludf.DUMMYFUNCTION("GOOGLETRANSLATE(B1447, ""en"", ""pt-br"")"),"Eu realmente não recomendaria, bom, de bom, não é adequado para a sala de estar, não útil, ótimo produto! Funciona perfeitamente bem, cheira bem, ok, vale a pena")</f>
        <v>Eu realmente não recomendaria, bom, de bom, não é adequado para a sala de estar, não útil, ótimo produto! Funciona perfeitamente bem, cheira bem, ok, vale a pena</v>
      </c>
      <c r="E1447" s="29" t="str">
        <f>IFERROR(__xludf.DUMMYFUNCTION("GOOGLETRANSLATE(C1447, ""en"", ""pt-br"")"),"Então eu consegui hoje, uso um há anos e parou de funcionar, então pensei em comprar isso por enquanto. Normalmente, eu apenas coloco água n petróleo n walla, ele funciona, mas neste você tem um 2wicks dado a você que você tem que deixar na água. Em segui"&amp;"da, coloque um de volta dentro do umidificador. Até que D Wick permaneça molhado, ele funciona, então não precisa remover o dentro e mergulhá -lo novamente na água para trabalhar. Agora isso é muito trabalho para isso. Para usá -lo como usar o YR Mobile d"&amp;"urante o carregamento ... o interruptor de energia parou de funcionar dentro de 5 dias, então eu devolvi o produto D.Se você realmente quiser umidificador para fins médicos, vá para o produto genuíno (maior preço/ qualidade)., Produto absolutamente útil ,"&amp;" toda casa deve tê -la. Ele mantém sua casa fresca com seu bom aroma., É um produto muito bom para um cheiro agradável no seu quarto, bom,")</f>
        <v>Então eu consegui hoje, uso um há anos e parou de funcionar, então pensei em comprar isso por enquanto. Normalmente, eu apenas coloco água n petróleo n walla, ele funciona, mas neste você tem um 2wicks dado a você que você tem que deixar na água. Em seguida, coloque um de volta dentro do umidificador. Até que D Wick permaneça molhado, ele funciona, então não precisa remover o dentro e mergulhá -lo novamente na água para trabalhar. Agora isso é muito trabalho para isso. Para usá -lo como usar o YR Mobile durante o carregamento ... o interruptor de energia parou de funcionar dentro de 5 dias, então eu devolvi o produto D.Se você realmente quiser umidificador para fins médicos, vá para o produto genuíno (maior preço/ qualidade)., Produto absolutamente útil , toda casa deve tê -la. Ele mantém sua casa fresca com seu bom aroma., É um produto muito bom para um cheiro agradável no seu quarto, bom,</v>
      </c>
    </row>
    <row r="1448">
      <c r="A1448" s="9" t="s">
        <v>5893</v>
      </c>
      <c r="B1448" s="29" t="str">
        <f>VLOOKUP(dados!A1448, reviews!A:G, 5, FALSE)</f>
        <v>Good,Good Design,NICE PRODUCT,Not sturdy,Good product,Best one out there!,Best in the market,Poor quality</v>
      </c>
      <c r="C1448" s="29" t="str">
        <f>VLOOKUP(dados!A1448, reviews!A:G, 6, FALSE)</f>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appreciation.,I’m using since 1 week &amp; I must say it’s very good &amp; best in the market,Heating power is very poor</v>
      </c>
      <c r="D1448" s="29" t="str">
        <f>IFERROR(__xludf.DUMMYFUNCTION("GOOGLETRANSLATE(B1448, ""en"", ""pt-br"")"),"Bom, bom design, bom produto, não resistente, bom produto, melhor por aí!, Melhor no mercado, baixa qualidade")</f>
        <v>Bom, bom design, bom produto, não resistente, bom produto, melhor por aí!, Melhor no mercado, baixa qualidade</v>
      </c>
      <c r="E1448" s="29" t="str">
        <f>IFERROR(__xludf.DUMMYFUNCTION("GOOGLETRANSLATE(C1448, ""en"", ""pt-br"")"),"É um aquecedor muito bom, mas se você quiser aquecer seu quarto, isso não é algo que você deve comprar, este aquecedor é apenas para uma atmosfera quente ao redor ou perto de você. No geral, é bom., Bom produto, excelente produto, a construção é leve, mas"&amp;" as hastes não estão fixadas firmemente. A haste superior saiu das dobradiças e parou de trabalhar em menos de um mês. Nem sequer caiu e o único movimento é de um canto da sala para o outro. É tarde demais para voltar agora, então estou usando apenas com "&amp;"a haste inferior, mas realmente desperdiçou meu dinheiro nisso., Bom produto, eu uso aquecedores o tempo todo. Eu usei Havells, Orpat e Usha no passado. Mas Hilton é de longe o melhor, gera boa quantidade de calor, melhor do que outros aquecedores que eu "&amp;"já usei. Também é bonito. Definitivamente vou me ater a isso daqui. Estou escrevendo isso para que mais pessoas experimente No mercado, o poder de aquecimento é muito ruim")</f>
        <v>É um aquecedor muito bom, mas se você quiser aquecer seu quarto, isso não é algo que você deve comprar, este aquecedor é apenas para uma atmosfera quente ao redor ou perto de você. No geral, é bom., Bom produto, excelente produto, a construção é leve, mas as hastes não estão fixadas firmemente. A haste superior saiu das dobradiças e parou de trabalhar em menos de um mês. Nem sequer caiu e o único movimento é de um canto da sala para o outro. É tarde demais para voltar agora, então estou usando apenas com a haste inferior, mas realmente desperdiçou meu dinheiro nisso., Bom produto, eu uso aquecedores o tempo todo. Eu usei Havells, Orpat e Usha no passado. Mas Hilton é de longe o melhor, gera boa quantidade de calor, melhor do que outros aquecedores que eu já usei. Também é bonito. Definitivamente vou me ater a isso daqui. Estou escrevendo isso para que mais pessoas experimente No mercado, o poder de aquecimento é muito ruim</v>
      </c>
    </row>
    <row r="1449">
      <c r="A1449" s="9" t="s">
        <v>5897</v>
      </c>
      <c r="B1449" s="29" t="str">
        <f>VLOOKUP(dados!A1449, reviews!A:G, 5, FALSE)</f>
        <v>All fine but the cord is too short,Good quality,Great quality go and buy...,Stand nahi hota hai gir jata hai,Good iron at this price,Awesome,There was one scratch on the surface which was hide under the sticker,Superb quality</v>
      </c>
      <c r="C1449" s="29" t="str">
        <f>VLOOKUP(dados!A1449, reviews!A:G, 6, FALSE)</f>
        <v>Cord is too short,Good quality in this price range,Like the product great quality and easy to use,Ok hai,Good,Light weight working good,Good product value for money,Mind-blowing performance superb worth for money</v>
      </c>
      <c r="D1449" s="29" t="str">
        <f>IFERROR(__xludf.DUMMYFUNCTION("GOOGLETRANSLATE(B1449, ""en"", ""pt-br"")"),"Tudo bem, mas o cordão é muito curto, de boa qualidade, de ótima qualidade, vá e compre ..., fique nahi hota hai gir jata hai, bom ferro a esse preço, incrível, houve um arranhão na superfície que estava escondido sob o adesivo , Excelente qualidade")</f>
        <v>Tudo bem, mas o cordão é muito curto, de boa qualidade, de ótima qualidade, vá e compre ..., fique nahi hota hai gir jata hai, bom ferro a esse preço, incrível, houve um arranhão na superfície que estava escondido sob o adesivo , Excelente qualidade</v>
      </c>
      <c r="E1449" s="29" t="str">
        <f>IFERROR(__xludf.DUMMYFUNCTION("GOOGLETRANSLATE(C1449, ""en"", ""pt-br"")"),"O cordão é muito curto, de boa qualidade nessa faixa de preço, como o produto de ótima qualidade e fácil de usar, ok hai, bom e leve trabalho bem, bom valor de produto para dinheiro, desempenho alucinante soberbo por dinheiro")</f>
        <v>O cordão é muito curto, de boa qualidade nessa faixa de preço, como o produto de ótima qualidade e fácil de usar, ok hai, bom e leve trabalho bem, bom valor de produto para dinheiro, desempenho alucinante soberbo por dinheiro</v>
      </c>
    </row>
    <row r="1450">
      <c r="A1450" s="9" t="s">
        <v>5901</v>
      </c>
      <c r="B1450" s="29" t="str">
        <f>VLOOKUP(dados!A1450, reviews!A:G, 5, FALSE)</f>
        <v>Rechargable batteries do not fit correctly,Okay product,Great purchase.,Average,Fantastic,Just buy it...,Product is good for this price,Happy That I didn't have to go to Hyderabad for IKEA.</v>
      </c>
      <c r="C1450" s="29" t="str">
        <f>VLOOKUP(dados!A1450, reviews!A:G, 6, FALSE)</f>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v>
      </c>
      <c r="D1450" s="29" t="str">
        <f>IFERROR(__xludf.DUMMYFUNCTION("GOOGLETRANSLATE(B1450, ""en"", ""pt-br"")"),"As baterias recarregáveis ​​não se encaixam corretamente, produto OK, ótima compra., Média, fantástica, basta comprar ..., o produto é bom para esse preço, feliz por não ter que ir a Hyderabad para a IKEA.")</f>
        <v>As baterias recarregáveis ​​não se encaixam corretamente, produto OK, ótima compra., Média, fantástica, basta comprar ..., o produto é bom para esse preço, feliz por não ter que ir a Hyderabad para a IKEA.</v>
      </c>
      <c r="E1450" s="29" t="str">
        <f>IFERROR(__xludf.DUMMYFUNCTION("GOOGLETRANSLATE(C1450, ""en"", ""pt-br"")"),"Embora faça a espuma suficiente abaixo de 1,5 minutos (testada usando o leite AMUL TAAZA aquecido a 50-60 graus Celcius), o suporte da bateria é muito estreito para as baterias recarregáveis ​​de Eneloop AA. Eu não sabia disso, portanto, uma das baterias "&amp;"ficou presa no compartimento da bateria. Por fim, ele teve que ser arrancado por pinças. Agora que descascei as tampas externas dos meus Eneloops para reduzir levemente os diâmetros, posso inserir e removê -los. No entanto, ainda não consigo fechar a port"&amp;"a frágil da bateria. Eu tenho que segurá -lo e pressioná -lo enquanto opera. Obviamente, não há problema se você usar duracells caros. Ainda assim, o processo de inserção da bateria não é fácil de usar, é preciso assistir a vídeos do YouTube para isso. Pa"&amp;"ra reduzir o derramamento, usar canecas de café altas durante a espuma., Não tão forte e poderoso para espalhar o café, a qualidade é boa., Produto médio, muito fácil de usar, o café da casa parece café de restaurante, muito espumoso e vale a pena., É a p"&amp;"rimeira vez que estou escrevendo uma crítica sobre qualquer produto .... Este é o melhor canto a um custo acessível!, Funciona bem e o produto é bom para esse preço, parece delicado e não tenho certeza da robustez. Atualizará a durabilidade., Funciona bem"&amp;". A fabricação de café é mais rápida.")</f>
        <v>Embora faça a espuma suficiente abaixo de 1,5 minutos (testada usando o leite AMUL TAAZA aquecido a 50-60 graus Celcius), o suporte da bateria é muito estreito para as baterias recarregáveis ​​de Eneloop AA. Eu não sabia disso, portanto, uma das baterias ficou presa no compartimento da bateria. Por fim, ele teve que ser arrancado por pinças. Agora que descascei as tampas externas dos meus Eneloops para reduzir levemente os diâmetros, posso inserir e removê -los. No entanto, ainda não consigo fechar a porta frágil da bateria. Eu tenho que segurá -lo e pressioná -lo enquanto opera. Obviamente, não há problema se você usar duracells caros. Ainda assim, o processo de inserção da bateria não é fácil de usar, é preciso assistir a vídeos do YouTube para isso. Para reduzir o derramamento, usar canecas de café altas durante a espuma., Não tão forte e poderoso para espalhar o café, a qualidade é boa., Produto médio, muito fácil de usar, o café da casa parece café de restaurante, muito espumoso e vale a pena., É a primeira vez que estou escrevendo uma crítica sobre qualquer produto .... Este é o melhor canto a um custo acessível!, Funciona bem e o produto é bom para esse preço, parece delicado e não tenho certeza da robustez. Atualizará a durabilidade., Funciona bem. A fabricação de café é mais rápida.</v>
      </c>
    </row>
    <row r="1451">
      <c r="A1451" s="9" t="s">
        <v>5905</v>
      </c>
      <c r="B1451" s="29" t="str">
        <f>VLOOKUP(dados!A1451, reviews!A:G, 5, FALSE)</f>
        <v>Stop working after few days,Ok. Changing every 4 months toomuch,Tap filter,Quality,Doesn't purify water,Very good product,REALLY GOOD!,Bad</v>
      </c>
      <c r="C1451" s="29" t="str">
        <f>VLOOKUP(dados!A1451, reviews!A:G, 6, FALSE)</f>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v>
      </c>
      <c r="D1451" s="29" t="str">
        <f>IFERROR(__xludf.DUMMYFUNCTION("GOOGLETRANSLATE(B1451, ""en"", ""pt-br"")"),"Pare de trabalhar depois de alguns dias, ok. Mudar a cada 4 meses Toomuch, filtro de toque, qualidade, não purifica a água, produto muito bom, muito bom!, Ruim")</f>
        <v>Pare de trabalhar depois de alguns dias, ok. Mudar a cada 4 meses Toomuch, filtro de toque, qualidade, não purifica a água, produto muito bom, muito bom!, Ruim</v>
      </c>
      <c r="E1451" s="29" t="str">
        <f>IFERROR(__xludf.DUMMYFUNCTION("GOOGLETRANSLATE(C1451, ""en"", ""pt-br"")"),"Pare de trabalhar depois de alguns dias, ok, não se encaixa facilmente. Pouca pressão da água o filtro cai. O ajuste é retirado para o produto. O método de purificação de água implícito é bom. A instalação deve ser facilitada., Tendo problemas de cabelo d"&amp;"evido à água, compra -o para o meu banheiro. Produto de boa qualidade, mas depois de usá-lo por alguns dias, a pressão da água filtrada foi reduzida., Prós: --as instalar (o tubo vem com 3 dimensões diferentes) contras:- Esperou-se para purificar a água d"&amp;"a torneira (conforme mencionado em sua descrição). Infelizmente, não serve ao propósito - medi minha água usual com o medidor PPC TDS - o resultado foi 427 (usual para Bangalore). Depois de instalar esse filtro - ele mostrou o resultado de 424. decepciona"&amp;"nte. Você precisa de menos de 100 para beber., Fácil de instalar e valor para o dinheiro, eu o usei para um projeto escolar e funcionou super bem!, Produto antigo recebeu. Dentro parece tão enferrujado")</f>
        <v>Pare de trabalhar depois de alguns dias, ok, não se encaixa facilmente. Pouca pressão da água o filtro cai. O ajuste é retirado para o produto. O método de purificação de água implícito é bom. A instalação deve ser facilitada., Tendo problemas de cabelo devido à água, compra -o para o meu banheiro. Produto de boa qualidade, mas depois de usá-lo por alguns dias, a pressão da água filtrada foi reduzida., Prós: --as instalar (o tubo vem com 3 dimensões diferentes) contras:- Esperou-se para purificar a água da torneira (conforme mencionado em sua descrição). Infelizmente, não serve ao propósito - medi minha água usual com o medidor PPC TDS - o resultado foi 427 (usual para Bangalore). Depois de instalar esse filtro - ele mostrou o resultado de 424. decepcionante. Você precisa de menos de 100 para beber., Fácil de instalar e valor para o dinheiro, eu o usei para um projeto escolar e funcionou super bem!, Produto antigo recebeu. Dentro parece tão enferrujado</v>
      </c>
    </row>
    <row r="1452">
      <c r="A1452" s="9" t="s">
        <v>5909</v>
      </c>
      <c r="B1452" s="29" t="str">
        <f>VLOOKUP(dados!A1452, reviews!A:G, 5, FALSE)</f>
        <v>Easy To Carry,Nice product,Handy and easy to use,Best,Very easy to make waffle. Best product from Amazon,easy to make,Disappointed,Very gud n very easy make waffers I love it this produt</v>
      </c>
      <c r="C1452" s="29" t="str">
        <f>VLOOKUP(dados!A1452, reviews!A:G, 6, FALSE)</f>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v>
      </c>
      <c r="D1452" s="29" t="str">
        <f>IFERROR(__xludf.DUMMYFUNCTION("GOOGLETRANSLATE(B1452, ""en"", ""pt-br"")"),"Fácil de transportar, bom produto, útil e fácil de usar, melhor, muito fácil de fazer waffle. Melhor produto da Amazon, fácil de fazer, decepcionado, muito gud e muito fácil facilitar a wafffers, eu amo este produto")</f>
        <v>Fácil de transportar, bom produto, útil e fácil de usar, melhor, muito fácil de fazer waffle. Melhor produto da Amazon, fácil de fazer, decepcionado, muito gud e muito fácil facilitar a wafffers, eu amo este produto</v>
      </c>
      <c r="E1452" s="29" t="str">
        <f>IFERROR(__xludf.DUMMYFUNCTION("GOOGLETRANSLATE(C1452, ""en"", ""pt-br"")"),"Muito fácil de transportar e fazer waffle nele a um preço razoável, o produto é realmente bom ... pequeno em tamanho e muito fácil de usar ... Foi melhor para mim, está pronto para uso em 4 min e waffles leva 7 a 10 min para assar adequadamente crocante. "&amp;"A massa deve estar em proporções e temperatura certas para ter um waffles perfeito. Agora, meus filhos também gostam de waffle em sua caixa de tiffin. Revestimento antiaderente, indicador de luz, 350watts h, resistente ao calor. Todos esses são os melhore"&amp;"s recursos deste mini -fabricante de waffles, devem comprá -lo. Melhor produto. Isso torna o waffle tão saboroso. Meu filho gosta muito. Isso torna o waffle em muito menos tempo. Também podemos fazer muitas outras coisas, como biscoitos, biscoitos, doces "&amp;"e muito mais, meus filhos estão muito felizes .... obrigado Amazon, tenho que essa máquina de fazer waffle é muito fácil de fazer um waffle na sua casa é bastante Bom também, Mini Waffle Maker muito útil Produt ....")</f>
        <v>Muito fácil de transportar e fazer waffle nele a um preço razoável, o produto é realmente bom ... pequeno em tamanho e muito fácil de usar ... Foi melhor para mim, está pronto para uso em 4 min e waffles leva 7 a 10 min para assar adequadamente crocante. A massa deve estar em proporções e temperatura certas para ter um waffles perfeito. Agora, meus filhos também gostam de waffle em sua caixa de tiffin. Revestimento antiaderente, indicador de luz, 350watts h, resistente ao calor. Todos esses são os melhores recursos deste mini -fabricante de waffles, devem comprá -lo. Melhor produto. Isso torna o waffle tão saboroso. Meu filho gosta muito. Isso torna o waffle em muito menos tempo. Também podemos fazer muitas outras coisas, como biscoitos, biscoitos, doces e muito mais, meus filhos estão muito felizes .... obrigado Amazon, tenho que essa máquina de fazer waffle é muito fácil de fazer um waffle na sua casa é bastante Bom também, Mini Waffle Maker muito útil Produt ....</v>
      </c>
    </row>
    <row r="1453">
      <c r="A1453" s="9" t="s">
        <v>5913</v>
      </c>
      <c r="B1453" s="29" t="str">
        <f>VLOOKUP(dados!A1453, reviews!A:G, 5, FALSE)</f>
        <v>If you’re a home baker, just go for it without doubt,Excellent👍,Nice product,Useful,Bhari,Too good,Good for cake,Useful</v>
      </c>
      <c r="C1453" s="29" t="str">
        <f>VLOOKUP(dados!A1453, reviews!A:G, 6, FALSE)</f>
        <v>Been using this from almost a year now.I’m home baker and whipping creams and making dough has been easier than ever. Value for money and Philips is a brand you can blindly trust on. The blades are easy detachable and easy to clean. If you’rea home baker who just started off. Please go ahead and buy this without giving a second thought,Very  useful product. Easy to use. I like it😍,Easy to use,Hassle free product, no issues after using it for about 5 months,Easy to use n clean i am satisfied,It is may be 250watt but works like 400watt... Really great product in a affordable price.,Look fir cake making,Awesome products</v>
      </c>
      <c r="D1453" s="29" t="str">
        <f>IFERROR(__xludf.DUMMYFUNCTION("GOOGLETRANSLATE(B1453, ""en"", ""pt-br"")"),"Se você é um padeiro em casa, vá em frente sem dúvida, excelente, bom produto, útil, bhari, bom demais, bom para bolo, útil")</f>
        <v>Se você é um padeiro em casa, vá em frente sem dúvida, excelente, bom produto, útil, bhari, bom demais, bom para bolo, útil</v>
      </c>
      <c r="E1453" s="29" t="str">
        <f>IFERROR(__xludf.DUMMYFUNCTION("GOOGLETRANSLATE(C1453, ""en"", ""pt-br"")"),"Estou usando isso há quase um ano. Estou com padeiro de casas e cremes de chantilly e fazer massa tem sido mais fácil do que nunca. O valor pelo dinheiro e a Philips é uma marca em que você pode confiar cegamente. As lâminas são fáceis destacáveis ​​e fác"&amp;"eis de limpar. Se você se divertir, que acabou de começar. Por favor, vá em frente e compre isso sem pensar em um segundo produto, muito útil. Fácil de usar. Eu gosto disso, fácil de usar, produtos sem complicações, sem problemas depois de usá -lo por cer"&amp;"ca de 5 meses, fácil de usar n limpo, estou satisfeito, pode ser 250watt, mas funciona como 400watt ... um produto realmente ótimo em um acessível Preço., Procure a fabricação de bolo de abeto, produtos incríveis")</f>
        <v>Estou usando isso há quase um ano. Estou com padeiro de casas e cremes de chantilly e fazer massa tem sido mais fácil do que nunca. O valor pelo dinheiro e a Philips é uma marca em que você pode confiar cegamente. As lâminas são fáceis destacáveis ​​e fáceis de limpar. Se você se divertir, que acabou de começar. Por favor, vá em frente e compre isso sem pensar em um segundo produto, muito útil. Fácil de usar. Eu gosto disso, fácil de usar, produtos sem complicações, sem problemas depois de usá -lo por cerca de 5 meses, fácil de usar n limpo, estou satisfeito, pode ser 250watt, mas funciona como 400watt ... um produto realmente ótimo em um acessível Preço., Procure a fabricação de bolo de abeto, produtos incríveis</v>
      </c>
    </row>
    <row r="1454">
      <c r="A1454" s="9" t="s">
        <v>5917</v>
      </c>
      <c r="B1454" s="29" t="str">
        <f>VLOOKUP(dados!A1454, reviews!A:G, 5, FALSE)</f>
        <v>Good product,Very nice product,The product Is good according to its rate,The product is nice in its working. The only issue is handling product.,Just 30 Seconds and frothy coffee ready.,Nice product,Ok product,The product is by far good</v>
      </c>
      <c r="C1454" s="29" t="str">
        <f>VLOOKUP(dados!A1454, reviews!A:G, 6, FALSE)</f>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v>
      </c>
      <c r="D1454" s="29" t="str">
        <f>IFERROR(__xludf.DUMMYFUNCTION("GOOGLETRANSLATE(B1454, ""en"", ""pt-br"")"),"Bom produto, produto muito bom, o produto é bom de acordo com sua taxa, o produto é bom em seu trabalho. A única questão é o tratamento do produto., Apenas 30 segundos e café espumoso pronto., Bom produto, produto OK, o produto é de longe bem")</f>
        <v>Bom produto, produto muito bom, o produto é bom de acordo com sua taxa, o produto é bom em seu trabalho. A única questão é o tratamento do produto., Apenas 30 segundos e café espumoso pronto., Bom produto, produto OK, o produto é de longe bem</v>
      </c>
      <c r="E1454" s="29" t="str">
        <f>IFERROR(__xludf.DUMMYFUNCTION("GOOGLETRANSLATE(C1454, ""en"", ""pt-br"")"),"Bom produto, a qualidade geral do produto é boa. Mas mencione que precisamos usar células elétricas e quanto usar, o produto é bom em seu trabalho. O único problema é o tratamento do produto. Não há botão liga/desliga para iniciar ou parar o liquidificado"&amp;"r. Eu preciso continuar pressionando um botão para iniciar e liberar um botão para detê-lo. Coffee pronto. muito poderoso .. .. Fácil de operar também ... O corpo principal do Frother pode ser feito de um material melhor, um produto agradável, o produto e"&amp;"stá ok. Faz um trabalho decente de espuma. No entanto, a qualidade construída parece ser frágil. O plástico é bastante barato e delicado. Tem que ver quanto tempo dura. Além disso, o vendedor promete reembolso por dar críticas de 5 estrelas para que todas"&amp;" as análises possam não ser genuínas .., eu gosto porque é fácil usar e não gostar, porque não vem com baterias")</f>
        <v>Bom produto, a qualidade geral do produto é boa. Mas mencione que precisamos usar células elétricas e quanto usar, o produto é bom em seu trabalho. O único problema é o tratamento do produto. Não há botão liga/desliga para iniciar ou parar o liquidificador. Eu preciso continuar pressionando um botão para iniciar e liberar um botão para detê-lo. Coffee pronto. muito poderoso .. .. Fácil de operar também ... O corpo principal do Frother pode ser feito de um material melhor, um produto agradável, o produto está ok. Faz um trabalho decente de espuma. No entanto, a qualidade construída parece ser frágil. O plástico é bastante barato e delicado. Tem que ver quanto tempo dura. Além disso, o vendedor promete reembolso por dar críticas de 5 estrelas para que todas as análises possam não ser genuínas .., eu gosto porque é fácil usar e não gostar, porque não vem com baterias</v>
      </c>
    </row>
    <row r="1455">
      <c r="A1455" s="9" t="s">
        <v>5921</v>
      </c>
      <c r="B1455" s="29" t="str">
        <f>VLOOKUP(dados!A1455, reviews!A:G, 5, FALSE)</f>
        <v>Excellent,Bad Bad product. Please don't buy.,Usefully good Product,Value for money,hot air flow range not so much,Heat up immediately not working properly,Good quality,Good Product</v>
      </c>
      <c r="C1455" s="29" t="str">
        <f>VLOOKUP(dados!A1455, reviews!A:G, 6, FALSE)</f>
        <v>Very good product,Bad Bad product. Please don't buy.,My Requirements fulfilled &amp; Very Nice Products,,hot air flow range not so much,,Good quality,It's doing the great job.</v>
      </c>
      <c r="D1455" s="29" t="str">
        <f>IFERROR(__xludf.DUMMYFUNCTION("GOOGLETRANSLATE(B1455, ""en"", ""pt-br"")"),"Excelente, produto ruim ruim. Por favor, não compre., Usamente bom produto, valor para dinheiro, alcance de fluxo de ar quente não tanto, aqueça imediatamente sem funcionar corretamente, boa qualidade, bom produto")</f>
        <v>Excelente, produto ruim ruim. Por favor, não compre., Usamente bom produto, valor para dinheiro, alcance de fluxo de ar quente não tanto, aqueça imediatamente sem funcionar corretamente, boa qualidade, bom produto</v>
      </c>
      <c r="E1455" s="29" t="str">
        <f>IFERROR(__xludf.DUMMYFUNCTION("GOOGLETRANSLATE(C1455, ""en"", ""pt-br"")"),"Produto muito bom, produto ruim ruim. Por favor, não compre., Meus requisitos atendidos e muito bons produtos ,, Faixa de fluxo de ar quente não tanto ,, boa qualidade, está fazendo o ótimo trabalho.")</f>
        <v>Produto muito bom, produto ruim ruim. Por favor, não compre., Meus requisitos atendidos e muito bons produtos ,, Faixa de fluxo de ar quente não tanto ,, boa qualidade, está fazendo o ótimo trabalho.</v>
      </c>
    </row>
    <row r="1456">
      <c r="A1456" s="9" t="s">
        <v>5925</v>
      </c>
      <c r="B1456" s="29" t="str">
        <f>VLOOKUP(dados!A1456, reviews!A:G, 5, FALSE)</f>
        <v>Okay,Use full only kid's clothes,Good for beginners or minor repairs,Accessories,Not good for beginners,Good product,Good for small work at home,Good product</v>
      </c>
      <c r="C1456" s="29" t="str">
        <f>VLOOKUP(dados!A1456, reviews!A:G, 6, FALSE)</f>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v>
      </c>
      <c r="D1456" s="29" t="str">
        <f>IFERROR(__xludf.DUMMYFUNCTION("GOOGLETRANSLATE(B1456, ""en"", ""pt-br"")"),"Ok, use apenas roupas infantis, boas para iniciantes ou pequenos reparos, acessórios, não é bom para iniciantes, bom produto, bom para um pequeno trabalho em casa, bom produto")</f>
        <v>Ok, use apenas roupas infantis, boas para iniciantes ou pequenos reparos, acessórios, não é bom para iniciantes, bom produto, bom para um pequeno trabalho em casa, bom produto</v>
      </c>
      <c r="E1456" s="29" t="str">
        <f>IFERROR(__xludf.DUMMYFUNCTION("GOOGLETRANSLATE(C1456, ""en"", ""pt-br"")"),"No geral, gostei do produto, mas decepcionado com esse item quebrado, é útil apenas pequenos cortes como roupas infantis, hoje eu recebo o produto. Na caixa de acessórios, o alfinete e os segurança estão nessa condição., Não é bom para iniciantes. Não é t"&amp;"ão simples de star. Às vezes, a máquina fica presa no meio da costura ...., a máquina de costura é realmente boa. Fácil de usar e bom para iniciantes., Bom item geral para esse preço. Peso leve e adequado para o trabalho de alteração ...,,")</f>
        <v>No geral, gostei do produto, mas decepcionado com esse item quebrado, é útil apenas pequenos cortes como roupas infantis, hoje eu recebo o produto. Na caixa de acessórios, o alfinete e os segurança estão nessa condição., Não é bom para iniciantes. Não é tão simples de star. Às vezes, a máquina fica presa no meio da costura ...., a máquina de costura é realmente boa. Fácil de usar e bom para iniciantes., Bom item geral para esse preço. Peso leve e adequado para o trabalho de alteração ...,,</v>
      </c>
    </row>
    <row r="1457">
      <c r="A1457" s="9" t="s">
        <v>5929</v>
      </c>
      <c r="B1457" s="29" t="str">
        <f>VLOOKUP(dados!A1457, reviews!A:G, 5, FALSE)</f>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v>
      </c>
      <c r="C1457" s="29" t="str">
        <f>VLOOKUP(dados!A1457, reviews!A:G, 6, FALSE)</f>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v>
      </c>
      <c r="D1457" s="29" t="str">
        <f>IFERROR(__xludf.DUMMYFUNCTION("GOOGLETRANSLATE(B1457, ""en"", ""pt-br"")"),"Gosto deste produto, fácil de usar, mas não há muito poder para aquecer rapidamente uma sala, Jali fica aquecida, mas um bom produto da Usha., Productnis bom e recomendado, bom produto. Vale o seu preço. Obrigado, um pouco caro, de outra forma melhor que "&amp;"a concorrência, útil apenas para uma sala muito pequena e consome muita energia, não aquece nem a pequena sala")</f>
        <v>Gosto deste produto, fácil de usar, mas não há muito poder para aquecer rapidamente uma sala, Jali fica aquecida, mas um bom produto da Usha., Productnis bom e recomendado, bom produto. Vale o seu preço. Obrigado, um pouco caro, de outra forma melhor que a concorrência, útil apenas para uma sala muito pequena e consome muita energia, não aquece nem a pequena sala</v>
      </c>
      <c r="E1457" s="29" t="str">
        <f>IFERROR(__xludf.DUMMYFUNCTION("GOOGLETRANSLATE(C1457, ""en"", ""pt-br"")"),",Custo-beneficio. Isso é bom para aquecer o seu eu pessoal e você precisará sentar ao lado dele. Mais de 1-2 horas, ele aquece uma grande sala. O desligamento automático funciona. Muita luz. Eu adoraria se o cordão tivesse um pouco mais., Seu peso leve e "&amp;"conveniente de usar, mas o jali é aquecido ... precisa trabalhar nele para que ele permaneça fresco como havells., Tudo bem !!, esteja pronto para aumentar Rs. Mais de 500 contas de eletricidade mensalmente no inverno durante o uso deste dispositivo, um p"&amp;"ouco caro, de outra forma melhor que a concorrência, útil apenas para uma sala muito pequena e consome muita energia. Doest soprar calor longe demais. Muito menos calor, a sala de calor faz adequadamente. Não é capaz de ouvir meu quarto de tamanho pequeno"&amp;". Eu acho que você deveria ir para o aquecedor de aquecimento da haste")</f>
        <v>,Custo-beneficio. Isso é bom para aquecer o seu eu pessoal e você precisará sentar ao lado dele. Mais de 1-2 horas, ele aquece uma grande sala. O desligamento automático funciona. Muita luz. Eu adoraria se o cordão tivesse um pouco mais., Seu peso leve e conveniente de usar, mas o jali é aquecido ... precisa trabalhar nele para que ele permaneça fresco como havells., Tudo bem !!, esteja pronto para aumentar Rs. Mais de 500 contas de eletricidade mensalmente no inverno durante o uso deste dispositivo, um pouco caro, de outra forma melhor que a concorrência, útil apenas para uma sala muito pequena e consome muita energia. Doest soprar calor longe demais. Muito menos calor, a sala de calor faz adequadamente. Não é capaz de ouvir meu quarto de tamanho pequeno. Eu acho que você deveria ir para o aquecedor de aquecimento da haste</v>
      </c>
    </row>
    <row r="1458">
      <c r="A1458" s="9" t="s">
        <v>5933</v>
      </c>
      <c r="B1458" s="29" t="str">
        <f>VLOOKUP(dados!A1458, reviews!A:G, 5, FALSE)</f>
        <v>Cutter speed and power is very low,Nt happy wit d prdct,Not as expected,Not even worth a star,Very poor product,Not good</v>
      </c>
      <c r="C1458" s="29" t="str">
        <f>VLOOKUP(dados!A1458, reviews!A:G, 6, FALSE)</f>
        <v>,It's nt wrkng evn aftr 4 hours of charging,The motor,  blade are poor,Doesn't perform. The machine gets jammed every time.,Poor quality...never buy such product ...,Pls not sell this time</v>
      </c>
      <c r="D1458" s="29" t="str">
        <f>IFERROR(__xludf.DUMMYFUNCTION("GOOGLETRANSLATE(B1458, ""en"", ""pt-br"")"),"A velocidade e a potência do cortador são muito baixos, e Happy Wit D Prdct, não é o esperado, nem mesmo vale uma estrela, um produto muito ruim, não é bom")</f>
        <v>A velocidade e a potência do cortador são muito baixos, e Happy Wit D Prdct, não é o esperado, nem mesmo vale uma estrela, um produto muito ruim, não é bom</v>
      </c>
      <c r="E1458" s="29" t="str">
        <f>IFERROR(__xludf.DUMMYFUNCTION("GOOGLETRANSLATE(C1458, ""en"", ""pt-br"")"),", É NT Wrkng Evn Aftr 4 horas de carregamento, o motor, a lâmina é ruim, não se apresenta. A máquina fica presa sempre.")</f>
        <v>, É NT Wrkng Evn Aftr 4 horas de carregamento, o motor, a lâmina é ruim, não se apresenta. A máquina fica presa sempre.</v>
      </c>
    </row>
    <row r="1459">
      <c r="A1459" s="9" t="s">
        <v>5937</v>
      </c>
      <c r="B1459" s="29" t="str">
        <f>VLOOKUP(dados!A1459, reviews!A:G, 5, FALSE)</f>
        <v>3,Sturdy and Works Flawlessly,Excellent 👍,Really Good Product,Cord is very small,Plug size is bigger now, comes with 15A! Please change the plug size to 5Amps,Broken material given,Good product</v>
      </c>
      <c r="C1459" s="29" t="str">
        <f>VLOOKUP(dados!A1459, reviews!A:G, 6, FALSE)</f>
        <v>Cord is small and sound while heating,Well built and the buttons have a smooth positive feel to the action.  The kettle heats efficiently and does exactly what it was designed to do, and does it very well.  Well worth the extra cost.  Highly recommend.,Excellent 👍,This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v>
      </c>
      <c r="D1459" s="29" t="str">
        <f>IFERROR(__xludf.DUMMYFUNCTION("GOOGLETRANSLATE(B1459, ""en"", ""pt-br"")"),"3, resistente e funciona perfeitamente, excelente 👍, produto realmente bom, o cordão é muito pequeno, o tamanho do plugue é maior agora, vem com 15A! Altere o tamanho do plugue para 5amps, material quebrado, dado, bom produto")</f>
        <v>3, resistente e funciona perfeitamente, excelente 👍, produto realmente bom, o cordão é muito pequeno, o tamanho do plugue é maior agora, vem com 15A! Altere o tamanho do plugue para 5amps, material quebrado, dado, bom produto</v>
      </c>
      <c r="E1459" s="29" t="str">
        <f>IFERROR(__xludf.DUMMYFUNCTION("GOOGLETRANSLATE(C1459, ""en"", ""pt-br"")"),"O cordão é pequeno e som durante o aquecimento, bem construído e os botões têm uma sensação positiva suave na ação. A chaleira aquece com eficiência e faz exatamente o que foi projetada para fazer, e faz muito bem. Vale a pena o custo extra. Altamente rec"&amp;"omendável., Excelente 👍, isso é melhor do que o esperado !! Fácil de usar, muito rápido e acima de tudo o seu seguro .... o comprimento do cordão está bem (se você tiver um ponto dedicado na embarcação) ou um pé meio pé Mais será melhor e confortável. Po"&amp;"sso recomendar isso a todos, o comprimento do fio é muito pequeno, a qualidade do produto é excelente. Usando o mesmo modelo nos últimos 4 anos sem problemas. Nós o usamos para ferver água. Fervemos a água para beber e fazer chá. Usamos a chaleira pelo me"&amp;"nos 5 ou 6 vezes por dia e duas vezes em um dia fervemos água com toda a sua capacidade. Por isso, fervemos a água 1 ou 2 xícaras com capacidade total todos os dias. Recentemente, a tampa foi destacada, então comprou uma nova com a mesma capacidade e mode"&amp;"lo. Para minha surpresa, a chaleira vem com um plugue maior para o qual não temos soquete adequado. Portanto, retornou o produto e recebeu reembolso imediatamente. Não há menção ao tamanho do plugue na descrição do produto. Dou 5 estrelas ao produto e des"&amp;"ejo comprar novamente, apenas se for fornecido com o plugue 5/6A. Espero que a Philips tome nota disso! Conselhos: use -o apenas para ferver água e não haverá problemas, funciona por anos! A abertura da chaleira não é tão larga em comparação com outras ma"&amp;"rcas, mas isso não será um problema se usado apenas para ferver a água conforme o pretendido., O comprimento do acorde for menor. Produto vale a pena.")</f>
        <v>O cordão é pequeno e som durante o aquecimento, bem construído e os botões têm uma sensação positiva suave na ação. A chaleira aquece com eficiência e faz exatamente o que foi projetada para fazer, e faz muito bem. Vale a pena o custo extra. Altamente recomendável., Excelente 👍, isso é melhor do que o esperado !! Fácil de usar, muito rápido e acima de tudo o seu seguro .... o comprimento do cordão está bem (se você tiver um ponto dedicado na embarcação) ou um pé meio pé Mais será melhor e confortável. Posso recomendar isso a todos, o comprimento do fio é muito pequeno, a qualidade do produto é excelente. Usando o mesmo modelo nos últimos 4 anos sem problemas. Nós o usamos para ferver água. Fervemos a água para beber e fazer chá. Usamos a chaleira pelo menos 5 ou 6 vezes por dia e duas vezes em um dia fervemos água com toda a sua capacidade. Por isso, fervemos a água 1 ou 2 xícaras com capacidade total todos os dias. Recentemente, a tampa foi destacada, então comprou uma nova com a mesma capacidade e modelo. Para minha surpresa, a chaleira vem com um plugue maior para o qual não temos soquete adequado. Portanto, retornou o produto e recebeu reembolso imediatamente. Não há menção ao tamanho do plugue na descrição do produto. Dou 5 estrelas ao produto e desejo comprar novamente, apenas se for fornecido com o plugue 5/6A. Espero que a Philips tome nota disso! Conselhos: use -o apenas para ferver água e não haverá problemas, funciona por anos! A abertura da chaleira não é tão larga em comparação com outras marcas, mas isso não será um problema se usado apenas para ferver a água conforme o pretendido., O comprimento do acorde for menor. Produto vale a pena.</v>
      </c>
    </row>
    <row r="1460">
      <c r="A1460" s="9" t="s">
        <v>5941</v>
      </c>
      <c r="B1460" s="29" t="str">
        <f>VLOOKUP(dados!A1460, reviews!A:G, 5, FALSE)</f>
        <v>Product functioning ok but price is quite high,Compact and effective,Nice product,AdiLakshmi,Best product,LIBRA 2000 Watt Portable Room Heater with adjustable thermostat,receive faulty product,Very good heater.</v>
      </c>
      <c r="C1460" s="29" t="str">
        <f>VLOOKUP(dados!A1460, reviews!A:G, 6, FALSE)</f>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v>
      </c>
      <c r="D1460" s="29" t="str">
        <f>IFERROR(__xludf.DUMMYFUNCTION("GOOGLETRANSLATE(B1460, ""en"", ""pt-br"")"),"O funcionamento do produto OK, mas o preço é bastante alto, compacto e eficaz, bom produto, adilakshmi, melhor produto, aquecedor de sala portátil Libra 2000 Watt com termostato ajustável, receba produto com defeito, aquecedor muito bom.")</f>
        <v>O funcionamento do produto OK, mas o preço é bastante alto, compacto e eficaz, bom produto, adilakshmi, melhor produto, aquecedor de sala portátil Libra 2000 Watt com termostato ajustável, receba produto com defeito, aquecedor muito bom.</v>
      </c>
      <c r="E1460" s="29" t="str">
        <f>IFERROR(__xludf.DUMMYFUNCTION("GOOGLETRANSLATE(C1460, ""en"", ""pt-br"")"),"Para o produto, como o pacote de aquecedor de quarto, deve ser suficiente para que não sofra danos ...... e eles não usaram a embalagem da Amazon adequada ... o preço é bastante alto de acordo com o tamanho e a capacidade do produto ... . Depois de usar 3"&amp;"-4 dias, encontrei alguns defeitos e algumas marcas de arranhões .... Anexado nas fotos, o aquecedor é muito compacto, leve e eficaz. Parece tão fofo em uma sala e não perturba sua estética. Amei. Encomendei outro para minha avó., O produto é útil, bom pr"&amp;"oduto, comprei 2 deles e recomendo aos meus amigos que o compraram. Mas agora estou procurando o mesmo que não está disponível aqui. Os botões de controle devem ter escalas marcadas no corpo. Caso contrário, o desempenho do aquecedor é bom sem ruído. Valo"&amp;"r pelo dinheiro e suficiente para a sala de 110 pés quadrados., Recebi o produto com defeito., Aquecedor de quarto muito bom, as principais características do aquecedor é o ventilador. A circulação de ar na sala de tamanho médio é muito boa.")</f>
        <v>Para o produto, como o pacote de aquecedor de quarto, deve ser suficiente para que não sofra danos ...... e eles não usaram a embalagem da Amazon adequada ... o preço é bastante alto de acordo com o tamanho e a capacidade do produto ... . Depois de usar 3-4 dias, encontrei alguns defeitos e algumas marcas de arranhões .... Anexado nas fotos, o aquecedor é muito compacto, leve e eficaz. Parece tão fofo em uma sala e não perturba sua estética. Amei. Encomendei outro para minha avó., O produto é útil, bom produto, comprei 2 deles e recomendo aos meus amigos que o compraram. Mas agora estou procurando o mesmo que não está disponível aqui. Os botões de controle devem ter escalas marcadas no corpo. Caso contrário, o desempenho do aquecedor é bom sem ruído. Valor pelo dinheiro e suficiente para a sala de 110 pés quadrados., Recebi o produto com defeito., Aquecedor de quarto muito bom, as principais características do aquecedor é o ventilador. A circulação de ar na sala de tamanho médio é muito boa.</v>
      </c>
    </row>
    <row r="1461">
      <c r="A1461" s="9" t="s">
        <v>5945</v>
      </c>
      <c r="B1461" s="29" t="str">
        <f>VLOOKUP(dados!A1461, reviews!A:G, 5, FALSE)</f>
        <v>Useless</v>
      </c>
      <c r="C1461" s="29" t="str">
        <f>VLOOKUP(dados!A1461, reviews!A:G, 6, FALSE)</f>
        <v>Does not work as advertised at all. The pieces came out all nice and clean ... No hair stuck to them. All positive ratings are obviously bought.</v>
      </c>
      <c r="D1461" s="29" t="str">
        <f>IFERROR(__xludf.DUMMYFUNCTION("GOOGLETRANSLATE(B1461, ""en"", ""pt-br"")"),"Inútil")</f>
        <v>Inútil</v>
      </c>
      <c r="E1461" s="29" t="str">
        <f>IFERROR(__xludf.DUMMYFUNCTION("GOOGLETRANSLATE(C1461, ""en"", ""pt-br"")"),"Não funciona como anunciado. As peças saíram tudo agradável e limpo ... nenhum cabelo preso a elas. Todas as classificações positivas são obviamente compradas.")</f>
        <v>Não funciona como anunciado. As peças saíram tudo agradável e limpo ... nenhum cabelo preso a elas. Todas as classificações positivas são obviamente compradas.</v>
      </c>
    </row>
    <row r="1462">
      <c r="A1462" s="9" t="s">
        <v>5949</v>
      </c>
      <c r="B1462" s="29" t="str">
        <f>VLOOKUP(dados!A1462, reviews!A:G, 5, FALSE)</f>
        <v>Received the product without spanner,Excellent product,Satisfactory,Good product,great product,performance yet to be checked?,Value for money,Good product</v>
      </c>
      <c r="C1462" s="29" t="str">
        <f>VLOOKUP(dados!A1462, reviews!A:G, 6, FALSE)</f>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v>
      </c>
      <c r="D1462" s="29" t="str">
        <f>IFERROR(__xludf.DUMMYFUNCTION("GOOGLETRANSLATE(B1462, ""en"", ""pt-br"")"),"Recebeu o produto sem Spanner, Excelente produto, satisfatório, bom produto, ótimo produto, desempenho ainda a ser verificado?, Valor para dinheiro, bom produto")</f>
        <v>Recebeu o produto sem Spanner, Excelente produto, satisfatório, bom produto, ótimo produto, desempenho ainda a ser verificado?, Valor para dinheiro, bom produto</v>
      </c>
      <c r="E1462" s="29" t="str">
        <f>IFERROR(__xludf.DUMMYFUNCTION("GOOGLETRANSLATE(C1462, ""en"", ""pt-br"")"),"Recebi o produto sem chave de chave, excelente produto, é pouco esponjoso em comparação com minha última marca comprada, que foi difícil e não tão esponjosa como esta., Muito boa e fácil de instalar, vem em pacotes selados separados e uma chave para facil"&amp;"itar a instalação. foi perfeito .. produto muito bom, parece estar bom., os candéis não estão muito bons. Para essa espessura, precisamos mudar a cada 2 meses ou às vezes até a cada um mês, o preço deve ser mais um pouco menos")</f>
        <v>Recebi o produto sem chave de chave, excelente produto, é pouco esponjoso em comparação com minha última marca comprada, que foi difícil e não tão esponjosa como esta., Muito boa e fácil de instalar, vem em pacotes selados separados e uma chave para facilitar a instalação. foi perfeito .. produto muito bom, parece estar bom., os candéis não estão muito bons. Para essa espessura, precisamos mudar a cada 2 meses ou às vezes até a cada um mês, o preço deve ser mais um pouco menos</v>
      </c>
    </row>
    <row r="1463">
      <c r="A1463" s="9" t="s">
        <v>5953</v>
      </c>
      <c r="B1463" s="29" t="str">
        <f>VLOOKUP(dados!A1463, reviews!A:G, 5, FALSE)</f>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v>
      </c>
      <c r="C1463" s="29" t="str">
        <f>VLOOKUP(dados!A1463, reviews!A:G, 6, FALSE)</f>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v>
      </c>
      <c r="D1463" s="29" t="str">
        <f>IFERROR(__xludf.DUMMYFUNCTION("GOOGLETRANSLATE(B1463, ""en"", ""pt-br"")"),"Ok, tudo estava bom não conseguiu devolver o BCOZ eu precisava disso em caso de emergência, não compre esta panela de arroz de prestígio de 1 litro. Já substituído, mas ainda estava danificado, ideal para uma pequena família de dois., Nice, mas pequeno, l"&amp;"eia os folhetos antes de começar a cozinhar. Aprenda a usar a quantidade ideal de água., Qualidade excelente, muito bom produto")</f>
        <v>Ok, tudo estava bom não conseguiu devolver o BCOZ eu precisava disso em caso de emergência, não compre esta panela de arroz de prestígio de 1 litro. Já substituído, mas ainda estava danificado, ideal para uma pequena família de dois., Nice, mas pequeno, leia os folhetos antes de começar a cozinhar. Aprenda a usar a quantidade ideal de água., Qualidade excelente, muito bom produto</v>
      </c>
      <c r="E1463" s="29" t="str">
        <f>IFERROR(__xludf.DUMMYFUNCTION("GOOGLETRANSLATE(C1463, ""en"", ""pt-br"")"),"OK, consegui tudo como mencionado, mas o copo de medição foi quebrado não esperava isso da Amazon e do prestígio. Exceto que tudo estava bom, tive uma experiência ruim comprando esta panela de arroz de prestígio 1L. O parafuso no fundo não foi colocado co"&amp;"rretamente. Havia uma lacuna entre a placa inferior e a parte superior. Lamento comprar isso. Eles já haviam entregado o substituto, mas ficou pior do que o outro, então eu devolvi o produto., Como para menos consumo de energia e preparativos rápidos., o "&amp;"produto está ok, mas é pequeno mais pequeno do que eu esperava. É perfeito para 1 ou 2 pessoas. Até minha garrafa de água é mais alta. O produto é usado para cozinhar no albergue. Use apenas esponjas para limpar o utensílio que vem com o fogão. Não o modi"&amp;"fique. O uso do excesso de água estraga o trabalho. Você pode refogar. Vegetais por dois minutos também. Ideal para estudantes que moram no albergue., Estou usando de dois meses. É bom e não se preocupe com a qualidade do produto e é fortemente recomendad"&amp;"o para cozinhar para duas ou três pessoas, um produto muito bom")</f>
        <v>OK, consegui tudo como mencionado, mas o copo de medição foi quebrado não esperava isso da Amazon e do prestígio. Exceto que tudo estava bom, tive uma experiência ruim comprando esta panela de arroz de prestígio 1L. O parafuso no fundo não foi colocado corretamente. Havia uma lacuna entre a placa inferior e a parte superior. Lamento comprar isso. Eles já haviam entregado o substituto, mas ficou pior do que o outro, então eu devolvi o produto., Como para menos consumo de energia e preparativos rápidos., o produto está ok, mas é pequeno mais pequeno do que eu esperava. É perfeito para 1 ou 2 pessoas. Até minha garrafa de água é mais alta. O produto é usado para cozinhar no albergue. Use apenas esponjas para limpar o utensílio que vem com o fogão. Não o modifique. O uso do excesso de água estraga o trabalho. Você pode refogar. Vegetais por dois minutos também. Ideal para estudantes que moram no albergue., Estou usando de dois meses. É bom e não se preocupe com a qualidade do produto e é fortemente recomendado para cozinhar para duas ou três pessoas, um produto muito bom</v>
      </c>
    </row>
    <row r="1464">
      <c r="A1464" s="9" t="s">
        <v>5957</v>
      </c>
      <c r="B1464" s="29" t="str">
        <f>VLOOKUP(dados!A1464, reviews!A:G, 5, FALSE)</f>
        <v>very good,Work but front melt after 2 month,Good one,It is durable,Review.,DEFECTIVE PRODUCT,Nice product,Nice product</v>
      </c>
      <c r="C1464" s="29" t="str">
        <f>VLOOKUP(dados!A1464, reviews!A:G, 6, FALSE)</f>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v>
      </c>
      <c r="D1464" s="29" t="str">
        <f>IFERROR(__xludf.DUMMYFUNCTION("GOOGLETRANSLATE(B1464, ""en"", ""pt-br"")"),"Muito bom, trabalho, mas derretimento dianteiro após 2 meses, bom, é durável, revisão., Produto defeituoso, bom produto, bom produto")</f>
        <v>Muito bom, trabalho, mas derretimento dianteiro após 2 meses, bom, é durável, revisão., Produto defeituoso, bom produto, bom produto</v>
      </c>
      <c r="E1464" s="29" t="str">
        <f>IFERROR(__xludf.DUMMYFUNCTION("GOOGLETRANSLATE(C1464, ""en"", ""pt-br"")"),"Corpo de plástico, mas frio, você precisa encontrar superfície resistente para colocá -lo verticalmente, no banquinho plástico que vibra na posição vertical, você precisa de um ponto de plugue maior para ele, aquecimento muito rápido e eficaz, também atra"&amp;"vés do ar frio, o preço é um pouco alto, mas É tão bom. Os flaps parecem muito delicados e não se alinharam bem quando recebidos. Eu tive que consertá -los, esse aquecedor é bom para uma sala com dimensão de 10x10 pés. A melhor parte é a garantia de 2 ano"&amp;"s de Bajaj. Pessoalmente, recomendo que você compre este produto para manter o estresse.")</f>
        <v>Corpo de plástico, mas frio, você precisa encontrar superfície resistente para colocá -lo verticalmente, no banquinho plástico que vibra na posição vertical, você precisa de um ponto de plugue maior para ele, aquecimento muito rápido e eficaz, também através do ar frio, o preço é um pouco alto, mas É tão bom. Os flaps parecem muito delicados e não se alinharam bem quando recebidos. Eu tive que consertá -los, esse aquecedor é bom para uma sala com dimensão de 10x10 pés. A melhor parte é a garantia de 2 anos de Bajaj. Pessoalmente, recomendo que você compre este produto para manter o estresse.</v>
      </c>
    </row>
    <row r="1465">
      <c r="A1465" s="9" t="s">
        <v>5961</v>
      </c>
      <c r="B1465" s="29" t="str">
        <f>VLOOKUP(dados!A1465, reviews!A:G, 5, FALSE)</f>
        <v>Fan Speed is slow,Good quality,Good product,good,Old is gold.,Good product,Nice product,Super 💕</v>
      </c>
      <c r="C1465" s="29" t="str">
        <f>VLOOKUP(dados!A1465, reviews!A:G, 6, FALSE)</f>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v>
      </c>
      <c r="D1465" s="29" t="str">
        <f>IFERROR(__xludf.DUMMYFUNCTION("GOOGLETRANSLATE(B1465, ""en"", ""pt-br"")"),"A velocidade do ventilador é lenta, de boa qualidade, bom produto, bom, velho é ouro., Bom produto, bom produto, super 💕")</f>
        <v>A velocidade do ventilador é lenta, de boa qualidade, bom produto, bom, velho é ouro., Bom produto, bom produto, super 💕</v>
      </c>
      <c r="E1465" s="29" t="str">
        <f>IFERROR(__xludf.DUMMYFUNCTION("GOOGLETRANSLATE(C1465, ""en"", ""pt-br"")"),"Eu instalei isso na minha cozinha funcionando bem, apenas a velocidade do ventilador é muito lenta poderia ter sido mais rápida, mas não é lento, é por isso que essa fumaça de escape é muito lenta, mas escape., Boa qualidade, https: //m.media- Amazon.com/"&amp;"images/w/webp_402378-t1/images/i/61izko3rxdl._sy88.jpg,speed poderia ter sido um pouco mais, venceu o desempenho deste produto., Conectando fio é muito curto, super")</f>
        <v>Eu instalei isso na minha cozinha funcionando bem, apenas a velocidade do ventilador é muito lenta poderia ter sido mais rápida, mas não é lento, é por isso que essa fumaça de escape é muito lenta, mas escape., Boa qualidade, https: //m.media- Amazon.com/images/w/webp_402378-t1/images/i/61izko3rxdl._sy88.jpg,speed poderia ter sido um pouco mais, venceu o desempenho deste produto., Conectando fio é muito curto, super</v>
      </c>
    </row>
    <row r="1466">
      <c r="A1466" s="9" t="s">
        <v>5965</v>
      </c>
      <c r="B1466" s="29" t="str">
        <f>VLOOKUP(dados!A1466, reviews!A:G, 5, FALSE)</f>
        <v>Works perfect,Ok good product,Nice Product. Recommend it. But cleaning its exterior is cumbersome.,Excellent product✌,A good product for household use,मुझे बिल्कुल भी मजा नहीं आया और वापस कर दिया।,Best product,Good</v>
      </c>
      <c r="C1466" s="29" t="str">
        <f>VLOOKUP(dados!A1466, reviews!A:G, 6, FALSE)</f>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burning.,बोरोसिल ब्रांड का यह "सेंडविच मेकर" देखने में तो अच्छा लगता है मगर इसकी बिल्ड क्वालिटी अच्छी नहीं है।  यह लगभग Rs 3000 के आसपास आता है।  इस प्रकार की बिल्ड क्वालिटी ₹2000 के करीब मिल जाती है तो कोई क्यों ₹1000 अधिक भुगतान करें।  पहले मैंने इसे review देखने के बाद ऑर्डर किया था लेकिन जब घर पर डिलीवरी होने के पश्चात  unboxing करके देखा तो इसकी बिल्ड क्वालिटी कुछ खास नहीं लगी इसलिए अपने पैसे बचाने के लिए मैंने इसे वापस भेज दिया। मैंने इसकी पैकेजिंग, मैनुअल और सैंडविच मेकर की फोटोग्राफ आप सभी से शेयर की है।  आप स्वयं देख के अनुमान लगा सकते हैं।,Recommend work as expected,Its easy tp use</v>
      </c>
      <c r="D1466" s="29" t="str">
        <f>IFERROR(__xludf.DUMMYFUNCTION("GOOGLETRANSLATE(B1466, ""en"", ""pt-br"")"),"Funciona perfeita, ok, bom produto, bom produto. Recomendá -lo. Mas limpar seu exterior é complicado., Excelente produto✌, um bom produto para uso doméstico, मुझे बिल्कुल भी मजा नहीं आया और वापस कर दिया।, melhor produto, bom produto, bom")</f>
        <v>Funciona perfeita, ok, bom produto, bom produto. Recomendá -lo. Mas limpar seu exterior é complicado., Excelente produto✌, um bom produto para uso doméstico, मुझे बिल्कुल भी मजा नहीं आया और वापस कर दिया।, melhor produto, bom produto, bom</v>
      </c>
      <c r="E1466" s="29" t="str">
        <f>IFERROR(__xludf.DUMMYFUNCTION("GOOGLETRANSLATE(C1466, ""en"", ""pt-br"")"),"O trabalho faz perfeitamente ... apenas a questão é o controle da temperatura não é perfeito. Você precisa continuar checando a marrom do sanduíche até que ele se aproxime de sua escolha, o produto é bom, mas o botão de controle deve ser modificado por ca"&amp;"usa depois que o processo de cozimento completar o botão de controle deve ser o retorno ao local inicial inicial. Caso contrário, esse cronômetro de processo deve ser dado basicamente. Então, pense bem no que acontece se não tinha pelo menos uma opção. Nã"&amp;"o é uma opção de indicador., É um produto agradável, fácil de usar. A função de grelhar também é maravilhosa. Mas o acabamento metálico externo colhe marcas de dedos e outros pontos que tendem a se tornar permanentes. Limpá -los é quase impossível., Produ"&amp;"to muito bom, este é um fabricante de sanduíche bastante poderoso, para uso doméstico. O produto parece bom, tem uma construção robusta e aquece rapidamente. Os sanduíches são feitos muito rapidamente, sem queimar., बोरोसिल ब्रांड का यह ""सेंडविच मेकर"" द"&amp;"ेखने में तो अच्छा लगता है मग मग इसकी बिल्ड क्वालिटी अच्छी नहीं है है यह लगभग rs 3000 के आसपास आता है।। इस प्रकार की बिल्ड क्वालिटी ₹ 2000 के करीब मिल जाती है तो कोई क्यों ₹ 1000 अधिक भुगतान करें। पहले मैंने इसे review देखने के बाद ऑर्डर किया था लेकिन जब घ"&amp;"र पर डिलीवरी होने के पश्चात  unboxing करके देखा तो इसकी बिल्ड क्वालिटी कुछ खास नहीं लगी इसलिए अपने पैसे बचाने के लिए मैंने इसे वापस भेज दिया। मैंने इसकी, मैनुअल औ औ सैंडविच मेक मेक की फोटोग्राफ आप सभी शेय शेयशेय की है। फोटोग फोटोग फोटोग फोटोग फोटोग फोटोग।"&amp;" है है है है। है है की की है है है है की की की आप स्वयं देख के अनुमान लगा सकते हैं।, recomendo o trabalho como esperado, seu fácil uso de TP")</f>
        <v>O trabalho faz perfeitamente ... apenas a questão é o controle da temperatura não é perfeito. Você precisa continuar checando a marrom do sanduíche até que ele se aproxime de sua escolha, o produto é bom, mas o botão de controle deve ser modificado por causa depois que o processo de cozimento completar o botão de controle deve ser o retorno ao local inicial inicial. Caso contrário, esse cronômetro de processo deve ser dado basicamente. Então, pense bem no que acontece se não tinha pelo menos uma opção. Não é uma opção de indicador., É um produto agradável, fácil de usar. A função de grelhar também é maravilhosa. Mas o acabamento metálico externo colhe marcas de dedos e outros pontos que tendem a se tornar permanentes. Limpá -los é quase impossível., Produto muito bom, este é um fabricante de sanduíche bastante poderoso, para uso doméstico. O produto parece bom, tem uma construção robusta e aquece rapidamente. Os sanduíches são feitos muito rapidamente, sem queimar., बोरोसिल ब्रांड का यह "सेंडविच मेकर" देखने में तो अच्छा लगता है मग मग इसकी बिल्ड क्वालिटी अच्छी नहीं है है यह लगभग rs 3000 के आसपास आता है।। इस प्रकार की बिल्ड क्वालिटी ₹ 2000 के करीब मिल जाती है तो कोई क्यों ₹ 1000 अधिक भुगतान करें। पहले मैंने इसे review देखने के बाद ऑर्डर किया था लेकिन जब घर पर डिलीवरी होने के पश्चात  unboxing करके देखा तो इसकी बिल्ड क्वालिटी कुछ खास नहीं लगी इसलिए अपने पैसे बचाने के लिए मैंने इसे वापस भेज दिया। मैंने इसकी, मैनुअल औ औ सैंडविच मेक मेक की फोटोग्राफ आप सभी शेय शेयशेय की है। फोटोग फोटोग फोटोग फोटोग फोटोग फोटोग। है है है है। है है की की है है है है की की की आप स्वयं देख के अनुमान लगा सकते हैं।, recomendo o trabalho como esperado, seu fácil uso de TP</v>
      </c>
    </row>
    <row r="1467">
      <c r="A1467" s="16"/>
      <c r="B1467" s="30"/>
      <c r="C1467" s="30"/>
      <c r="D1467" s="30"/>
      <c r="E1467" s="31"/>
    </row>
    <row r="1468">
      <c r="A1468" s="16"/>
      <c r="B1468" s="30"/>
      <c r="C1468" s="30"/>
      <c r="D1468" s="30"/>
      <c r="E1468" s="3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3.88"/>
  </cols>
  <sheetData>
    <row r="1">
      <c r="A1" s="32" t="s">
        <v>0</v>
      </c>
      <c r="B1" s="32" t="s">
        <v>5973</v>
      </c>
      <c r="C1" s="32" t="s">
        <v>5974</v>
      </c>
      <c r="D1" s="32" t="s">
        <v>5975</v>
      </c>
      <c r="E1" s="32" t="s">
        <v>5976</v>
      </c>
      <c r="F1" s="33" t="s">
        <v>5977</v>
      </c>
      <c r="G1" s="32" t="s">
        <v>5978</v>
      </c>
      <c r="H1" s="34"/>
      <c r="I1" s="34"/>
    </row>
    <row r="2">
      <c r="A2" s="32" t="s">
        <v>16</v>
      </c>
      <c r="B2" s="32" t="s">
        <v>5979</v>
      </c>
      <c r="C2" s="32" t="s">
        <v>5980</v>
      </c>
      <c r="D2" s="32" t="s">
        <v>5981</v>
      </c>
      <c r="E2" s="32" t="s">
        <v>5982</v>
      </c>
      <c r="F2" s="33" t="s">
        <v>5983</v>
      </c>
      <c r="G2" s="35" t="s">
        <v>5984</v>
      </c>
      <c r="H2" s="34"/>
      <c r="I2" s="34"/>
    </row>
    <row r="3">
      <c r="A3" s="32" t="s">
        <v>26</v>
      </c>
      <c r="B3" s="32" t="s">
        <v>5985</v>
      </c>
      <c r="C3" s="32" t="s">
        <v>5986</v>
      </c>
      <c r="D3" s="32" t="s">
        <v>5987</v>
      </c>
      <c r="E3" s="32" t="s">
        <v>5988</v>
      </c>
      <c r="F3" s="33" t="s">
        <v>5989</v>
      </c>
      <c r="G3" s="35" t="s">
        <v>5990</v>
      </c>
      <c r="H3" s="34"/>
      <c r="I3" s="34"/>
    </row>
    <row r="4">
      <c r="A4" s="32" t="s">
        <v>30</v>
      </c>
      <c r="B4" s="32" t="s">
        <v>5991</v>
      </c>
      <c r="C4" s="32" t="s">
        <v>5992</v>
      </c>
      <c r="D4" s="32" t="s">
        <v>5993</v>
      </c>
      <c r="E4" s="32" t="s">
        <v>5994</v>
      </c>
      <c r="F4" s="33" t="s">
        <v>5995</v>
      </c>
      <c r="G4" s="35" t="s">
        <v>5996</v>
      </c>
      <c r="H4" s="34"/>
      <c r="I4" s="34"/>
    </row>
    <row r="5">
      <c r="A5" s="32" t="s">
        <v>34</v>
      </c>
      <c r="B5" s="32" t="s">
        <v>5997</v>
      </c>
      <c r="C5" s="32" t="s">
        <v>5998</v>
      </c>
      <c r="D5" s="32" t="s">
        <v>5999</v>
      </c>
      <c r="E5" s="32" t="s">
        <v>6000</v>
      </c>
      <c r="F5" s="33" t="s">
        <v>6001</v>
      </c>
      <c r="G5" s="35" t="s">
        <v>6002</v>
      </c>
      <c r="H5" s="34"/>
      <c r="I5" s="34"/>
    </row>
    <row r="6">
      <c r="A6" s="32" t="s">
        <v>38</v>
      </c>
      <c r="B6" s="32" t="s">
        <v>6003</v>
      </c>
      <c r="C6" s="32" t="s">
        <v>6004</v>
      </c>
      <c r="D6" s="32" t="s">
        <v>6005</v>
      </c>
      <c r="E6" s="32" t="s">
        <v>6006</v>
      </c>
      <c r="F6" s="33" t="s">
        <v>6007</v>
      </c>
      <c r="G6" s="35" t="s">
        <v>6008</v>
      </c>
      <c r="H6" s="34"/>
      <c r="I6" s="34"/>
    </row>
    <row r="7">
      <c r="A7" s="32" t="s">
        <v>42</v>
      </c>
      <c r="B7" s="32" t="s">
        <v>6009</v>
      </c>
      <c r="C7" s="32" t="s">
        <v>6010</v>
      </c>
      <c r="D7" s="32" t="s">
        <v>6011</v>
      </c>
      <c r="E7" s="32" t="s">
        <v>6012</v>
      </c>
      <c r="F7" s="33" t="s">
        <v>6013</v>
      </c>
      <c r="G7" s="35" t="s">
        <v>6014</v>
      </c>
      <c r="H7" s="34"/>
      <c r="I7" s="34"/>
    </row>
    <row r="8">
      <c r="A8" s="32" t="s">
        <v>46</v>
      </c>
      <c r="B8" s="32" t="s">
        <v>6015</v>
      </c>
      <c r="C8" s="32" t="s">
        <v>6016</v>
      </c>
      <c r="D8" s="32" t="s">
        <v>6017</v>
      </c>
      <c r="E8" s="32" t="s">
        <v>6018</v>
      </c>
      <c r="F8" s="33" t="s">
        <v>6019</v>
      </c>
      <c r="G8" s="35" t="s">
        <v>6020</v>
      </c>
      <c r="H8" s="34"/>
      <c r="I8" s="34"/>
    </row>
    <row r="9">
      <c r="A9" s="32" t="s">
        <v>50</v>
      </c>
      <c r="B9" s="32" t="s">
        <v>6021</v>
      </c>
      <c r="C9" s="32" t="s">
        <v>6022</v>
      </c>
      <c r="D9" s="32" t="s">
        <v>6023</v>
      </c>
      <c r="E9" s="32" t="s">
        <v>6024</v>
      </c>
      <c r="F9" s="33" t="s">
        <v>6025</v>
      </c>
      <c r="G9" s="35" t="s">
        <v>6026</v>
      </c>
      <c r="H9" s="34"/>
      <c r="I9" s="34"/>
    </row>
    <row r="10">
      <c r="A10" s="32" t="s">
        <v>54</v>
      </c>
      <c r="B10" s="32" t="s">
        <v>6027</v>
      </c>
      <c r="C10" s="32" t="s">
        <v>6028</v>
      </c>
      <c r="D10" s="32" t="s">
        <v>6029</v>
      </c>
      <c r="E10" s="32" t="s">
        <v>6030</v>
      </c>
      <c r="F10" s="33" t="s">
        <v>6031</v>
      </c>
      <c r="G10" s="35" t="s">
        <v>6032</v>
      </c>
      <c r="H10" s="34"/>
      <c r="I10" s="34"/>
    </row>
    <row r="11">
      <c r="A11" s="32" t="s">
        <v>62</v>
      </c>
      <c r="B11" s="32" t="s">
        <v>5985</v>
      </c>
      <c r="C11" s="32" t="s">
        <v>5986</v>
      </c>
      <c r="D11" s="32" t="s">
        <v>5987</v>
      </c>
      <c r="E11" s="32" t="s">
        <v>5988</v>
      </c>
      <c r="F11" s="33" t="s">
        <v>5989</v>
      </c>
      <c r="G11" s="35" t="s">
        <v>6033</v>
      </c>
      <c r="H11" s="34"/>
      <c r="I11" s="34"/>
    </row>
    <row r="12">
      <c r="A12" s="32" t="s">
        <v>66</v>
      </c>
      <c r="B12" s="32" t="s">
        <v>6034</v>
      </c>
      <c r="C12" s="32" t="s">
        <v>6035</v>
      </c>
      <c r="D12" s="32" t="s">
        <v>6036</v>
      </c>
      <c r="E12" s="32" t="s">
        <v>6037</v>
      </c>
      <c r="F12" s="33" t="s">
        <v>6038</v>
      </c>
      <c r="G12" s="35" t="s">
        <v>6039</v>
      </c>
      <c r="H12" s="34"/>
      <c r="I12" s="34"/>
    </row>
    <row r="13">
      <c r="A13" s="32" t="s">
        <v>70</v>
      </c>
      <c r="B13" s="32" t="s">
        <v>5997</v>
      </c>
      <c r="C13" s="32" t="s">
        <v>5998</v>
      </c>
      <c r="D13" s="32" t="s">
        <v>5999</v>
      </c>
      <c r="E13" s="32" t="s">
        <v>6000</v>
      </c>
      <c r="F13" s="33" t="s">
        <v>6001</v>
      </c>
      <c r="G13" s="35" t="s">
        <v>6040</v>
      </c>
      <c r="H13" s="34"/>
      <c r="I13" s="34"/>
    </row>
    <row r="14">
      <c r="A14" s="32" t="s">
        <v>74</v>
      </c>
      <c r="B14" s="32" t="s">
        <v>6041</v>
      </c>
      <c r="C14" s="32" t="s">
        <v>6042</v>
      </c>
      <c r="D14" s="32" t="s">
        <v>6043</v>
      </c>
      <c r="E14" s="32" t="s">
        <v>6044</v>
      </c>
      <c r="F14" s="33" t="s">
        <v>6045</v>
      </c>
      <c r="G14" s="35" t="s">
        <v>6046</v>
      </c>
      <c r="H14" s="34"/>
      <c r="I14" s="34"/>
    </row>
    <row r="15">
      <c r="A15" s="32" t="s">
        <v>83</v>
      </c>
      <c r="B15" s="32" t="s">
        <v>6047</v>
      </c>
      <c r="C15" s="32" t="s">
        <v>6048</v>
      </c>
      <c r="D15" s="32" t="s">
        <v>6049</v>
      </c>
      <c r="E15" s="32" t="s">
        <v>6050</v>
      </c>
      <c r="F15" s="33" t="s">
        <v>6051</v>
      </c>
      <c r="G15" s="35" t="s">
        <v>6052</v>
      </c>
      <c r="H15" s="34"/>
      <c r="I15" s="34"/>
    </row>
    <row r="16">
      <c r="A16" s="32" t="s">
        <v>87</v>
      </c>
      <c r="B16" s="32" t="s">
        <v>6053</v>
      </c>
      <c r="C16" s="32" t="s">
        <v>6054</v>
      </c>
      <c r="D16" s="32" t="s">
        <v>6055</v>
      </c>
      <c r="E16" s="32" t="s">
        <v>6056</v>
      </c>
      <c r="F16" s="33" t="s">
        <v>6057</v>
      </c>
      <c r="G16" s="35" t="s">
        <v>6058</v>
      </c>
      <c r="H16" s="34"/>
      <c r="I16" s="34"/>
    </row>
    <row r="17">
      <c r="A17" s="32" t="s">
        <v>90</v>
      </c>
      <c r="B17" s="32" t="s">
        <v>6059</v>
      </c>
      <c r="C17" s="32" t="s">
        <v>6060</v>
      </c>
      <c r="D17" s="32" t="s">
        <v>6061</v>
      </c>
      <c r="E17" s="32" t="s">
        <v>6062</v>
      </c>
      <c r="F17" s="33" t="s">
        <v>6063</v>
      </c>
      <c r="G17" s="35" t="s">
        <v>6064</v>
      </c>
      <c r="H17" s="34"/>
      <c r="I17" s="34"/>
    </row>
    <row r="18">
      <c r="A18" s="32" t="s">
        <v>94</v>
      </c>
      <c r="B18" s="32" t="s">
        <v>6065</v>
      </c>
      <c r="C18" s="32" t="s">
        <v>6066</v>
      </c>
      <c r="D18" s="32" t="s">
        <v>6067</v>
      </c>
      <c r="E18" s="32" t="s">
        <v>6068</v>
      </c>
      <c r="F18" s="33" t="s">
        <v>6069</v>
      </c>
      <c r="G18" s="35" t="s">
        <v>6070</v>
      </c>
      <c r="H18" s="34"/>
      <c r="I18" s="34"/>
    </row>
    <row r="19">
      <c r="A19" s="32" t="s">
        <v>101</v>
      </c>
      <c r="B19" s="32" t="s">
        <v>5985</v>
      </c>
      <c r="C19" s="32" t="s">
        <v>5986</v>
      </c>
      <c r="D19" s="32" t="s">
        <v>5987</v>
      </c>
      <c r="E19" s="32" t="s">
        <v>5988</v>
      </c>
      <c r="F19" s="33" t="s">
        <v>5989</v>
      </c>
      <c r="G19" s="35" t="s">
        <v>6071</v>
      </c>
      <c r="H19" s="34"/>
      <c r="I19" s="34"/>
    </row>
    <row r="20">
      <c r="A20" s="32" t="s">
        <v>105</v>
      </c>
      <c r="B20" s="32" t="s">
        <v>6072</v>
      </c>
      <c r="C20" s="32" t="s">
        <v>6073</v>
      </c>
      <c r="D20" s="32" t="s">
        <v>6074</v>
      </c>
      <c r="E20" s="32" t="s">
        <v>6075</v>
      </c>
      <c r="F20" s="33" t="s">
        <v>6076</v>
      </c>
      <c r="G20" s="35" t="s">
        <v>6077</v>
      </c>
      <c r="H20" s="34"/>
      <c r="I20" s="34"/>
    </row>
    <row r="21">
      <c r="A21" s="32" t="s">
        <v>109</v>
      </c>
      <c r="B21" s="32" t="s">
        <v>6078</v>
      </c>
      <c r="C21" s="32" t="s">
        <v>6079</v>
      </c>
      <c r="D21" s="32" t="s">
        <v>6080</v>
      </c>
      <c r="E21" s="32" t="s">
        <v>6081</v>
      </c>
      <c r="F21" s="33" t="s">
        <v>6082</v>
      </c>
      <c r="G21" s="35" t="s">
        <v>6083</v>
      </c>
      <c r="H21" s="34"/>
      <c r="I21" s="34"/>
    </row>
    <row r="22">
      <c r="A22" s="32" t="s">
        <v>113</v>
      </c>
      <c r="B22" s="32" t="s">
        <v>6084</v>
      </c>
      <c r="C22" s="32" t="s">
        <v>6085</v>
      </c>
      <c r="D22" s="32" t="s">
        <v>6086</v>
      </c>
      <c r="E22" s="32" t="s">
        <v>6087</v>
      </c>
      <c r="F22" s="33" t="s">
        <v>6088</v>
      </c>
      <c r="G22" s="35" t="s">
        <v>6089</v>
      </c>
      <c r="H22" s="34"/>
      <c r="I22" s="34"/>
    </row>
    <row r="23">
      <c r="A23" s="32" t="s">
        <v>117</v>
      </c>
      <c r="B23" s="32" t="s">
        <v>6090</v>
      </c>
      <c r="C23" s="32" t="s">
        <v>6091</v>
      </c>
      <c r="D23" s="32" t="s">
        <v>6092</v>
      </c>
      <c r="E23" s="32" t="s">
        <v>6093</v>
      </c>
      <c r="F23" s="33" t="s">
        <v>6094</v>
      </c>
      <c r="G23" s="35" t="s">
        <v>6095</v>
      </c>
      <c r="H23" s="34"/>
      <c r="I23" s="34"/>
    </row>
    <row r="24">
      <c r="A24" s="32" t="s">
        <v>121</v>
      </c>
      <c r="B24" s="32" t="s">
        <v>6096</v>
      </c>
      <c r="C24" s="32" t="s">
        <v>6097</v>
      </c>
      <c r="D24" s="32" t="s">
        <v>6098</v>
      </c>
      <c r="E24" s="32" t="s">
        <v>6099</v>
      </c>
      <c r="F24" s="33" t="s">
        <v>6100</v>
      </c>
      <c r="G24" s="35" t="s">
        <v>6101</v>
      </c>
      <c r="H24" s="34"/>
      <c r="I24" s="34"/>
    </row>
    <row r="25">
      <c r="A25" s="32" t="s">
        <v>125</v>
      </c>
      <c r="B25" s="32" t="s">
        <v>6102</v>
      </c>
      <c r="C25" s="32" t="s">
        <v>6103</v>
      </c>
      <c r="D25" s="32" t="s">
        <v>6104</v>
      </c>
      <c r="E25" s="32" t="s">
        <v>6105</v>
      </c>
      <c r="F25" s="33" t="s">
        <v>6106</v>
      </c>
      <c r="G25" s="35" t="s">
        <v>6107</v>
      </c>
      <c r="H25" s="34"/>
      <c r="I25" s="34"/>
    </row>
    <row r="26">
      <c r="A26" s="32" t="s">
        <v>129</v>
      </c>
      <c r="B26" s="32" t="s">
        <v>6108</v>
      </c>
      <c r="C26" s="32" t="s">
        <v>6109</v>
      </c>
      <c r="D26" s="32" t="s">
        <v>6110</v>
      </c>
      <c r="E26" s="32" t="s">
        <v>6111</v>
      </c>
      <c r="F26" s="33" t="s">
        <v>6112</v>
      </c>
      <c r="G26" s="35" t="s">
        <v>6113</v>
      </c>
      <c r="H26" s="34"/>
      <c r="I26" s="34"/>
    </row>
    <row r="27">
      <c r="A27" s="32" t="s">
        <v>133</v>
      </c>
      <c r="B27" s="32" t="s">
        <v>6114</v>
      </c>
      <c r="C27" s="32" t="s">
        <v>6115</v>
      </c>
      <c r="D27" s="32" t="s">
        <v>6116</v>
      </c>
      <c r="E27" s="32" t="s">
        <v>6117</v>
      </c>
      <c r="F27" s="33" t="s">
        <v>6118</v>
      </c>
      <c r="G27" s="35" t="s">
        <v>6119</v>
      </c>
      <c r="H27" s="34"/>
      <c r="I27" s="34"/>
    </row>
    <row r="28">
      <c r="A28" s="32" t="s">
        <v>137</v>
      </c>
      <c r="B28" s="32" t="s">
        <v>6120</v>
      </c>
      <c r="C28" s="32" t="s">
        <v>6121</v>
      </c>
      <c r="D28" s="32" t="s">
        <v>6122</v>
      </c>
      <c r="E28" s="32" t="s">
        <v>6123</v>
      </c>
      <c r="F28" s="33" t="s">
        <v>6124</v>
      </c>
      <c r="G28" s="35" t="s">
        <v>6125</v>
      </c>
      <c r="H28" s="34"/>
      <c r="I28" s="34"/>
    </row>
    <row r="29">
      <c r="A29" s="32" t="s">
        <v>141</v>
      </c>
      <c r="B29" s="32" t="s">
        <v>6126</v>
      </c>
      <c r="C29" s="32" t="s">
        <v>6127</v>
      </c>
      <c r="D29" s="32" t="s">
        <v>6128</v>
      </c>
      <c r="E29" s="32" t="s">
        <v>6129</v>
      </c>
      <c r="F29" s="33" t="s">
        <v>6130</v>
      </c>
      <c r="G29" s="35" t="s">
        <v>6131</v>
      </c>
      <c r="H29" s="34"/>
      <c r="I29" s="34"/>
    </row>
    <row r="30">
      <c r="A30" s="32" t="s">
        <v>145</v>
      </c>
      <c r="B30" s="32" t="s">
        <v>6132</v>
      </c>
      <c r="C30" s="32" t="s">
        <v>6133</v>
      </c>
      <c r="D30" s="32" t="s">
        <v>6134</v>
      </c>
      <c r="E30" s="32" t="s">
        <v>6135</v>
      </c>
      <c r="F30" s="33" t="s">
        <v>6136</v>
      </c>
      <c r="G30" s="35" t="s">
        <v>6137</v>
      </c>
      <c r="H30" s="34"/>
      <c r="I30" s="34"/>
    </row>
    <row r="31">
      <c r="A31" s="32" t="s">
        <v>149</v>
      </c>
      <c r="B31" s="32" t="s">
        <v>6138</v>
      </c>
      <c r="C31" s="32" t="s">
        <v>6139</v>
      </c>
      <c r="D31" s="32" t="s">
        <v>6140</v>
      </c>
      <c r="E31" s="32" t="s">
        <v>6141</v>
      </c>
      <c r="F31" s="33" t="s">
        <v>6142</v>
      </c>
      <c r="G31" s="35" t="s">
        <v>6143</v>
      </c>
      <c r="H31" s="34"/>
      <c r="I31" s="34"/>
    </row>
    <row r="32">
      <c r="A32" s="32" t="s">
        <v>153</v>
      </c>
      <c r="B32" s="32" t="s">
        <v>6144</v>
      </c>
      <c r="C32" s="32" t="s">
        <v>6145</v>
      </c>
      <c r="D32" s="32" t="s">
        <v>6146</v>
      </c>
      <c r="E32" s="32" t="s">
        <v>6147</v>
      </c>
      <c r="F32" s="33" t="s">
        <v>6148</v>
      </c>
      <c r="G32" s="35" t="s">
        <v>6149</v>
      </c>
      <c r="H32" s="34"/>
      <c r="I32" s="34"/>
    </row>
    <row r="33">
      <c r="A33" s="32" t="s">
        <v>157</v>
      </c>
      <c r="B33" s="32" t="s">
        <v>6150</v>
      </c>
      <c r="C33" s="32" t="s">
        <v>6151</v>
      </c>
      <c r="D33" s="32" t="s">
        <v>6152</v>
      </c>
      <c r="E33" s="32" t="s">
        <v>6153</v>
      </c>
      <c r="F33" s="33" t="s">
        <v>6154</v>
      </c>
      <c r="G33" s="35" t="s">
        <v>6155</v>
      </c>
      <c r="H33" s="34"/>
      <c r="I33" s="34"/>
    </row>
    <row r="34">
      <c r="A34" s="32" t="s">
        <v>161</v>
      </c>
      <c r="B34" s="32" t="s">
        <v>6156</v>
      </c>
      <c r="C34" s="32" t="s">
        <v>6157</v>
      </c>
      <c r="D34" s="32" t="s">
        <v>6158</v>
      </c>
      <c r="E34" s="32" t="s">
        <v>6159</v>
      </c>
      <c r="F34" s="33" t="s">
        <v>6160</v>
      </c>
      <c r="G34" s="35" t="s">
        <v>6161</v>
      </c>
      <c r="H34" s="34"/>
      <c r="I34" s="34"/>
    </row>
    <row r="35">
      <c r="A35" s="32" t="s">
        <v>165</v>
      </c>
      <c r="B35" s="32" t="s">
        <v>6162</v>
      </c>
      <c r="C35" s="32" t="s">
        <v>6163</v>
      </c>
      <c r="D35" s="32" t="s">
        <v>6164</v>
      </c>
      <c r="E35" s="32" t="s">
        <v>6165</v>
      </c>
      <c r="F35" s="33" t="s">
        <v>6166</v>
      </c>
      <c r="G35" s="35" t="s">
        <v>6167</v>
      </c>
      <c r="H35" s="34"/>
      <c r="I35" s="34"/>
    </row>
    <row r="36">
      <c r="A36" s="32" t="s">
        <v>169</v>
      </c>
      <c r="B36" s="32" t="s">
        <v>6168</v>
      </c>
      <c r="C36" s="32" t="s">
        <v>6169</v>
      </c>
      <c r="D36" s="32" t="s">
        <v>6170</v>
      </c>
      <c r="E36" s="32" t="s">
        <v>6171</v>
      </c>
      <c r="F36" s="33" t="s">
        <v>6172</v>
      </c>
      <c r="G36" s="35" t="s">
        <v>6173</v>
      </c>
      <c r="H36" s="34"/>
      <c r="I36" s="34"/>
    </row>
    <row r="37">
      <c r="A37" s="32" t="s">
        <v>173</v>
      </c>
      <c r="B37" s="32" t="s">
        <v>6009</v>
      </c>
      <c r="C37" s="32" t="s">
        <v>6010</v>
      </c>
      <c r="D37" s="32" t="s">
        <v>6011</v>
      </c>
      <c r="E37" s="32" t="s">
        <v>6012</v>
      </c>
      <c r="F37" s="33" t="s">
        <v>6174</v>
      </c>
      <c r="G37" s="35" t="s">
        <v>6175</v>
      </c>
      <c r="H37" s="34"/>
      <c r="I37" s="34"/>
    </row>
    <row r="38">
      <c r="A38" s="32" t="s">
        <v>177</v>
      </c>
      <c r="B38" s="32" t="s">
        <v>6176</v>
      </c>
      <c r="C38" s="32" t="s">
        <v>6177</v>
      </c>
      <c r="D38" s="32" t="s">
        <v>6178</v>
      </c>
      <c r="E38" s="32" t="s">
        <v>6179</v>
      </c>
      <c r="F38" s="33" t="s">
        <v>6180</v>
      </c>
      <c r="G38" s="35" t="s">
        <v>6181</v>
      </c>
      <c r="H38" s="34"/>
      <c r="I38" s="34"/>
    </row>
    <row r="39">
      <c r="A39" s="32" t="s">
        <v>181</v>
      </c>
      <c r="B39" s="32" t="s">
        <v>6182</v>
      </c>
      <c r="C39" s="32" t="s">
        <v>6183</v>
      </c>
      <c r="D39" s="32" t="s">
        <v>6184</v>
      </c>
      <c r="E39" s="32" t="s">
        <v>6185</v>
      </c>
      <c r="F39" s="33" t="s">
        <v>6186</v>
      </c>
      <c r="G39" s="35" t="s">
        <v>6187</v>
      </c>
      <c r="H39" s="34"/>
      <c r="I39" s="34"/>
    </row>
    <row r="40">
      <c r="A40" s="32" t="s">
        <v>185</v>
      </c>
      <c r="B40" s="32" t="s">
        <v>6188</v>
      </c>
      <c r="C40" s="32" t="s">
        <v>6189</v>
      </c>
      <c r="D40" s="32" t="s">
        <v>6190</v>
      </c>
      <c r="E40" s="32" t="s">
        <v>6191</v>
      </c>
      <c r="F40" s="33" t="s">
        <v>6192</v>
      </c>
      <c r="G40" s="35" t="s">
        <v>6193</v>
      </c>
      <c r="H40" s="34"/>
      <c r="I40" s="34"/>
    </row>
    <row r="41">
      <c r="A41" s="32" t="s">
        <v>189</v>
      </c>
      <c r="B41" s="32" t="s">
        <v>6194</v>
      </c>
      <c r="C41" s="32" t="s">
        <v>6195</v>
      </c>
      <c r="D41" s="32" t="s">
        <v>6196</v>
      </c>
      <c r="E41" s="32" t="s">
        <v>6197</v>
      </c>
      <c r="F41" s="33" t="s">
        <v>6198</v>
      </c>
      <c r="G41" s="35" t="s">
        <v>6199</v>
      </c>
      <c r="H41" s="34"/>
      <c r="I41" s="34"/>
    </row>
    <row r="42">
      <c r="A42" s="32" t="s">
        <v>193</v>
      </c>
      <c r="B42" s="32" t="s">
        <v>6200</v>
      </c>
      <c r="C42" s="32" t="s">
        <v>6201</v>
      </c>
      <c r="D42" s="32" t="s">
        <v>6202</v>
      </c>
      <c r="E42" s="32" t="s">
        <v>6203</v>
      </c>
      <c r="F42" s="33" t="s">
        <v>6204</v>
      </c>
      <c r="G42" s="35" t="s">
        <v>6205</v>
      </c>
      <c r="H42" s="34"/>
      <c r="I42" s="34"/>
    </row>
    <row r="43">
      <c r="A43" s="32" t="s">
        <v>197</v>
      </c>
      <c r="B43" s="32" t="s">
        <v>6206</v>
      </c>
      <c r="C43" s="32" t="s">
        <v>6207</v>
      </c>
      <c r="D43" s="32" t="s">
        <v>6208</v>
      </c>
      <c r="E43" s="32" t="s">
        <v>6209</v>
      </c>
      <c r="F43" s="33" t="s">
        <v>6210</v>
      </c>
      <c r="G43" s="35" t="s">
        <v>6211</v>
      </c>
      <c r="H43" s="34"/>
      <c r="I43" s="34"/>
    </row>
    <row r="44">
      <c r="A44" s="32" t="s">
        <v>201</v>
      </c>
      <c r="B44" s="32" t="s">
        <v>5979</v>
      </c>
      <c r="C44" s="32" t="s">
        <v>5980</v>
      </c>
      <c r="D44" s="32" t="s">
        <v>5981</v>
      </c>
      <c r="E44" s="32" t="s">
        <v>5982</v>
      </c>
      <c r="F44" s="33" t="s">
        <v>5983</v>
      </c>
      <c r="G44" s="35" t="s">
        <v>6212</v>
      </c>
      <c r="H44" s="34"/>
      <c r="I44" s="34"/>
    </row>
    <row r="45">
      <c r="A45" s="32" t="s">
        <v>205</v>
      </c>
      <c r="B45" s="32" t="s">
        <v>6213</v>
      </c>
      <c r="C45" s="32" t="s">
        <v>6214</v>
      </c>
      <c r="D45" s="32" t="s">
        <v>6215</v>
      </c>
      <c r="E45" s="32" t="s">
        <v>6216</v>
      </c>
      <c r="F45" s="33" t="s">
        <v>6217</v>
      </c>
      <c r="G45" s="35" t="s">
        <v>6218</v>
      </c>
      <c r="H45" s="34"/>
      <c r="I45" s="34"/>
    </row>
    <row r="46">
      <c r="A46" s="32" t="s">
        <v>209</v>
      </c>
      <c r="B46" s="32" t="s">
        <v>6102</v>
      </c>
      <c r="C46" s="32" t="s">
        <v>6103</v>
      </c>
      <c r="D46" s="32" t="s">
        <v>6104</v>
      </c>
      <c r="E46" s="32" t="s">
        <v>6105</v>
      </c>
      <c r="F46" s="33" t="s">
        <v>6106</v>
      </c>
      <c r="G46" s="35" t="s">
        <v>6219</v>
      </c>
      <c r="H46" s="34"/>
      <c r="I46" s="34"/>
    </row>
    <row r="47">
      <c r="A47" s="32" t="s">
        <v>213</v>
      </c>
      <c r="B47" s="32" t="s">
        <v>6220</v>
      </c>
      <c r="C47" s="32" t="s">
        <v>6221</v>
      </c>
      <c r="D47" s="32" t="s">
        <v>6222</v>
      </c>
      <c r="E47" s="32" t="s">
        <v>6223</v>
      </c>
      <c r="F47" s="33" t="s">
        <v>6224</v>
      </c>
      <c r="G47" s="35" t="s">
        <v>6225</v>
      </c>
      <c r="H47" s="34"/>
      <c r="I47" s="34"/>
    </row>
    <row r="48">
      <c r="A48" s="32" t="s">
        <v>217</v>
      </c>
      <c r="B48" s="32" t="s">
        <v>6226</v>
      </c>
      <c r="C48" s="32" t="s">
        <v>6227</v>
      </c>
      <c r="D48" s="32" t="s">
        <v>6228</v>
      </c>
      <c r="E48" s="32" t="s">
        <v>6229</v>
      </c>
      <c r="F48" s="33" t="s">
        <v>6230</v>
      </c>
      <c r="G48" s="35" t="s">
        <v>6231</v>
      </c>
      <c r="H48" s="34"/>
      <c r="I48" s="34"/>
    </row>
    <row r="49">
      <c r="A49" s="32" t="s">
        <v>221</v>
      </c>
      <c r="B49" s="32" t="s">
        <v>6041</v>
      </c>
      <c r="C49" s="32" t="s">
        <v>6042</v>
      </c>
      <c r="D49" s="32" t="s">
        <v>6043</v>
      </c>
      <c r="E49" s="32" t="s">
        <v>6044</v>
      </c>
      <c r="F49" s="33" t="s">
        <v>6045</v>
      </c>
      <c r="G49" s="35" t="s">
        <v>6232</v>
      </c>
      <c r="H49" s="34"/>
      <c r="I49" s="34"/>
    </row>
    <row r="50">
      <c r="A50" s="32" t="s">
        <v>225</v>
      </c>
      <c r="B50" s="32" t="s">
        <v>6233</v>
      </c>
      <c r="C50" s="32" t="s">
        <v>6234</v>
      </c>
      <c r="D50" s="32" t="s">
        <v>6235</v>
      </c>
      <c r="E50" s="32" t="s">
        <v>6236</v>
      </c>
      <c r="F50" s="33" t="s">
        <v>6237</v>
      </c>
      <c r="G50" s="35" t="s">
        <v>6238</v>
      </c>
      <c r="H50" s="34"/>
      <c r="I50" s="34"/>
    </row>
    <row r="51">
      <c r="A51" s="32" t="s">
        <v>231</v>
      </c>
      <c r="B51" s="32" t="s">
        <v>6239</v>
      </c>
      <c r="C51" s="32" t="s">
        <v>6240</v>
      </c>
      <c r="D51" s="32" t="s">
        <v>6241</v>
      </c>
      <c r="E51" s="32" t="s">
        <v>6242</v>
      </c>
      <c r="F51" s="33" t="s">
        <v>6243</v>
      </c>
      <c r="G51" s="35" t="s">
        <v>6244</v>
      </c>
      <c r="H51" s="34"/>
      <c r="I51" s="34"/>
    </row>
    <row r="52">
      <c r="A52" s="32" t="s">
        <v>235</v>
      </c>
      <c r="B52" s="32" t="s">
        <v>6245</v>
      </c>
      <c r="C52" s="32" t="s">
        <v>6246</v>
      </c>
      <c r="D52" s="32" t="s">
        <v>6247</v>
      </c>
      <c r="E52" s="32" t="s">
        <v>6248</v>
      </c>
      <c r="F52" s="33" t="s">
        <v>6249</v>
      </c>
      <c r="G52" s="35" t="s">
        <v>6250</v>
      </c>
      <c r="H52" s="34"/>
      <c r="I52" s="34"/>
    </row>
    <row r="53">
      <c r="A53" s="32" t="s">
        <v>239</v>
      </c>
      <c r="B53" s="32" t="s">
        <v>6239</v>
      </c>
      <c r="C53" s="32" t="s">
        <v>6240</v>
      </c>
      <c r="D53" s="32" t="s">
        <v>6241</v>
      </c>
      <c r="E53" s="32" t="s">
        <v>6242</v>
      </c>
      <c r="F53" s="33" t="s">
        <v>6243</v>
      </c>
      <c r="G53" s="35" t="s">
        <v>6251</v>
      </c>
      <c r="H53" s="34"/>
      <c r="I53" s="34"/>
    </row>
    <row r="54">
      <c r="A54" s="32" t="s">
        <v>243</v>
      </c>
      <c r="B54" s="32" t="s">
        <v>6252</v>
      </c>
      <c r="C54" s="32" t="s">
        <v>6253</v>
      </c>
      <c r="D54" s="32" t="s">
        <v>6254</v>
      </c>
      <c r="E54" s="32" t="s">
        <v>6255</v>
      </c>
      <c r="F54" s="33" t="s">
        <v>6256</v>
      </c>
      <c r="G54" s="35" t="s">
        <v>6257</v>
      </c>
      <c r="H54" s="34"/>
      <c r="I54" s="34"/>
    </row>
    <row r="55">
      <c r="A55" s="32" t="s">
        <v>247</v>
      </c>
      <c r="B55" s="32" t="s">
        <v>6258</v>
      </c>
      <c r="C55" s="32" t="s">
        <v>6259</v>
      </c>
      <c r="D55" s="32" t="s">
        <v>6260</v>
      </c>
      <c r="E55" s="32" t="s">
        <v>6261</v>
      </c>
      <c r="F55" s="33" t="s">
        <v>6262</v>
      </c>
      <c r="G55" s="35" t="s">
        <v>6263</v>
      </c>
      <c r="H55" s="34"/>
      <c r="I55" s="34"/>
    </row>
    <row r="56">
      <c r="A56" s="32" t="s">
        <v>253</v>
      </c>
      <c r="B56" s="32" t="s">
        <v>6264</v>
      </c>
      <c r="C56" s="32" t="s">
        <v>6265</v>
      </c>
      <c r="D56" s="32" t="s">
        <v>6266</v>
      </c>
      <c r="E56" s="32" t="s">
        <v>6267</v>
      </c>
      <c r="F56" s="33" t="s">
        <v>6268</v>
      </c>
      <c r="G56" s="35" t="s">
        <v>6269</v>
      </c>
      <c r="H56" s="34"/>
      <c r="I56" s="34"/>
    </row>
    <row r="57">
      <c r="A57" s="32" t="s">
        <v>257</v>
      </c>
      <c r="B57" s="32" t="s">
        <v>6270</v>
      </c>
      <c r="C57" s="32" t="s">
        <v>6271</v>
      </c>
      <c r="D57" s="32" t="s">
        <v>6272</v>
      </c>
      <c r="E57" s="32" t="s">
        <v>6273</v>
      </c>
      <c r="F57" s="33" t="s">
        <v>6274</v>
      </c>
      <c r="G57" s="35" t="s">
        <v>6275</v>
      </c>
      <c r="H57" s="34"/>
      <c r="I57" s="34"/>
    </row>
    <row r="58">
      <c r="A58" s="32" t="s">
        <v>261</v>
      </c>
      <c r="B58" s="32" t="s">
        <v>6027</v>
      </c>
      <c r="C58" s="32" t="s">
        <v>6028</v>
      </c>
      <c r="D58" s="32" t="s">
        <v>6029</v>
      </c>
      <c r="E58" s="32" t="s">
        <v>6030</v>
      </c>
      <c r="F58" s="33" t="s">
        <v>6031</v>
      </c>
      <c r="G58" s="35" t="s">
        <v>6276</v>
      </c>
      <c r="H58" s="34"/>
      <c r="I58" s="34"/>
    </row>
    <row r="59">
      <c r="A59" s="32" t="s">
        <v>265</v>
      </c>
      <c r="B59" s="32" t="s">
        <v>6120</v>
      </c>
      <c r="C59" s="32" t="s">
        <v>6121</v>
      </c>
      <c r="D59" s="32" t="s">
        <v>6122</v>
      </c>
      <c r="E59" s="32" t="s">
        <v>6123</v>
      </c>
      <c r="F59" s="33" t="s">
        <v>6124</v>
      </c>
      <c r="G59" s="35" t="s">
        <v>6277</v>
      </c>
      <c r="H59" s="34"/>
      <c r="I59" s="34"/>
    </row>
    <row r="60">
      <c r="A60" s="32" t="s">
        <v>269</v>
      </c>
      <c r="B60" s="32" t="s">
        <v>6278</v>
      </c>
      <c r="C60" s="32" t="s">
        <v>6279</v>
      </c>
      <c r="D60" s="32" t="s">
        <v>6280</v>
      </c>
      <c r="E60" s="32" t="s">
        <v>6281</v>
      </c>
      <c r="F60" s="33" t="s">
        <v>6282</v>
      </c>
      <c r="G60" s="35" t="s">
        <v>6283</v>
      </c>
      <c r="H60" s="34"/>
      <c r="I60" s="34"/>
    </row>
    <row r="61">
      <c r="A61" s="32" t="s">
        <v>273</v>
      </c>
      <c r="B61" s="32" t="s">
        <v>6284</v>
      </c>
      <c r="C61" s="32" t="s">
        <v>6285</v>
      </c>
      <c r="D61" s="32" t="s">
        <v>6286</v>
      </c>
      <c r="E61" s="32" t="s">
        <v>6287</v>
      </c>
      <c r="F61" s="33" t="s">
        <v>6288</v>
      </c>
      <c r="G61" s="35" t="s">
        <v>6289</v>
      </c>
      <c r="H61" s="34"/>
      <c r="I61" s="34"/>
    </row>
    <row r="62">
      <c r="A62" s="32" t="s">
        <v>277</v>
      </c>
      <c r="B62" s="32" t="s">
        <v>6290</v>
      </c>
      <c r="C62" s="32" t="s">
        <v>6291</v>
      </c>
      <c r="D62" s="32" t="s">
        <v>6292</v>
      </c>
      <c r="E62" s="32" t="s">
        <v>6293</v>
      </c>
      <c r="F62" s="33" t="s">
        <v>6294</v>
      </c>
      <c r="G62" s="35" t="s">
        <v>6295</v>
      </c>
      <c r="H62" s="34"/>
      <c r="I62" s="34"/>
    </row>
    <row r="63">
      <c r="A63" s="32" t="s">
        <v>281</v>
      </c>
      <c r="B63" s="32" t="s">
        <v>6296</v>
      </c>
      <c r="C63" s="32" t="s">
        <v>6297</v>
      </c>
      <c r="D63" s="32" t="s">
        <v>6298</v>
      </c>
      <c r="E63" s="32" t="s">
        <v>6299</v>
      </c>
      <c r="F63" s="33" t="s">
        <v>6300</v>
      </c>
      <c r="G63" s="35" t="s">
        <v>6301</v>
      </c>
      <c r="H63" s="34"/>
      <c r="I63" s="34"/>
    </row>
    <row r="64">
      <c r="A64" s="32" t="s">
        <v>285</v>
      </c>
      <c r="B64" s="32" t="s">
        <v>6302</v>
      </c>
      <c r="C64" s="32" t="s">
        <v>6303</v>
      </c>
      <c r="D64" s="32" t="s">
        <v>6304</v>
      </c>
      <c r="E64" s="32" t="s">
        <v>6305</v>
      </c>
      <c r="F64" s="33" t="s">
        <v>6306</v>
      </c>
      <c r="G64" s="35" t="s">
        <v>6307</v>
      </c>
      <c r="H64" s="34"/>
      <c r="I64" s="34"/>
    </row>
    <row r="65">
      <c r="A65" s="32" t="s">
        <v>289</v>
      </c>
      <c r="B65" s="32" t="s">
        <v>6308</v>
      </c>
      <c r="C65" s="32" t="s">
        <v>6309</v>
      </c>
      <c r="D65" s="32" t="s">
        <v>6310</v>
      </c>
      <c r="E65" s="32" t="s">
        <v>6311</v>
      </c>
      <c r="F65" s="33" t="s">
        <v>6312</v>
      </c>
      <c r="G65" s="35" t="s">
        <v>6313</v>
      </c>
      <c r="H65" s="34"/>
      <c r="I65" s="34"/>
    </row>
    <row r="66">
      <c r="A66" s="32" t="s">
        <v>293</v>
      </c>
      <c r="B66" s="32" t="s">
        <v>6314</v>
      </c>
      <c r="C66" s="32" t="s">
        <v>6315</v>
      </c>
      <c r="D66" s="32" t="s">
        <v>6316</v>
      </c>
      <c r="E66" s="32" t="s">
        <v>6317</v>
      </c>
      <c r="F66" s="33" t="s">
        <v>6318</v>
      </c>
      <c r="G66" s="35" t="s">
        <v>6319</v>
      </c>
      <c r="H66" s="34"/>
      <c r="I66" s="34"/>
    </row>
    <row r="67">
      <c r="A67" s="32" t="s">
        <v>297</v>
      </c>
      <c r="B67" s="32" t="s">
        <v>6041</v>
      </c>
      <c r="C67" s="32" t="s">
        <v>6042</v>
      </c>
      <c r="D67" s="32" t="s">
        <v>6043</v>
      </c>
      <c r="E67" s="32" t="s">
        <v>6044</v>
      </c>
      <c r="F67" s="33" t="s">
        <v>6045</v>
      </c>
      <c r="G67" s="35" t="s">
        <v>6320</v>
      </c>
      <c r="H67" s="34"/>
      <c r="I67" s="34"/>
    </row>
    <row r="68">
      <c r="A68" s="32" t="s">
        <v>301</v>
      </c>
      <c r="B68" s="32" t="s">
        <v>6321</v>
      </c>
      <c r="C68" s="32" t="s">
        <v>6322</v>
      </c>
      <c r="D68" s="32" t="s">
        <v>6323</v>
      </c>
      <c r="E68" s="32" t="s">
        <v>6324</v>
      </c>
      <c r="F68" s="33" t="s">
        <v>6325</v>
      </c>
      <c r="G68" s="35" t="s">
        <v>6326</v>
      </c>
      <c r="H68" s="34"/>
      <c r="I68" s="34"/>
    </row>
    <row r="69">
      <c r="A69" s="32" t="s">
        <v>305</v>
      </c>
      <c r="B69" s="32" t="s">
        <v>6327</v>
      </c>
      <c r="C69" s="32" t="s">
        <v>6328</v>
      </c>
      <c r="D69" s="32" t="s">
        <v>6329</v>
      </c>
      <c r="E69" s="32" t="s">
        <v>6330</v>
      </c>
      <c r="F69" s="33" t="s">
        <v>6331</v>
      </c>
      <c r="G69" s="35" t="s">
        <v>6332</v>
      </c>
      <c r="H69" s="34"/>
      <c r="I69" s="34"/>
    </row>
    <row r="70">
      <c r="A70" s="32" t="s">
        <v>309</v>
      </c>
      <c r="B70" s="32" t="s">
        <v>6333</v>
      </c>
      <c r="C70" s="32" t="s">
        <v>6334</v>
      </c>
      <c r="D70" s="32" t="s">
        <v>6335</v>
      </c>
      <c r="E70" s="32" t="s">
        <v>6336</v>
      </c>
      <c r="F70" s="33" t="s">
        <v>6337</v>
      </c>
      <c r="G70" s="35" t="s">
        <v>6338</v>
      </c>
      <c r="H70" s="34"/>
      <c r="I70" s="34"/>
    </row>
    <row r="71">
      <c r="A71" s="32" t="s">
        <v>316</v>
      </c>
      <c r="B71" s="32" t="s">
        <v>6339</v>
      </c>
      <c r="C71" s="32" t="s">
        <v>6340</v>
      </c>
      <c r="D71" s="32" t="s">
        <v>6341</v>
      </c>
      <c r="E71" s="32" t="s">
        <v>6342</v>
      </c>
      <c r="F71" s="33" t="s">
        <v>6343</v>
      </c>
      <c r="G71" s="35" t="s">
        <v>6344</v>
      </c>
      <c r="H71" s="34"/>
      <c r="I71" s="34"/>
    </row>
    <row r="72">
      <c r="A72" s="32" t="s">
        <v>320</v>
      </c>
      <c r="B72" s="32" t="s">
        <v>6345</v>
      </c>
      <c r="C72" s="32" t="s">
        <v>6346</v>
      </c>
      <c r="D72" s="32" t="s">
        <v>6347</v>
      </c>
      <c r="E72" s="32" t="s">
        <v>6348</v>
      </c>
      <c r="F72" s="33" t="s">
        <v>6349</v>
      </c>
      <c r="G72" s="35" t="s">
        <v>6350</v>
      </c>
      <c r="H72" s="34"/>
      <c r="I72" s="34"/>
    </row>
    <row r="73">
      <c r="A73" s="32" t="s">
        <v>324</v>
      </c>
      <c r="B73" s="32" t="s">
        <v>6351</v>
      </c>
      <c r="C73" s="32" t="s">
        <v>6352</v>
      </c>
      <c r="D73" s="32" t="s">
        <v>6353</v>
      </c>
      <c r="E73" s="32" t="s">
        <v>6354</v>
      </c>
      <c r="F73" s="33" t="s">
        <v>6355</v>
      </c>
      <c r="G73" s="35" t="s">
        <v>6356</v>
      </c>
      <c r="H73" s="34"/>
      <c r="I73" s="34"/>
    </row>
    <row r="74">
      <c r="A74" s="32" t="s">
        <v>328</v>
      </c>
      <c r="B74" s="32" t="s">
        <v>6314</v>
      </c>
      <c r="C74" s="32" t="s">
        <v>6315</v>
      </c>
      <c r="D74" s="32" t="s">
        <v>6316</v>
      </c>
      <c r="E74" s="32" t="s">
        <v>6317</v>
      </c>
      <c r="F74" s="33" t="s">
        <v>6318</v>
      </c>
      <c r="G74" s="35" t="s">
        <v>6357</v>
      </c>
      <c r="H74" s="34"/>
      <c r="I74" s="34"/>
    </row>
    <row r="75">
      <c r="A75" s="32" t="s">
        <v>332</v>
      </c>
      <c r="B75" s="32" t="s">
        <v>6358</v>
      </c>
      <c r="C75" s="32" t="s">
        <v>6359</v>
      </c>
      <c r="D75" s="32" t="s">
        <v>6360</v>
      </c>
      <c r="E75" s="32" t="s">
        <v>6361</v>
      </c>
      <c r="F75" s="33" t="s">
        <v>6362</v>
      </c>
      <c r="G75" s="35" t="s">
        <v>6363</v>
      </c>
      <c r="H75" s="34"/>
      <c r="I75" s="34"/>
    </row>
    <row r="76">
      <c r="A76" s="32" t="s">
        <v>336</v>
      </c>
      <c r="B76" s="32" t="s">
        <v>6364</v>
      </c>
      <c r="C76" s="32" t="s">
        <v>6365</v>
      </c>
      <c r="D76" s="32" t="s">
        <v>6366</v>
      </c>
      <c r="E76" s="32" t="s">
        <v>6367</v>
      </c>
      <c r="F76" s="33" t="s">
        <v>6368</v>
      </c>
      <c r="G76" s="35" t="s">
        <v>6369</v>
      </c>
      <c r="H76" s="34"/>
      <c r="I76" s="34"/>
    </row>
    <row r="77">
      <c r="A77" s="32" t="s">
        <v>340</v>
      </c>
      <c r="B77" s="32" t="s">
        <v>6370</v>
      </c>
      <c r="C77" s="32" t="s">
        <v>6371</v>
      </c>
      <c r="D77" s="32" t="s">
        <v>6372</v>
      </c>
      <c r="E77" s="32" t="s">
        <v>6373</v>
      </c>
      <c r="F77" s="33" t="s">
        <v>6374</v>
      </c>
      <c r="G77" s="35" t="s">
        <v>6375</v>
      </c>
      <c r="H77" s="34"/>
      <c r="I77" s="34"/>
    </row>
    <row r="78">
      <c r="A78" s="32" t="s">
        <v>344</v>
      </c>
      <c r="B78" s="32" t="s">
        <v>6376</v>
      </c>
      <c r="C78" s="32" t="s">
        <v>6377</v>
      </c>
      <c r="D78" s="32" t="s">
        <v>6378</v>
      </c>
      <c r="E78" s="32" t="s">
        <v>6379</v>
      </c>
      <c r="F78" s="33" t="s">
        <v>6380</v>
      </c>
      <c r="G78" s="35" t="s">
        <v>6381</v>
      </c>
      <c r="H78" s="34"/>
      <c r="I78" s="34"/>
    </row>
    <row r="79">
      <c r="A79" s="32" t="s">
        <v>348</v>
      </c>
      <c r="B79" s="32" t="s">
        <v>6382</v>
      </c>
      <c r="C79" s="32" t="s">
        <v>6383</v>
      </c>
      <c r="D79" s="32" t="s">
        <v>6384</v>
      </c>
      <c r="E79" s="32" t="s">
        <v>6385</v>
      </c>
      <c r="F79" s="33" t="s">
        <v>6386</v>
      </c>
      <c r="G79" s="35" t="s">
        <v>6387</v>
      </c>
      <c r="H79" s="34"/>
      <c r="I79" s="34"/>
    </row>
    <row r="80">
      <c r="A80" s="32" t="s">
        <v>352</v>
      </c>
      <c r="B80" s="32" t="s">
        <v>6388</v>
      </c>
      <c r="C80" s="32" t="s">
        <v>6389</v>
      </c>
      <c r="D80" s="32" t="s">
        <v>6390</v>
      </c>
      <c r="E80" s="32" t="s">
        <v>6391</v>
      </c>
      <c r="F80" s="33" t="s">
        <v>6392</v>
      </c>
      <c r="G80" s="35" t="s">
        <v>6393</v>
      </c>
      <c r="H80" s="34"/>
      <c r="I80" s="34"/>
    </row>
    <row r="81">
      <c r="A81" s="32" t="s">
        <v>356</v>
      </c>
      <c r="B81" s="32" t="s">
        <v>6394</v>
      </c>
      <c r="C81" s="32" t="s">
        <v>6395</v>
      </c>
      <c r="D81" s="32" t="s">
        <v>6396</v>
      </c>
      <c r="E81" s="32" t="s">
        <v>6397</v>
      </c>
      <c r="F81" s="33" t="s">
        <v>6398</v>
      </c>
      <c r="G81" s="35" t="s">
        <v>6399</v>
      </c>
      <c r="H81" s="34"/>
      <c r="I81" s="34"/>
    </row>
    <row r="82">
      <c r="A82" s="32" t="s">
        <v>360</v>
      </c>
      <c r="B82" s="32" t="s">
        <v>5979</v>
      </c>
      <c r="C82" s="32" t="s">
        <v>5980</v>
      </c>
      <c r="D82" s="32" t="s">
        <v>5981</v>
      </c>
      <c r="E82" s="32" t="s">
        <v>5982</v>
      </c>
      <c r="F82" s="33" t="s">
        <v>6400</v>
      </c>
      <c r="G82" s="35" t="s">
        <v>6401</v>
      </c>
      <c r="H82" s="34"/>
      <c r="I82" s="34"/>
    </row>
    <row r="83">
      <c r="A83" s="32" t="s">
        <v>364</v>
      </c>
      <c r="B83" s="32" t="s">
        <v>6102</v>
      </c>
      <c r="C83" s="32" t="s">
        <v>6103</v>
      </c>
      <c r="D83" s="32" t="s">
        <v>6104</v>
      </c>
      <c r="E83" s="32" t="s">
        <v>6105</v>
      </c>
      <c r="F83" s="33" t="s">
        <v>6402</v>
      </c>
      <c r="G83" s="35" t="s">
        <v>6403</v>
      </c>
      <c r="H83" s="34"/>
      <c r="I83" s="34"/>
    </row>
    <row r="84">
      <c r="A84" s="32" t="s">
        <v>368</v>
      </c>
      <c r="B84" s="32" t="s">
        <v>6404</v>
      </c>
      <c r="C84" s="32" t="s">
        <v>6405</v>
      </c>
      <c r="D84" s="32" t="s">
        <v>6406</v>
      </c>
      <c r="E84" s="32" t="s">
        <v>6407</v>
      </c>
      <c r="F84" s="33" t="s">
        <v>6408</v>
      </c>
      <c r="G84" s="35" t="s">
        <v>6409</v>
      </c>
      <c r="H84" s="34"/>
      <c r="I84" s="34"/>
    </row>
    <row r="85">
      <c r="A85" s="32" t="s">
        <v>372</v>
      </c>
      <c r="B85" s="32" t="s">
        <v>6410</v>
      </c>
      <c r="C85" s="32" t="s">
        <v>6411</v>
      </c>
      <c r="D85" s="32" t="s">
        <v>6412</v>
      </c>
      <c r="E85" s="32" t="s">
        <v>6413</v>
      </c>
      <c r="F85" s="33" t="s">
        <v>6414</v>
      </c>
      <c r="G85" s="35" t="s">
        <v>6415</v>
      </c>
      <c r="H85" s="34"/>
      <c r="I85" s="34"/>
    </row>
    <row r="86">
      <c r="A86" s="32" t="s">
        <v>376</v>
      </c>
      <c r="B86" s="32" t="s">
        <v>6416</v>
      </c>
      <c r="C86" s="32" t="s">
        <v>6417</v>
      </c>
      <c r="D86" s="32" t="s">
        <v>6418</v>
      </c>
      <c r="E86" s="32" t="s">
        <v>6419</v>
      </c>
      <c r="F86" s="33" t="s">
        <v>6420</v>
      </c>
      <c r="G86" s="35" t="s">
        <v>6421</v>
      </c>
      <c r="H86" s="34"/>
      <c r="I86" s="34"/>
    </row>
    <row r="87">
      <c r="A87" s="32" t="s">
        <v>380</v>
      </c>
      <c r="B87" s="32" t="s">
        <v>6188</v>
      </c>
      <c r="C87" s="32" t="s">
        <v>6189</v>
      </c>
      <c r="D87" s="32" t="s">
        <v>6190</v>
      </c>
      <c r="E87" s="32" t="s">
        <v>6191</v>
      </c>
      <c r="F87" s="33" t="s">
        <v>6192</v>
      </c>
      <c r="G87" s="35" t="s">
        <v>6422</v>
      </c>
      <c r="H87" s="34"/>
      <c r="I87" s="34"/>
    </row>
    <row r="88">
      <c r="A88" s="32" t="s">
        <v>384</v>
      </c>
      <c r="B88" s="32" t="s">
        <v>6108</v>
      </c>
      <c r="C88" s="32" t="s">
        <v>6109</v>
      </c>
      <c r="D88" s="32" t="s">
        <v>6110</v>
      </c>
      <c r="E88" s="32" t="s">
        <v>6111</v>
      </c>
      <c r="F88" s="33" t="s">
        <v>6112</v>
      </c>
      <c r="G88" s="35" t="s">
        <v>6423</v>
      </c>
      <c r="H88" s="34"/>
      <c r="I88" s="34"/>
    </row>
    <row r="89">
      <c r="A89" s="32" t="s">
        <v>388</v>
      </c>
      <c r="B89" s="32" t="s">
        <v>6296</v>
      </c>
      <c r="C89" s="32" t="s">
        <v>6297</v>
      </c>
      <c r="D89" s="32" t="s">
        <v>6298</v>
      </c>
      <c r="E89" s="32" t="s">
        <v>6299</v>
      </c>
      <c r="F89" s="33" t="s">
        <v>6300</v>
      </c>
      <c r="G89" s="35" t="s">
        <v>6424</v>
      </c>
      <c r="H89" s="34"/>
      <c r="I89" s="34"/>
    </row>
    <row r="90">
      <c r="A90" s="32" t="s">
        <v>392</v>
      </c>
      <c r="B90" s="32" t="s">
        <v>6425</v>
      </c>
      <c r="C90" s="32" t="s">
        <v>6426</v>
      </c>
      <c r="D90" s="32" t="s">
        <v>6427</v>
      </c>
      <c r="E90" s="32" t="s">
        <v>6428</v>
      </c>
      <c r="F90" s="33" t="s">
        <v>6429</v>
      </c>
      <c r="G90" s="35" t="s">
        <v>6430</v>
      </c>
      <c r="H90" s="34"/>
      <c r="I90" s="34"/>
    </row>
    <row r="91">
      <c r="A91" s="32" t="s">
        <v>396</v>
      </c>
      <c r="B91" s="32" t="s">
        <v>5979</v>
      </c>
      <c r="C91" s="32" t="s">
        <v>5980</v>
      </c>
      <c r="D91" s="32" t="s">
        <v>5981</v>
      </c>
      <c r="E91" s="32" t="s">
        <v>5982</v>
      </c>
      <c r="F91" s="33" t="s">
        <v>6431</v>
      </c>
      <c r="G91" s="35" t="s">
        <v>6432</v>
      </c>
      <c r="H91" s="34"/>
      <c r="I91" s="34"/>
    </row>
    <row r="92">
      <c r="A92" s="32" t="s">
        <v>399</v>
      </c>
      <c r="B92" s="32" t="s">
        <v>6433</v>
      </c>
      <c r="C92" s="32" t="s">
        <v>6434</v>
      </c>
      <c r="D92" s="32" t="s">
        <v>6435</v>
      </c>
      <c r="E92" s="32" t="s">
        <v>6436</v>
      </c>
      <c r="F92" s="33" t="s">
        <v>6437</v>
      </c>
      <c r="G92" s="35" t="s">
        <v>6438</v>
      </c>
      <c r="H92" s="34"/>
      <c r="I92" s="34"/>
    </row>
    <row r="93">
      <c r="A93" s="32" t="s">
        <v>403</v>
      </c>
      <c r="B93" s="32" t="s">
        <v>6120</v>
      </c>
      <c r="C93" s="32" t="s">
        <v>6121</v>
      </c>
      <c r="D93" s="32" t="s">
        <v>6122</v>
      </c>
      <c r="E93" s="32" t="s">
        <v>6123</v>
      </c>
      <c r="F93" s="33" t="s">
        <v>6124</v>
      </c>
      <c r="G93" s="35" t="s">
        <v>6439</v>
      </c>
      <c r="H93" s="34"/>
      <c r="I93" s="34"/>
    </row>
    <row r="94">
      <c r="A94" s="32" t="s">
        <v>407</v>
      </c>
      <c r="B94" s="32" t="s">
        <v>5997</v>
      </c>
      <c r="C94" s="32" t="s">
        <v>5998</v>
      </c>
      <c r="D94" s="32" t="s">
        <v>5999</v>
      </c>
      <c r="E94" s="32" t="s">
        <v>6000</v>
      </c>
      <c r="F94" s="33" t="s">
        <v>6001</v>
      </c>
      <c r="G94" s="35" t="s">
        <v>6440</v>
      </c>
      <c r="H94" s="34"/>
      <c r="I94" s="34"/>
    </row>
    <row r="95">
      <c r="A95" s="32" t="s">
        <v>410</v>
      </c>
      <c r="B95" s="32" t="s">
        <v>6441</v>
      </c>
      <c r="C95" s="32" t="s">
        <v>6442</v>
      </c>
      <c r="D95" s="32" t="s">
        <v>6443</v>
      </c>
      <c r="E95" s="32" t="s">
        <v>6444</v>
      </c>
      <c r="F95" s="33" t="s">
        <v>6445</v>
      </c>
      <c r="G95" s="35" t="s">
        <v>6446</v>
      </c>
      <c r="H95" s="34"/>
      <c r="I95" s="34"/>
    </row>
    <row r="96">
      <c r="A96" s="32" t="s">
        <v>414</v>
      </c>
      <c r="B96" s="32" t="s">
        <v>6447</v>
      </c>
      <c r="C96" s="32" t="s">
        <v>6448</v>
      </c>
      <c r="D96" s="32" t="s">
        <v>6449</v>
      </c>
      <c r="E96" s="32" t="s">
        <v>6450</v>
      </c>
      <c r="F96" s="33" t="s">
        <v>6451</v>
      </c>
      <c r="G96" s="35" t="s">
        <v>6452</v>
      </c>
      <c r="H96" s="34"/>
      <c r="I96" s="34"/>
    </row>
    <row r="97">
      <c r="A97" s="32" t="s">
        <v>418</v>
      </c>
      <c r="B97" s="32" t="s">
        <v>6453</v>
      </c>
      <c r="C97" s="32" t="s">
        <v>6454</v>
      </c>
      <c r="D97" s="32" t="s">
        <v>6455</v>
      </c>
      <c r="E97" s="32" t="s">
        <v>6456</v>
      </c>
      <c r="F97" s="33" t="s">
        <v>6457</v>
      </c>
      <c r="G97" s="35" t="s">
        <v>6458</v>
      </c>
      <c r="H97" s="34"/>
      <c r="I97" s="34"/>
    </row>
    <row r="98">
      <c r="A98" s="32" t="s">
        <v>422</v>
      </c>
      <c r="B98" s="32" t="s">
        <v>6459</v>
      </c>
      <c r="C98" s="32" t="s">
        <v>6460</v>
      </c>
      <c r="D98" s="32" t="s">
        <v>6461</v>
      </c>
      <c r="E98" s="32" t="s">
        <v>6462</v>
      </c>
      <c r="F98" s="33" t="s">
        <v>6463</v>
      </c>
      <c r="G98" s="35" t="s">
        <v>6464</v>
      </c>
      <c r="H98" s="34"/>
      <c r="I98" s="34"/>
    </row>
    <row r="99">
      <c r="A99" s="32" t="s">
        <v>426</v>
      </c>
      <c r="B99" s="32" t="s">
        <v>6465</v>
      </c>
      <c r="C99" s="32" t="s">
        <v>6466</v>
      </c>
      <c r="D99" s="32" t="s">
        <v>6467</v>
      </c>
      <c r="E99" s="32" t="s">
        <v>6468</v>
      </c>
      <c r="F99" s="33" t="s">
        <v>6469</v>
      </c>
      <c r="G99" s="35" t="s">
        <v>6470</v>
      </c>
      <c r="H99" s="34"/>
      <c r="I99" s="34"/>
    </row>
    <row r="100">
      <c r="A100" s="32" t="s">
        <v>430</v>
      </c>
      <c r="B100" s="32" t="s">
        <v>6471</v>
      </c>
      <c r="C100" s="32" t="s">
        <v>6472</v>
      </c>
      <c r="D100" s="32" t="s">
        <v>6473</v>
      </c>
      <c r="E100" s="32" t="s">
        <v>6474</v>
      </c>
      <c r="F100" s="33" t="s">
        <v>6475</v>
      </c>
      <c r="G100" s="35" t="s">
        <v>6476</v>
      </c>
      <c r="H100" s="34"/>
      <c r="I100" s="34"/>
    </row>
    <row r="101">
      <c r="A101" s="32" t="s">
        <v>434</v>
      </c>
      <c r="B101" s="32" t="s">
        <v>6477</v>
      </c>
      <c r="C101" s="32" t="s">
        <v>6478</v>
      </c>
      <c r="D101" s="32" t="s">
        <v>6479</v>
      </c>
      <c r="E101" s="32" t="s">
        <v>6480</v>
      </c>
      <c r="F101" s="33" t="s">
        <v>6481</v>
      </c>
      <c r="G101" s="35" t="s">
        <v>6482</v>
      </c>
      <c r="H101" s="34"/>
      <c r="I101" s="34"/>
    </row>
    <row r="102">
      <c r="A102" s="32" t="s">
        <v>438</v>
      </c>
      <c r="B102" s="32" t="s">
        <v>6483</v>
      </c>
      <c r="C102" s="32" t="s">
        <v>6484</v>
      </c>
      <c r="D102" s="32" t="s">
        <v>6485</v>
      </c>
      <c r="E102" s="32" t="s">
        <v>6486</v>
      </c>
      <c r="F102" s="33" t="s">
        <v>6487</v>
      </c>
      <c r="G102" s="35" t="s">
        <v>6488</v>
      </c>
      <c r="H102" s="34"/>
      <c r="I102" s="34"/>
    </row>
    <row r="103">
      <c r="A103" s="32" t="s">
        <v>442</v>
      </c>
      <c r="B103" s="32" t="s">
        <v>6489</v>
      </c>
      <c r="C103" s="32" t="s">
        <v>6490</v>
      </c>
      <c r="D103" s="32" t="s">
        <v>6491</v>
      </c>
      <c r="E103" s="32" t="s">
        <v>6492</v>
      </c>
      <c r="F103" s="33" t="s">
        <v>6493</v>
      </c>
      <c r="G103" s="35" t="s">
        <v>6257</v>
      </c>
      <c r="H103" s="34"/>
      <c r="I103" s="34"/>
    </row>
    <row r="104">
      <c r="A104" s="32" t="s">
        <v>445</v>
      </c>
      <c r="B104" s="32" t="s">
        <v>6494</v>
      </c>
      <c r="C104" s="32" t="s">
        <v>6495</v>
      </c>
      <c r="D104" s="32" t="s">
        <v>6496</v>
      </c>
      <c r="E104" s="32" t="s">
        <v>6497</v>
      </c>
      <c r="F104" s="33" t="s">
        <v>6498</v>
      </c>
      <c r="G104" s="35" t="s">
        <v>6499</v>
      </c>
      <c r="H104" s="34"/>
      <c r="I104" s="34"/>
    </row>
    <row r="105">
      <c r="A105" s="32" t="s">
        <v>449</v>
      </c>
      <c r="B105" s="32" t="s">
        <v>6065</v>
      </c>
      <c r="C105" s="32" t="s">
        <v>6066</v>
      </c>
      <c r="D105" s="32" t="s">
        <v>6067</v>
      </c>
      <c r="E105" s="32" t="s">
        <v>6068</v>
      </c>
      <c r="F105" s="33" t="s">
        <v>6500</v>
      </c>
      <c r="G105" s="35" t="s">
        <v>6501</v>
      </c>
      <c r="H105" s="34"/>
      <c r="I105" s="34"/>
    </row>
    <row r="106">
      <c r="A106" s="32" t="s">
        <v>453</v>
      </c>
      <c r="B106" s="32" t="s">
        <v>6502</v>
      </c>
      <c r="C106" s="32" t="s">
        <v>6503</v>
      </c>
      <c r="D106" s="32" t="s">
        <v>6504</v>
      </c>
      <c r="E106" s="32" t="s">
        <v>6505</v>
      </c>
      <c r="F106" s="33" t="s">
        <v>6506</v>
      </c>
      <c r="G106" s="35" t="s">
        <v>6507</v>
      </c>
      <c r="H106" s="34"/>
      <c r="I106" s="34"/>
    </row>
    <row r="107">
      <c r="A107" s="32" t="s">
        <v>457</v>
      </c>
      <c r="B107" s="32" t="s">
        <v>6508</v>
      </c>
      <c r="C107" s="32" t="s">
        <v>6509</v>
      </c>
      <c r="D107" s="32" t="s">
        <v>6510</v>
      </c>
      <c r="E107" s="32" t="s">
        <v>6511</v>
      </c>
      <c r="F107" s="33" t="s">
        <v>6512</v>
      </c>
      <c r="G107" s="35" t="s">
        <v>6513</v>
      </c>
      <c r="H107" s="34"/>
      <c r="I107" s="34"/>
    </row>
    <row r="108">
      <c r="A108" s="32" t="s">
        <v>461</v>
      </c>
      <c r="B108" s="32" t="s">
        <v>5979</v>
      </c>
      <c r="C108" s="32" t="s">
        <v>5980</v>
      </c>
      <c r="D108" s="32" t="s">
        <v>5981</v>
      </c>
      <c r="E108" s="32" t="s">
        <v>5982</v>
      </c>
      <c r="F108" s="33" t="s">
        <v>5983</v>
      </c>
      <c r="G108" s="35" t="s">
        <v>5984</v>
      </c>
      <c r="H108" s="34"/>
      <c r="I108" s="34"/>
    </row>
    <row r="109">
      <c r="A109" s="32" t="s">
        <v>465</v>
      </c>
      <c r="B109" s="32" t="s">
        <v>6514</v>
      </c>
      <c r="C109" s="32" t="s">
        <v>6515</v>
      </c>
      <c r="D109" s="32" t="s">
        <v>6516</v>
      </c>
      <c r="E109" s="32" t="s">
        <v>6517</v>
      </c>
      <c r="F109" s="33" t="s">
        <v>6518</v>
      </c>
      <c r="G109" s="35" t="s">
        <v>6519</v>
      </c>
      <c r="H109" s="34"/>
      <c r="I109" s="34"/>
    </row>
    <row r="110">
      <c r="A110" s="32" t="s">
        <v>469</v>
      </c>
      <c r="B110" s="32" t="s">
        <v>6520</v>
      </c>
      <c r="C110" s="32" t="s">
        <v>6521</v>
      </c>
      <c r="D110" s="32" t="s">
        <v>6522</v>
      </c>
      <c r="E110" s="32" t="s">
        <v>6523</v>
      </c>
      <c r="F110" s="33" t="s">
        <v>6524</v>
      </c>
      <c r="G110" s="35" t="s">
        <v>6525</v>
      </c>
      <c r="H110" s="34"/>
      <c r="I110" s="34"/>
    </row>
    <row r="111">
      <c r="A111" s="32" t="s">
        <v>473</v>
      </c>
      <c r="B111" s="32" t="s">
        <v>6009</v>
      </c>
      <c r="C111" s="32" t="s">
        <v>6010</v>
      </c>
      <c r="D111" s="32" t="s">
        <v>6011</v>
      </c>
      <c r="E111" s="32" t="s">
        <v>6012</v>
      </c>
      <c r="F111" s="33" t="s">
        <v>6526</v>
      </c>
      <c r="G111" s="35" t="s">
        <v>6527</v>
      </c>
      <c r="H111" s="34"/>
      <c r="I111" s="34"/>
    </row>
    <row r="112">
      <c r="A112" s="32" t="s">
        <v>477</v>
      </c>
      <c r="B112" s="32" t="s">
        <v>6528</v>
      </c>
      <c r="C112" s="32" t="s">
        <v>6529</v>
      </c>
      <c r="D112" s="32" t="s">
        <v>6530</v>
      </c>
      <c r="E112" s="32" t="s">
        <v>6531</v>
      </c>
      <c r="F112" s="33" t="s">
        <v>6532</v>
      </c>
      <c r="G112" s="35" t="s">
        <v>6533</v>
      </c>
      <c r="H112" s="34"/>
      <c r="I112" s="34"/>
    </row>
    <row r="113">
      <c r="A113" s="32" t="s">
        <v>481</v>
      </c>
      <c r="B113" s="32" t="s">
        <v>6138</v>
      </c>
      <c r="C113" s="32" t="s">
        <v>6139</v>
      </c>
      <c r="D113" s="32" t="s">
        <v>6140</v>
      </c>
      <c r="E113" s="32" t="s">
        <v>6141</v>
      </c>
      <c r="F113" s="33" t="s">
        <v>6142</v>
      </c>
      <c r="G113" s="35" t="s">
        <v>6534</v>
      </c>
      <c r="H113" s="34"/>
      <c r="I113" s="34"/>
    </row>
    <row r="114">
      <c r="A114" s="32" t="s">
        <v>485</v>
      </c>
      <c r="B114" s="32" t="s">
        <v>6535</v>
      </c>
      <c r="C114" s="32" t="s">
        <v>6536</v>
      </c>
      <c r="D114" s="32" t="s">
        <v>6537</v>
      </c>
      <c r="E114" s="32" t="s">
        <v>6538</v>
      </c>
      <c r="F114" s="33" t="s">
        <v>6539</v>
      </c>
      <c r="G114" s="35" t="s">
        <v>6540</v>
      </c>
      <c r="H114" s="34"/>
      <c r="I114" s="34"/>
    </row>
    <row r="115">
      <c r="A115" s="32" t="s">
        <v>489</v>
      </c>
      <c r="B115" s="32" t="s">
        <v>6364</v>
      </c>
      <c r="C115" s="32" t="s">
        <v>6365</v>
      </c>
      <c r="D115" s="32" t="s">
        <v>6366</v>
      </c>
      <c r="E115" s="32" t="s">
        <v>6367</v>
      </c>
      <c r="F115" s="33" t="s">
        <v>6368</v>
      </c>
      <c r="G115" s="35" t="s">
        <v>6541</v>
      </c>
      <c r="H115" s="34"/>
      <c r="I115" s="34"/>
    </row>
    <row r="116">
      <c r="A116" s="32" t="s">
        <v>493</v>
      </c>
      <c r="B116" s="32" t="s">
        <v>6542</v>
      </c>
      <c r="C116" s="32" t="s">
        <v>6543</v>
      </c>
      <c r="D116" s="32" t="s">
        <v>6544</v>
      </c>
      <c r="E116" s="32" t="s">
        <v>6545</v>
      </c>
      <c r="F116" s="33" t="s">
        <v>6546</v>
      </c>
      <c r="G116" s="35" t="s">
        <v>6547</v>
      </c>
      <c r="H116" s="34"/>
      <c r="I116" s="34"/>
    </row>
    <row r="117">
      <c r="A117" s="32" t="s">
        <v>497</v>
      </c>
      <c r="B117" s="32" t="s">
        <v>6548</v>
      </c>
      <c r="C117" s="32" t="s">
        <v>6549</v>
      </c>
      <c r="D117" s="32" t="s">
        <v>6550</v>
      </c>
      <c r="E117" s="32" t="s">
        <v>6551</v>
      </c>
      <c r="F117" s="33" t="s">
        <v>6552</v>
      </c>
      <c r="G117" s="35" t="s">
        <v>6553</v>
      </c>
      <c r="H117" s="34"/>
      <c r="I117" s="34"/>
    </row>
    <row r="118">
      <c r="A118" s="32" t="s">
        <v>501</v>
      </c>
      <c r="B118" s="32" t="s">
        <v>6554</v>
      </c>
      <c r="C118" s="32" t="s">
        <v>6555</v>
      </c>
      <c r="D118" s="32" t="s">
        <v>6556</v>
      </c>
      <c r="E118" s="32" t="s">
        <v>6557</v>
      </c>
      <c r="F118" s="33" t="s">
        <v>6558</v>
      </c>
      <c r="G118" s="35" t="s">
        <v>6559</v>
      </c>
      <c r="H118" s="34"/>
      <c r="I118" s="34"/>
    </row>
    <row r="119">
      <c r="A119" s="32" t="s">
        <v>505</v>
      </c>
      <c r="B119" s="32" t="s">
        <v>6560</v>
      </c>
      <c r="C119" s="32" t="s">
        <v>6561</v>
      </c>
      <c r="D119" s="32" t="s">
        <v>6562</v>
      </c>
      <c r="E119" s="32" t="s">
        <v>6563</v>
      </c>
      <c r="F119" s="33" t="s">
        <v>6564</v>
      </c>
      <c r="G119" s="35" t="s">
        <v>6565</v>
      </c>
      <c r="H119" s="34"/>
      <c r="I119" s="34"/>
    </row>
    <row r="120">
      <c r="A120" s="32" t="s">
        <v>509</v>
      </c>
      <c r="B120" s="32" t="s">
        <v>6302</v>
      </c>
      <c r="C120" s="32" t="s">
        <v>6303</v>
      </c>
      <c r="D120" s="32" t="s">
        <v>6304</v>
      </c>
      <c r="E120" s="32" t="s">
        <v>6305</v>
      </c>
      <c r="F120" s="33" t="s">
        <v>6306</v>
      </c>
      <c r="G120" s="35" t="s">
        <v>6566</v>
      </c>
      <c r="H120" s="34"/>
      <c r="I120" s="34"/>
    </row>
    <row r="121">
      <c r="A121" s="32" t="s">
        <v>513</v>
      </c>
      <c r="B121" s="32" t="s">
        <v>6567</v>
      </c>
      <c r="C121" s="32" t="s">
        <v>6568</v>
      </c>
      <c r="D121" s="32" t="s">
        <v>6569</v>
      </c>
      <c r="E121" s="32" t="s">
        <v>6570</v>
      </c>
      <c r="F121" s="33" t="s">
        <v>6571</v>
      </c>
      <c r="G121" s="35" t="s">
        <v>6572</v>
      </c>
      <c r="H121" s="34"/>
      <c r="I121" s="34"/>
    </row>
    <row r="122">
      <c r="A122" s="32" t="s">
        <v>517</v>
      </c>
      <c r="B122" s="32" t="s">
        <v>6573</v>
      </c>
      <c r="C122" s="32" t="s">
        <v>6574</v>
      </c>
      <c r="D122" s="32" t="s">
        <v>6575</v>
      </c>
      <c r="E122" s="32" t="s">
        <v>6576</v>
      </c>
      <c r="F122" s="33" t="s">
        <v>6577</v>
      </c>
      <c r="G122" s="35" t="s">
        <v>6578</v>
      </c>
      <c r="H122" s="34"/>
      <c r="I122" s="34"/>
    </row>
    <row r="123">
      <c r="A123" s="32" t="s">
        <v>521</v>
      </c>
      <c r="B123" s="32" t="s">
        <v>6579</v>
      </c>
      <c r="C123" s="32" t="s">
        <v>6580</v>
      </c>
      <c r="D123" s="32" t="s">
        <v>6581</v>
      </c>
      <c r="E123" s="32" t="s">
        <v>6582</v>
      </c>
      <c r="F123" s="33" t="s">
        <v>6583</v>
      </c>
      <c r="G123" s="35" t="s">
        <v>6584</v>
      </c>
      <c r="H123" s="34"/>
      <c r="I123" s="34"/>
    </row>
    <row r="124">
      <c r="A124" s="32" t="s">
        <v>525</v>
      </c>
      <c r="B124" s="32" t="s">
        <v>6585</v>
      </c>
      <c r="C124" s="32" t="s">
        <v>6586</v>
      </c>
      <c r="D124" s="32" t="s">
        <v>6587</v>
      </c>
      <c r="E124" s="32" t="s">
        <v>6588</v>
      </c>
      <c r="F124" s="33" t="s">
        <v>6589</v>
      </c>
      <c r="G124" s="35" t="s">
        <v>6590</v>
      </c>
      <c r="H124" s="34"/>
      <c r="I124" s="34"/>
    </row>
    <row r="125">
      <c r="A125" s="32" t="s">
        <v>529</v>
      </c>
      <c r="B125" s="32" t="s">
        <v>6591</v>
      </c>
      <c r="C125" s="32" t="s">
        <v>6592</v>
      </c>
      <c r="D125" s="32" t="s">
        <v>6593</v>
      </c>
      <c r="E125" s="32" t="s">
        <v>6594</v>
      </c>
      <c r="F125" s="33" t="s">
        <v>6595</v>
      </c>
      <c r="G125" s="35" t="s">
        <v>6596</v>
      </c>
      <c r="H125" s="34"/>
      <c r="I125" s="34"/>
    </row>
    <row r="126">
      <c r="A126" s="32" t="s">
        <v>533</v>
      </c>
      <c r="B126" s="32" t="s">
        <v>6314</v>
      </c>
      <c r="C126" s="32" t="s">
        <v>6315</v>
      </c>
      <c r="D126" s="32" t="s">
        <v>6316</v>
      </c>
      <c r="E126" s="32" t="s">
        <v>6317</v>
      </c>
      <c r="F126" s="33" t="s">
        <v>6318</v>
      </c>
      <c r="G126" s="35" t="s">
        <v>6597</v>
      </c>
      <c r="H126" s="34"/>
      <c r="I126" s="34"/>
    </row>
    <row r="127">
      <c r="A127" s="32" t="s">
        <v>537</v>
      </c>
      <c r="B127" s="32" t="s">
        <v>6598</v>
      </c>
      <c r="C127" s="32" t="s">
        <v>6599</v>
      </c>
      <c r="D127" s="32" t="s">
        <v>6600</v>
      </c>
      <c r="E127" s="32" t="s">
        <v>6601</v>
      </c>
      <c r="F127" s="33" t="s">
        <v>6602</v>
      </c>
      <c r="G127" s="35" t="s">
        <v>6603</v>
      </c>
      <c r="H127" s="34"/>
      <c r="I127" s="34"/>
    </row>
    <row r="128">
      <c r="A128" s="32" t="s">
        <v>541</v>
      </c>
      <c r="B128" s="32" t="s">
        <v>6604</v>
      </c>
      <c r="C128" s="32" t="s">
        <v>6605</v>
      </c>
      <c r="D128" s="32" t="s">
        <v>6606</v>
      </c>
      <c r="E128" s="32" t="s">
        <v>6607</v>
      </c>
      <c r="F128" s="33" t="s">
        <v>6608</v>
      </c>
      <c r="G128" s="35" t="s">
        <v>6609</v>
      </c>
      <c r="H128" s="34"/>
      <c r="I128" s="34"/>
    </row>
    <row r="129">
      <c r="A129" s="32" t="s">
        <v>545</v>
      </c>
      <c r="B129" s="32" t="s">
        <v>6610</v>
      </c>
      <c r="C129" s="32" t="s">
        <v>6611</v>
      </c>
      <c r="D129" s="32" t="s">
        <v>6612</v>
      </c>
      <c r="E129" s="32" t="s">
        <v>6613</v>
      </c>
      <c r="F129" s="33" t="s">
        <v>6614</v>
      </c>
      <c r="G129" s="35" t="s">
        <v>6615</v>
      </c>
      <c r="H129" s="34"/>
      <c r="I129" s="34"/>
    </row>
    <row r="130">
      <c r="A130" s="32" t="s">
        <v>549</v>
      </c>
      <c r="B130" s="32" t="s">
        <v>6616</v>
      </c>
      <c r="C130" s="32" t="s">
        <v>6617</v>
      </c>
      <c r="D130" s="32" t="s">
        <v>6618</v>
      </c>
      <c r="E130" s="32" t="s">
        <v>6619</v>
      </c>
      <c r="F130" s="33" t="s">
        <v>6620</v>
      </c>
      <c r="G130" s="35" t="s">
        <v>6621</v>
      </c>
      <c r="H130" s="34"/>
      <c r="I130" s="34"/>
    </row>
    <row r="131">
      <c r="A131" s="32" t="s">
        <v>553</v>
      </c>
      <c r="B131" s="32" t="s">
        <v>6622</v>
      </c>
      <c r="C131" s="32" t="s">
        <v>6623</v>
      </c>
      <c r="D131" s="32" t="s">
        <v>6624</v>
      </c>
      <c r="E131" s="32" t="s">
        <v>6625</v>
      </c>
      <c r="F131" s="33" t="s">
        <v>6626</v>
      </c>
      <c r="G131" s="35" t="s">
        <v>6627</v>
      </c>
      <c r="H131" s="34"/>
      <c r="I131" s="34"/>
    </row>
    <row r="132">
      <c r="A132" s="32" t="s">
        <v>559</v>
      </c>
      <c r="B132" s="32" t="s">
        <v>6108</v>
      </c>
      <c r="C132" s="32" t="s">
        <v>6109</v>
      </c>
      <c r="D132" s="32" t="s">
        <v>6110</v>
      </c>
      <c r="E132" s="32" t="s">
        <v>6111</v>
      </c>
      <c r="F132" s="33" t="s">
        <v>6112</v>
      </c>
      <c r="G132" s="35" t="s">
        <v>6628</v>
      </c>
      <c r="H132" s="34"/>
      <c r="I132" s="34"/>
    </row>
    <row r="133">
      <c r="A133" s="32" t="s">
        <v>562</v>
      </c>
      <c r="B133" s="32" t="s">
        <v>6508</v>
      </c>
      <c r="C133" s="32" t="s">
        <v>6509</v>
      </c>
      <c r="D133" s="32" t="s">
        <v>6510</v>
      </c>
      <c r="E133" s="32" t="s">
        <v>6511</v>
      </c>
      <c r="F133" s="33" t="s">
        <v>6512</v>
      </c>
      <c r="G133" s="35" t="s">
        <v>6629</v>
      </c>
      <c r="H133" s="34"/>
      <c r="I133" s="34"/>
    </row>
    <row r="134">
      <c r="A134" s="32" t="s">
        <v>566</v>
      </c>
      <c r="B134" s="32" t="s">
        <v>6630</v>
      </c>
      <c r="C134" s="32" t="s">
        <v>6631</v>
      </c>
      <c r="D134" s="32" t="s">
        <v>6632</v>
      </c>
      <c r="E134" s="32" t="s">
        <v>6633</v>
      </c>
      <c r="F134" s="33" t="s">
        <v>6634</v>
      </c>
      <c r="G134" s="35" t="s">
        <v>6635</v>
      </c>
      <c r="H134" s="34"/>
      <c r="I134" s="34"/>
    </row>
    <row r="135">
      <c r="A135" s="32" t="s">
        <v>574</v>
      </c>
      <c r="B135" s="32" t="s">
        <v>6636</v>
      </c>
      <c r="C135" s="32" t="s">
        <v>6637</v>
      </c>
      <c r="D135" s="32" t="s">
        <v>6638</v>
      </c>
      <c r="E135" s="32" t="s">
        <v>6639</v>
      </c>
      <c r="F135" s="33" t="s">
        <v>6640</v>
      </c>
      <c r="G135" s="35" t="s">
        <v>6641</v>
      </c>
      <c r="H135" s="34"/>
      <c r="I135" s="34"/>
    </row>
    <row r="136">
      <c r="A136" s="32" t="s">
        <v>578</v>
      </c>
      <c r="B136" s="32" t="s">
        <v>6642</v>
      </c>
      <c r="C136" s="32" t="s">
        <v>6643</v>
      </c>
      <c r="D136" s="32" t="s">
        <v>6644</v>
      </c>
      <c r="E136" s="32" t="s">
        <v>6645</v>
      </c>
      <c r="F136" s="33" t="s">
        <v>6646</v>
      </c>
      <c r="G136" s="35" t="s">
        <v>6647</v>
      </c>
      <c r="H136" s="34"/>
      <c r="I136" s="34"/>
    </row>
    <row r="137">
      <c r="A137" s="32" t="s">
        <v>582</v>
      </c>
      <c r="B137" s="32" t="s">
        <v>6648</v>
      </c>
      <c r="C137" s="32" t="s">
        <v>6649</v>
      </c>
      <c r="D137" s="32" t="s">
        <v>6650</v>
      </c>
      <c r="E137" s="32" t="s">
        <v>6651</v>
      </c>
      <c r="F137" s="33" t="s">
        <v>6652</v>
      </c>
      <c r="G137" s="35" t="s">
        <v>6653</v>
      </c>
      <c r="H137" s="34"/>
      <c r="I137" s="34"/>
    </row>
    <row r="138">
      <c r="A138" s="32" t="s">
        <v>586</v>
      </c>
      <c r="B138" s="32" t="s">
        <v>6168</v>
      </c>
      <c r="C138" s="32" t="s">
        <v>6169</v>
      </c>
      <c r="D138" s="32" t="s">
        <v>6170</v>
      </c>
      <c r="E138" s="32" t="s">
        <v>6171</v>
      </c>
      <c r="F138" s="33" t="s">
        <v>6172</v>
      </c>
      <c r="G138" s="35" t="s">
        <v>6654</v>
      </c>
      <c r="H138" s="34"/>
      <c r="I138" s="34"/>
    </row>
    <row r="139">
      <c r="A139" s="32" t="s">
        <v>590</v>
      </c>
      <c r="B139" s="32" t="s">
        <v>6655</v>
      </c>
      <c r="C139" s="32" t="s">
        <v>6656</v>
      </c>
      <c r="D139" s="32" t="s">
        <v>6657</v>
      </c>
      <c r="E139" s="32" t="s">
        <v>6658</v>
      </c>
      <c r="F139" s="33" t="s">
        <v>6659</v>
      </c>
      <c r="G139" s="35" t="s">
        <v>6660</v>
      </c>
      <c r="H139" s="34"/>
      <c r="I139" s="34"/>
    </row>
    <row r="140">
      <c r="A140" s="32" t="s">
        <v>594</v>
      </c>
      <c r="B140" s="32" t="s">
        <v>6661</v>
      </c>
      <c r="C140" s="32" t="s">
        <v>6662</v>
      </c>
      <c r="D140" s="32" t="s">
        <v>6663</v>
      </c>
      <c r="E140" s="32" t="s">
        <v>6664</v>
      </c>
      <c r="F140" s="33" t="s">
        <v>6665</v>
      </c>
      <c r="G140" s="35" t="s">
        <v>6666</v>
      </c>
      <c r="H140" s="34"/>
      <c r="I140" s="34"/>
    </row>
    <row r="141">
      <c r="A141" s="32" t="s">
        <v>598</v>
      </c>
      <c r="B141" s="32" t="s">
        <v>6138</v>
      </c>
      <c r="C141" s="32" t="s">
        <v>6139</v>
      </c>
      <c r="D141" s="32" t="s">
        <v>6140</v>
      </c>
      <c r="E141" s="32" t="s">
        <v>6141</v>
      </c>
      <c r="F141" s="33" t="s">
        <v>6142</v>
      </c>
      <c r="G141" s="35" t="s">
        <v>6667</v>
      </c>
      <c r="H141" s="34"/>
      <c r="I141" s="34"/>
    </row>
    <row r="142">
      <c r="A142" s="32" t="s">
        <v>602</v>
      </c>
      <c r="B142" s="32" t="s">
        <v>6668</v>
      </c>
      <c r="C142" s="32" t="s">
        <v>6669</v>
      </c>
      <c r="D142" s="32" t="s">
        <v>6670</v>
      </c>
      <c r="E142" s="32" t="s">
        <v>6671</v>
      </c>
      <c r="F142" s="33" t="s">
        <v>6672</v>
      </c>
      <c r="G142" s="35" t="s">
        <v>6673</v>
      </c>
      <c r="H142" s="34"/>
      <c r="I142" s="34"/>
    </row>
    <row r="143">
      <c r="A143" s="32" t="s">
        <v>606</v>
      </c>
      <c r="B143" s="32" t="s">
        <v>6245</v>
      </c>
      <c r="C143" s="32" t="s">
        <v>6246</v>
      </c>
      <c r="D143" s="32" t="s">
        <v>6247</v>
      </c>
      <c r="E143" s="32" t="s">
        <v>6248</v>
      </c>
      <c r="F143" s="33" t="s">
        <v>6249</v>
      </c>
      <c r="G143" s="35" t="s">
        <v>6674</v>
      </c>
      <c r="H143" s="34"/>
      <c r="I143" s="34"/>
    </row>
    <row r="144">
      <c r="A144" s="32" t="s">
        <v>610</v>
      </c>
      <c r="B144" s="32" t="s">
        <v>6675</v>
      </c>
      <c r="C144" s="32" t="s">
        <v>6676</v>
      </c>
      <c r="D144" s="32" t="s">
        <v>6677</v>
      </c>
      <c r="E144" s="32" t="s">
        <v>6678</v>
      </c>
      <c r="F144" s="33" t="s">
        <v>6679</v>
      </c>
      <c r="G144" s="35" t="s">
        <v>6680</v>
      </c>
      <c r="H144" s="34"/>
      <c r="I144" s="34"/>
    </row>
    <row r="145">
      <c r="A145" s="32" t="s">
        <v>614</v>
      </c>
      <c r="B145" s="32" t="s">
        <v>6027</v>
      </c>
      <c r="C145" s="32" t="s">
        <v>6028</v>
      </c>
      <c r="D145" s="32" t="s">
        <v>6029</v>
      </c>
      <c r="E145" s="32" t="s">
        <v>6030</v>
      </c>
      <c r="F145" s="33" t="s">
        <v>6031</v>
      </c>
      <c r="G145" s="35" t="s">
        <v>6681</v>
      </c>
      <c r="H145" s="34"/>
      <c r="I145" s="34"/>
    </row>
    <row r="146">
      <c r="A146" s="32" t="s">
        <v>618</v>
      </c>
      <c r="B146" s="32" t="s">
        <v>6682</v>
      </c>
      <c r="C146" s="32" t="s">
        <v>6683</v>
      </c>
      <c r="D146" s="32" t="s">
        <v>6684</v>
      </c>
      <c r="E146" s="32" t="s">
        <v>6685</v>
      </c>
      <c r="F146" s="33" t="s">
        <v>6686</v>
      </c>
      <c r="G146" s="35" t="s">
        <v>6687</v>
      </c>
      <c r="H146" s="34"/>
      <c r="I146" s="34"/>
    </row>
    <row r="147">
      <c r="A147" s="32" t="s">
        <v>622</v>
      </c>
      <c r="B147" s="32" t="s">
        <v>6688</v>
      </c>
      <c r="C147" s="32" t="s">
        <v>6689</v>
      </c>
      <c r="D147" s="32" t="s">
        <v>6690</v>
      </c>
      <c r="E147" s="32" t="s">
        <v>6691</v>
      </c>
      <c r="F147" s="33" t="s">
        <v>6692</v>
      </c>
      <c r="G147" s="35" t="s">
        <v>6693</v>
      </c>
      <c r="H147" s="34"/>
      <c r="I147" s="34"/>
    </row>
    <row r="148">
      <c r="A148" s="32" t="s">
        <v>626</v>
      </c>
      <c r="B148" s="32" t="s">
        <v>6694</v>
      </c>
      <c r="C148" s="32" t="s">
        <v>6695</v>
      </c>
      <c r="D148" s="32" t="s">
        <v>6696</v>
      </c>
      <c r="E148" s="32" t="s">
        <v>6697</v>
      </c>
      <c r="F148" s="33" t="s">
        <v>6698</v>
      </c>
      <c r="G148" s="35" t="s">
        <v>6699</v>
      </c>
      <c r="H148" s="34"/>
      <c r="I148" s="34"/>
    </row>
    <row r="149">
      <c r="A149" s="32" t="s">
        <v>629</v>
      </c>
      <c r="B149" s="32" t="s">
        <v>6700</v>
      </c>
      <c r="C149" s="32" t="s">
        <v>6701</v>
      </c>
      <c r="D149" s="32" t="s">
        <v>6702</v>
      </c>
      <c r="E149" s="32" t="s">
        <v>6703</v>
      </c>
      <c r="F149" s="33" t="s">
        <v>6704</v>
      </c>
      <c r="G149" s="35" t="s">
        <v>6705</v>
      </c>
      <c r="H149" s="34"/>
      <c r="I149" s="34"/>
    </row>
    <row r="150">
      <c r="A150" s="32" t="s">
        <v>633</v>
      </c>
      <c r="B150" s="32" t="s">
        <v>6706</v>
      </c>
      <c r="C150" s="32" t="s">
        <v>6707</v>
      </c>
      <c r="D150" s="32" t="s">
        <v>6708</v>
      </c>
      <c r="E150" s="32" t="s">
        <v>6709</v>
      </c>
      <c r="F150" s="33" t="s">
        <v>6710</v>
      </c>
      <c r="G150" s="35" t="s">
        <v>6711</v>
      </c>
      <c r="H150" s="34"/>
      <c r="I150" s="34"/>
    </row>
    <row r="151">
      <c r="A151" s="32" t="s">
        <v>639</v>
      </c>
      <c r="B151" s="32" t="s">
        <v>6712</v>
      </c>
      <c r="C151" s="32" t="s">
        <v>6713</v>
      </c>
      <c r="D151" s="32" t="s">
        <v>6714</v>
      </c>
      <c r="E151" s="32" t="s">
        <v>6715</v>
      </c>
      <c r="F151" s="33" t="s">
        <v>6716</v>
      </c>
      <c r="G151" s="35" t="s">
        <v>6717</v>
      </c>
      <c r="H151" s="34"/>
      <c r="I151" s="34"/>
    </row>
    <row r="152">
      <c r="A152" s="32" t="s">
        <v>643</v>
      </c>
      <c r="B152" s="32" t="s">
        <v>6718</v>
      </c>
      <c r="C152" s="32" t="s">
        <v>6719</v>
      </c>
      <c r="D152" s="32" t="s">
        <v>6720</v>
      </c>
      <c r="E152" s="32" t="s">
        <v>6721</v>
      </c>
      <c r="F152" s="33" t="s">
        <v>6722</v>
      </c>
      <c r="G152" s="35" t="s">
        <v>6723</v>
      </c>
      <c r="H152" s="34"/>
      <c r="I152" s="34"/>
    </row>
    <row r="153">
      <c r="A153" s="32" t="s">
        <v>647</v>
      </c>
      <c r="B153" s="32" t="s">
        <v>6156</v>
      </c>
      <c r="C153" s="32" t="s">
        <v>6157</v>
      </c>
      <c r="D153" s="32" t="s">
        <v>6158</v>
      </c>
      <c r="E153" s="32" t="s">
        <v>6159</v>
      </c>
      <c r="F153" s="33" t="s">
        <v>6160</v>
      </c>
      <c r="G153" s="35" t="s">
        <v>6724</v>
      </c>
      <c r="H153" s="34"/>
      <c r="I153" s="34"/>
    </row>
    <row r="154">
      <c r="A154" s="32" t="s">
        <v>651</v>
      </c>
      <c r="B154" s="32" t="s">
        <v>6096</v>
      </c>
      <c r="C154" s="32" t="s">
        <v>6097</v>
      </c>
      <c r="D154" s="32" t="s">
        <v>6098</v>
      </c>
      <c r="E154" s="32" t="s">
        <v>6099</v>
      </c>
      <c r="F154" s="33" t="s">
        <v>6100</v>
      </c>
      <c r="G154" s="35" t="s">
        <v>6725</v>
      </c>
      <c r="H154" s="34"/>
      <c r="I154" s="34"/>
    </row>
    <row r="155">
      <c r="A155" s="32" t="s">
        <v>655</v>
      </c>
      <c r="B155" s="32" t="s">
        <v>6021</v>
      </c>
      <c r="C155" s="32" t="s">
        <v>6022</v>
      </c>
      <c r="D155" s="32" t="s">
        <v>6023</v>
      </c>
      <c r="E155" s="32" t="s">
        <v>6024</v>
      </c>
      <c r="F155" s="33" t="s">
        <v>6025</v>
      </c>
      <c r="G155" s="35" t="s">
        <v>6726</v>
      </c>
      <c r="H155" s="34"/>
      <c r="I155" s="34"/>
    </row>
    <row r="156">
      <c r="A156" s="32" t="s">
        <v>659</v>
      </c>
      <c r="B156" s="32" t="s">
        <v>6727</v>
      </c>
      <c r="C156" s="32" t="s">
        <v>6728</v>
      </c>
      <c r="D156" s="32" t="s">
        <v>6729</v>
      </c>
      <c r="E156" s="32" t="s">
        <v>6730</v>
      </c>
      <c r="F156" s="33" t="s">
        <v>6731</v>
      </c>
      <c r="G156" s="35" t="s">
        <v>6732</v>
      </c>
      <c r="H156" s="34"/>
      <c r="I156" s="34"/>
    </row>
    <row r="157">
      <c r="A157" s="32" t="s">
        <v>663</v>
      </c>
      <c r="B157" s="32" t="s">
        <v>6733</v>
      </c>
      <c r="C157" s="32" t="s">
        <v>6734</v>
      </c>
      <c r="D157" s="32" t="s">
        <v>6735</v>
      </c>
      <c r="E157" s="32" t="s">
        <v>6736</v>
      </c>
      <c r="F157" s="33" t="s">
        <v>6737</v>
      </c>
      <c r="G157" s="35" t="s">
        <v>6738</v>
      </c>
      <c r="H157" s="34"/>
      <c r="I157" s="34"/>
    </row>
    <row r="158">
      <c r="A158" s="32" t="s">
        <v>667</v>
      </c>
      <c r="B158" s="32" t="s">
        <v>6573</v>
      </c>
      <c r="C158" s="32" t="s">
        <v>6574</v>
      </c>
      <c r="D158" s="32" t="s">
        <v>6575</v>
      </c>
      <c r="E158" s="32" t="s">
        <v>6576</v>
      </c>
      <c r="F158" s="33" t="s">
        <v>6577</v>
      </c>
      <c r="G158" s="35" t="s">
        <v>6739</v>
      </c>
      <c r="H158" s="34"/>
      <c r="I158" s="34"/>
    </row>
    <row r="159">
      <c r="A159" s="32" t="s">
        <v>671</v>
      </c>
      <c r="B159" s="32" t="s">
        <v>6740</v>
      </c>
      <c r="C159" s="32" t="s">
        <v>6741</v>
      </c>
      <c r="D159" s="32" t="s">
        <v>6742</v>
      </c>
      <c r="E159" s="32" t="s">
        <v>6743</v>
      </c>
      <c r="F159" s="33" t="s">
        <v>6744</v>
      </c>
      <c r="G159" s="35" t="s">
        <v>6745</v>
      </c>
      <c r="H159" s="34"/>
      <c r="I159" s="34"/>
    </row>
    <row r="160">
      <c r="A160" s="32" t="s">
        <v>677</v>
      </c>
      <c r="B160" s="32" t="s">
        <v>6746</v>
      </c>
      <c r="C160" s="32" t="s">
        <v>6747</v>
      </c>
      <c r="D160" s="32" t="s">
        <v>6748</v>
      </c>
      <c r="E160" s="32" t="s">
        <v>6749</v>
      </c>
      <c r="F160" s="33" t="s">
        <v>6750</v>
      </c>
      <c r="G160" s="35" t="s">
        <v>6751</v>
      </c>
      <c r="H160" s="34"/>
      <c r="I160" s="34"/>
    </row>
    <row r="161">
      <c r="A161" s="32" t="s">
        <v>681</v>
      </c>
      <c r="B161" s="32" t="s">
        <v>6752</v>
      </c>
      <c r="C161" s="32" t="s">
        <v>6753</v>
      </c>
      <c r="D161" s="32" t="s">
        <v>6754</v>
      </c>
      <c r="E161" s="32" t="s">
        <v>6755</v>
      </c>
      <c r="F161" s="33" t="s">
        <v>6756</v>
      </c>
      <c r="G161" s="35" t="s">
        <v>6757</v>
      </c>
      <c r="H161" s="34"/>
      <c r="I161" s="34"/>
    </row>
    <row r="162">
      <c r="A162" s="32" t="s">
        <v>685</v>
      </c>
      <c r="B162" s="32" t="s">
        <v>6758</v>
      </c>
      <c r="C162" s="32" t="s">
        <v>6759</v>
      </c>
      <c r="D162" s="32" t="s">
        <v>6760</v>
      </c>
      <c r="E162" s="32" t="s">
        <v>6761</v>
      </c>
      <c r="F162" s="33" t="s">
        <v>6762</v>
      </c>
      <c r="G162" s="35" t="s">
        <v>6763</v>
      </c>
      <c r="H162" s="34"/>
      <c r="I162" s="34"/>
    </row>
    <row r="163">
      <c r="A163" s="32" t="s">
        <v>689</v>
      </c>
      <c r="B163" s="32" t="s">
        <v>6764</v>
      </c>
      <c r="C163" s="32" t="s">
        <v>6765</v>
      </c>
      <c r="D163" s="32" t="s">
        <v>6766</v>
      </c>
      <c r="E163" s="32" t="s">
        <v>6767</v>
      </c>
      <c r="F163" s="33" t="s">
        <v>6768</v>
      </c>
      <c r="G163" s="35" t="s">
        <v>6769</v>
      </c>
      <c r="H163" s="34"/>
      <c r="I163" s="34"/>
    </row>
    <row r="164">
      <c r="A164" s="32" t="s">
        <v>693</v>
      </c>
      <c r="B164" s="32" t="s">
        <v>6358</v>
      </c>
      <c r="C164" s="32" t="s">
        <v>6359</v>
      </c>
      <c r="D164" s="32" t="s">
        <v>6360</v>
      </c>
      <c r="E164" s="32" t="s">
        <v>6361</v>
      </c>
      <c r="F164" s="33" t="s">
        <v>6362</v>
      </c>
      <c r="G164" s="35" t="s">
        <v>6770</v>
      </c>
      <c r="H164" s="34"/>
      <c r="I164" s="34"/>
    </row>
    <row r="165">
      <c r="A165" s="32" t="s">
        <v>697</v>
      </c>
      <c r="B165" s="32" t="s">
        <v>6771</v>
      </c>
      <c r="C165" s="32" t="s">
        <v>6772</v>
      </c>
      <c r="D165" s="32" t="s">
        <v>6773</v>
      </c>
      <c r="E165" s="32" t="s">
        <v>6774</v>
      </c>
      <c r="F165" s="33" t="s">
        <v>6775</v>
      </c>
      <c r="G165" s="35" t="s">
        <v>6776</v>
      </c>
      <c r="H165" s="34"/>
      <c r="I165" s="34"/>
    </row>
    <row r="166">
      <c r="A166" s="32" t="s">
        <v>701</v>
      </c>
      <c r="B166" s="32" t="s">
        <v>6777</v>
      </c>
      <c r="C166" s="32" t="s">
        <v>6778</v>
      </c>
      <c r="D166" s="32" t="s">
        <v>6779</v>
      </c>
      <c r="E166" s="32" t="s">
        <v>6780</v>
      </c>
      <c r="F166" s="33" t="s">
        <v>6781</v>
      </c>
      <c r="G166" s="35" t="s">
        <v>6782</v>
      </c>
      <c r="H166" s="34"/>
      <c r="I166" s="34"/>
    </row>
    <row r="167">
      <c r="A167" s="32" t="s">
        <v>705</v>
      </c>
      <c r="B167" s="32" t="s">
        <v>6783</v>
      </c>
      <c r="C167" s="32" t="s">
        <v>6784</v>
      </c>
      <c r="D167" s="32" t="s">
        <v>6785</v>
      </c>
      <c r="E167" s="32" t="s">
        <v>6786</v>
      </c>
      <c r="F167" s="33" t="s">
        <v>6787</v>
      </c>
      <c r="G167" s="35" t="s">
        <v>6788</v>
      </c>
      <c r="H167" s="34"/>
      <c r="I167" s="34"/>
    </row>
    <row r="168">
      <c r="A168" s="32" t="s">
        <v>709</v>
      </c>
      <c r="B168" s="32" t="s">
        <v>6502</v>
      </c>
      <c r="C168" s="32" t="s">
        <v>6503</v>
      </c>
      <c r="D168" s="32" t="s">
        <v>6504</v>
      </c>
      <c r="E168" s="32" t="s">
        <v>6505</v>
      </c>
      <c r="F168" s="33" t="s">
        <v>6506</v>
      </c>
      <c r="G168" s="35" t="s">
        <v>6789</v>
      </c>
      <c r="H168" s="34"/>
      <c r="I168" s="34"/>
    </row>
    <row r="169">
      <c r="A169" s="32" t="s">
        <v>713</v>
      </c>
      <c r="B169" s="32" t="s">
        <v>6790</v>
      </c>
      <c r="C169" s="32" t="s">
        <v>6791</v>
      </c>
      <c r="D169" s="32" t="s">
        <v>6792</v>
      </c>
      <c r="E169" s="32" t="s">
        <v>6793</v>
      </c>
      <c r="F169" s="33" t="s">
        <v>6794</v>
      </c>
      <c r="G169" s="35" t="s">
        <v>6795</v>
      </c>
      <c r="H169" s="34"/>
      <c r="I169" s="34"/>
    </row>
    <row r="170">
      <c r="A170" s="32" t="s">
        <v>717</v>
      </c>
      <c r="B170" s="32" t="s">
        <v>6796</v>
      </c>
      <c r="C170" s="32" t="s">
        <v>6797</v>
      </c>
      <c r="D170" s="32" t="s">
        <v>6798</v>
      </c>
      <c r="E170" s="32" t="s">
        <v>6799</v>
      </c>
      <c r="F170" s="33" t="s">
        <v>6800</v>
      </c>
      <c r="G170" s="35" t="s">
        <v>6801</v>
      </c>
      <c r="H170" s="34"/>
      <c r="I170" s="34"/>
    </row>
    <row r="171">
      <c r="A171" s="32" t="s">
        <v>721</v>
      </c>
      <c r="B171" s="32" t="s">
        <v>6802</v>
      </c>
      <c r="C171" s="32" t="s">
        <v>6803</v>
      </c>
      <c r="D171" s="32" t="s">
        <v>6804</v>
      </c>
      <c r="E171" s="32" t="s">
        <v>6805</v>
      </c>
      <c r="F171" s="33" t="s">
        <v>6806</v>
      </c>
      <c r="G171" s="35" t="s">
        <v>6807</v>
      </c>
      <c r="H171" s="34"/>
      <c r="I171" s="34"/>
    </row>
    <row r="172">
      <c r="A172" s="32" t="s">
        <v>725</v>
      </c>
      <c r="B172" s="32" t="s">
        <v>6808</v>
      </c>
      <c r="C172" s="32" t="s">
        <v>6809</v>
      </c>
      <c r="D172" s="32" t="s">
        <v>6810</v>
      </c>
      <c r="E172" s="32" t="s">
        <v>6811</v>
      </c>
      <c r="F172" s="33" t="s">
        <v>6812</v>
      </c>
      <c r="G172" s="35" t="s">
        <v>6813</v>
      </c>
      <c r="H172" s="34"/>
      <c r="I172" s="34"/>
    </row>
    <row r="173">
      <c r="A173" s="32" t="s">
        <v>729</v>
      </c>
      <c r="B173" s="32" t="s">
        <v>6108</v>
      </c>
      <c r="C173" s="32" t="s">
        <v>6109</v>
      </c>
      <c r="D173" s="32" t="s">
        <v>6110</v>
      </c>
      <c r="E173" s="32" t="s">
        <v>6111</v>
      </c>
      <c r="F173" s="33" t="s">
        <v>6112</v>
      </c>
      <c r="G173" s="35" t="s">
        <v>6814</v>
      </c>
      <c r="H173" s="34"/>
      <c r="I173" s="34"/>
    </row>
    <row r="174">
      <c r="A174" s="32" t="s">
        <v>732</v>
      </c>
      <c r="B174" s="32" t="s">
        <v>6376</v>
      </c>
      <c r="C174" s="32" t="s">
        <v>6377</v>
      </c>
      <c r="D174" s="32" t="s">
        <v>6378</v>
      </c>
      <c r="E174" s="32" t="s">
        <v>6379</v>
      </c>
      <c r="F174" s="33" t="s">
        <v>6380</v>
      </c>
      <c r="G174" s="35" t="s">
        <v>6815</v>
      </c>
      <c r="H174" s="34"/>
      <c r="I174" s="34"/>
    </row>
    <row r="175">
      <c r="A175" s="32" t="s">
        <v>736</v>
      </c>
      <c r="B175" s="32" t="s">
        <v>6816</v>
      </c>
      <c r="C175" s="32" t="s">
        <v>6817</v>
      </c>
      <c r="D175" s="32" t="s">
        <v>6818</v>
      </c>
      <c r="E175" s="32" t="s">
        <v>6819</v>
      </c>
      <c r="F175" s="33" t="s">
        <v>6820</v>
      </c>
      <c r="G175" s="35" t="s">
        <v>6821</v>
      </c>
      <c r="H175" s="34"/>
      <c r="I175" s="34"/>
    </row>
    <row r="176">
      <c r="A176" s="32" t="s">
        <v>740</v>
      </c>
      <c r="B176" s="32" t="s">
        <v>6822</v>
      </c>
      <c r="C176" s="32" t="s">
        <v>6823</v>
      </c>
      <c r="D176" s="32" t="s">
        <v>6824</v>
      </c>
      <c r="E176" s="32" t="s">
        <v>6825</v>
      </c>
      <c r="F176" s="33" t="s">
        <v>6826</v>
      </c>
      <c r="G176" s="35" t="s">
        <v>6827</v>
      </c>
      <c r="H176" s="34"/>
      <c r="I176" s="34"/>
    </row>
    <row r="177">
      <c r="A177" s="32" t="s">
        <v>744</v>
      </c>
      <c r="B177" s="32" t="s">
        <v>6828</v>
      </c>
      <c r="C177" s="32" t="s">
        <v>6829</v>
      </c>
      <c r="D177" s="32" t="s">
        <v>6830</v>
      </c>
      <c r="E177" s="32" t="s">
        <v>6831</v>
      </c>
      <c r="F177" s="33" t="s">
        <v>6832</v>
      </c>
      <c r="G177" s="35" t="s">
        <v>6833</v>
      </c>
      <c r="H177" s="34"/>
      <c r="I177" s="34"/>
    </row>
    <row r="178">
      <c r="A178" s="32" t="s">
        <v>748</v>
      </c>
      <c r="B178" s="32" t="s">
        <v>6102</v>
      </c>
      <c r="C178" s="32" t="s">
        <v>6103</v>
      </c>
      <c r="D178" s="32" t="s">
        <v>6104</v>
      </c>
      <c r="E178" s="32" t="s">
        <v>6105</v>
      </c>
      <c r="F178" s="33" t="s">
        <v>6834</v>
      </c>
      <c r="G178" s="35" t="s">
        <v>6835</v>
      </c>
      <c r="H178" s="34"/>
      <c r="I178" s="34"/>
    </row>
    <row r="179">
      <c r="A179" s="32" t="s">
        <v>752</v>
      </c>
      <c r="B179" s="32" t="s">
        <v>6668</v>
      </c>
      <c r="C179" s="32" t="s">
        <v>6669</v>
      </c>
      <c r="D179" s="32" t="s">
        <v>6670</v>
      </c>
      <c r="E179" s="32" t="s">
        <v>6671</v>
      </c>
      <c r="F179" s="33" t="s">
        <v>6672</v>
      </c>
      <c r="G179" s="35" t="s">
        <v>6836</v>
      </c>
      <c r="H179" s="34"/>
      <c r="I179" s="34"/>
    </row>
    <row r="180">
      <c r="A180" s="32" t="s">
        <v>756</v>
      </c>
      <c r="B180" s="32" t="s">
        <v>6102</v>
      </c>
      <c r="C180" s="32" t="s">
        <v>6103</v>
      </c>
      <c r="D180" s="32" t="s">
        <v>6104</v>
      </c>
      <c r="E180" s="32" t="s">
        <v>6105</v>
      </c>
      <c r="F180" s="33" t="s">
        <v>6106</v>
      </c>
      <c r="G180" s="35" t="s">
        <v>6837</v>
      </c>
      <c r="H180" s="34"/>
      <c r="I180" s="34"/>
    </row>
    <row r="181">
      <c r="A181" s="32" t="s">
        <v>760</v>
      </c>
      <c r="B181" s="32" t="s">
        <v>6838</v>
      </c>
      <c r="C181" s="32" t="s">
        <v>6839</v>
      </c>
      <c r="D181" s="32" t="s">
        <v>6840</v>
      </c>
      <c r="E181" s="32" t="s">
        <v>6841</v>
      </c>
      <c r="F181" s="33" t="s">
        <v>6842</v>
      </c>
      <c r="G181" s="35" t="s">
        <v>6843</v>
      </c>
      <c r="H181" s="34"/>
      <c r="I181" s="34"/>
    </row>
    <row r="182">
      <c r="A182" s="32" t="s">
        <v>764</v>
      </c>
      <c r="B182" s="32" t="s">
        <v>6844</v>
      </c>
      <c r="C182" s="32" t="s">
        <v>6845</v>
      </c>
      <c r="D182" s="32" t="s">
        <v>6846</v>
      </c>
      <c r="E182" s="32" t="s">
        <v>6847</v>
      </c>
      <c r="F182" s="33" t="s">
        <v>6848</v>
      </c>
      <c r="G182" s="35" t="s">
        <v>6849</v>
      </c>
      <c r="H182" s="34"/>
      <c r="I182" s="34"/>
    </row>
    <row r="183">
      <c r="A183" s="32" t="s">
        <v>768</v>
      </c>
      <c r="B183" s="32" t="s">
        <v>6850</v>
      </c>
      <c r="C183" s="32" t="s">
        <v>6851</v>
      </c>
      <c r="D183" s="32" t="s">
        <v>6852</v>
      </c>
      <c r="E183" s="32" t="s">
        <v>6853</v>
      </c>
      <c r="F183" s="33" t="s">
        <v>6854</v>
      </c>
      <c r="G183" s="35" t="s">
        <v>6855</v>
      </c>
      <c r="H183" s="34"/>
      <c r="I183" s="34"/>
    </row>
    <row r="184">
      <c r="A184" s="32" t="s">
        <v>772</v>
      </c>
      <c r="B184" s="32" t="s">
        <v>6856</v>
      </c>
      <c r="C184" s="32" t="s">
        <v>6857</v>
      </c>
      <c r="D184" s="32" t="s">
        <v>6858</v>
      </c>
      <c r="E184" s="32" t="s">
        <v>6859</v>
      </c>
      <c r="F184" s="33" t="s">
        <v>6860</v>
      </c>
      <c r="G184" s="35" t="s">
        <v>6861</v>
      </c>
      <c r="H184" s="34"/>
      <c r="I184" s="34"/>
    </row>
    <row r="185">
      <c r="A185" s="32" t="s">
        <v>776</v>
      </c>
      <c r="B185" s="32" t="s">
        <v>6176</v>
      </c>
      <c r="C185" s="32" t="s">
        <v>6177</v>
      </c>
      <c r="D185" s="32" t="s">
        <v>6178</v>
      </c>
      <c r="E185" s="32" t="s">
        <v>6179</v>
      </c>
      <c r="F185" s="33" t="s">
        <v>6180</v>
      </c>
      <c r="G185" s="35" t="s">
        <v>6862</v>
      </c>
      <c r="H185" s="34"/>
      <c r="I185" s="34"/>
    </row>
    <row r="186">
      <c r="A186" s="32" t="s">
        <v>780</v>
      </c>
      <c r="B186" s="32" t="s">
        <v>6863</v>
      </c>
      <c r="C186" s="32" t="s">
        <v>6864</v>
      </c>
      <c r="D186" s="32" t="s">
        <v>6865</v>
      </c>
      <c r="E186" s="32" t="s">
        <v>6866</v>
      </c>
      <c r="F186" s="33" t="s">
        <v>6867</v>
      </c>
      <c r="G186" s="35" t="s">
        <v>6868</v>
      </c>
      <c r="H186" s="34"/>
      <c r="I186" s="34"/>
    </row>
    <row r="187">
      <c r="A187" s="32" t="s">
        <v>784</v>
      </c>
      <c r="B187" s="32" t="s">
        <v>6869</v>
      </c>
      <c r="C187" s="32" t="s">
        <v>6870</v>
      </c>
      <c r="D187" s="32" t="s">
        <v>6871</v>
      </c>
      <c r="E187" s="32" t="s">
        <v>6872</v>
      </c>
      <c r="F187" s="33" t="s">
        <v>6873</v>
      </c>
      <c r="G187" s="35" t="s">
        <v>6874</v>
      </c>
      <c r="H187" s="34"/>
      <c r="I187" s="34"/>
    </row>
    <row r="188">
      <c r="A188" s="32" t="s">
        <v>788</v>
      </c>
      <c r="B188" s="32" t="s">
        <v>6176</v>
      </c>
      <c r="C188" s="32" t="s">
        <v>6177</v>
      </c>
      <c r="D188" s="32" t="s">
        <v>6178</v>
      </c>
      <c r="E188" s="32" t="s">
        <v>6179</v>
      </c>
      <c r="F188" s="33" t="s">
        <v>6180</v>
      </c>
      <c r="G188" s="35" t="s">
        <v>6875</v>
      </c>
      <c r="H188" s="34"/>
      <c r="I188" s="34"/>
    </row>
    <row r="189">
      <c r="A189" s="32" t="s">
        <v>792</v>
      </c>
      <c r="B189" s="32" t="s">
        <v>6508</v>
      </c>
      <c r="C189" s="32" t="s">
        <v>6509</v>
      </c>
      <c r="D189" s="32" t="s">
        <v>6510</v>
      </c>
      <c r="E189" s="32" t="s">
        <v>6511</v>
      </c>
      <c r="F189" s="33" t="s">
        <v>6512</v>
      </c>
      <c r="G189" s="35" t="s">
        <v>6876</v>
      </c>
      <c r="H189" s="34"/>
      <c r="I189" s="34"/>
    </row>
    <row r="190">
      <c r="A190" s="32" t="s">
        <v>796</v>
      </c>
      <c r="B190" s="32" t="s">
        <v>6877</v>
      </c>
      <c r="C190" s="32" t="s">
        <v>6878</v>
      </c>
      <c r="D190" s="32" t="s">
        <v>6879</v>
      </c>
      <c r="E190" s="32" t="s">
        <v>6880</v>
      </c>
      <c r="F190" s="33" t="s">
        <v>6881</v>
      </c>
      <c r="G190" s="35" t="s">
        <v>6882</v>
      </c>
      <c r="H190" s="34"/>
      <c r="I190" s="34"/>
    </row>
    <row r="191">
      <c r="A191" s="32" t="s">
        <v>800</v>
      </c>
      <c r="B191" s="32" t="s">
        <v>6706</v>
      </c>
      <c r="C191" s="32" t="s">
        <v>6707</v>
      </c>
      <c r="D191" s="32" t="s">
        <v>6708</v>
      </c>
      <c r="E191" s="32" t="s">
        <v>6709</v>
      </c>
      <c r="F191" s="33" t="s">
        <v>6710</v>
      </c>
      <c r="G191" s="35" t="s">
        <v>6883</v>
      </c>
      <c r="H191" s="34"/>
      <c r="I191" s="34"/>
    </row>
    <row r="192">
      <c r="A192" s="32" t="s">
        <v>804</v>
      </c>
      <c r="B192" s="32" t="s">
        <v>6258</v>
      </c>
      <c r="C192" s="32" t="s">
        <v>6259</v>
      </c>
      <c r="D192" s="32" t="s">
        <v>6260</v>
      </c>
      <c r="E192" s="32" t="s">
        <v>6261</v>
      </c>
      <c r="F192" s="33" t="s">
        <v>6884</v>
      </c>
      <c r="G192" s="35" t="s">
        <v>6885</v>
      </c>
      <c r="H192" s="34"/>
      <c r="I192" s="34"/>
    </row>
    <row r="193">
      <c r="A193" s="32" t="s">
        <v>808</v>
      </c>
      <c r="B193" s="32" t="s">
        <v>6886</v>
      </c>
      <c r="C193" s="32" t="s">
        <v>6887</v>
      </c>
      <c r="D193" s="32" t="s">
        <v>6888</v>
      </c>
      <c r="E193" s="32" t="s">
        <v>6889</v>
      </c>
      <c r="F193" s="33" t="s">
        <v>6890</v>
      </c>
      <c r="G193" s="35" t="s">
        <v>6891</v>
      </c>
      <c r="H193" s="34"/>
      <c r="I193" s="34"/>
    </row>
    <row r="194">
      <c r="A194" s="32" t="s">
        <v>812</v>
      </c>
      <c r="B194" s="32" t="s">
        <v>6296</v>
      </c>
      <c r="C194" s="32" t="s">
        <v>6297</v>
      </c>
      <c r="D194" s="32" t="s">
        <v>6298</v>
      </c>
      <c r="E194" s="32" t="s">
        <v>6299</v>
      </c>
      <c r="F194" s="33" t="s">
        <v>6300</v>
      </c>
      <c r="G194" s="35" t="s">
        <v>6892</v>
      </c>
      <c r="H194" s="34"/>
      <c r="I194" s="34"/>
    </row>
    <row r="195">
      <c r="A195" s="32" t="s">
        <v>815</v>
      </c>
      <c r="B195" s="32" t="s">
        <v>6893</v>
      </c>
      <c r="C195" s="32" t="s">
        <v>6894</v>
      </c>
      <c r="D195" s="32" t="s">
        <v>6895</v>
      </c>
      <c r="E195" s="32" t="s">
        <v>6896</v>
      </c>
      <c r="F195" s="33" t="s">
        <v>6897</v>
      </c>
      <c r="G195" s="35" t="s">
        <v>6898</v>
      </c>
      <c r="H195" s="34"/>
      <c r="I195" s="34"/>
    </row>
    <row r="196">
      <c r="A196" s="32" t="s">
        <v>819</v>
      </c>
      <c r="B196" s="32" t="s">
        <v>6899</v>
      </c>
      <c r="C196" s="32" t="s">
        <v>6900</v>
      </c>
      <c r="D196" s="32" t="s">
        <v>6901</v>
      </c>
      <c r="E196" s="32" t="s">
        <v>6902</v>
      </c>
      <c r="F196" s="33" t="s">
        <v>6903</v>
      </c>
      <c r="G196" s="35" t="s">
        <v>6904</v>
      </c>
      <c r="H196" s="34"/>
      <c r="I196" s="34"/>
    </row>
    <row r="197">
      <c r="A197" s="32" t="s">
        <v>823</v>
      </c>
      <c r="B197" s="32" t="s">
        <v>6905</v>
      </c>
      <c r="C197" s="32" t="s">
        <v>6906</v>
      </c>
      <c r="D197" s="32" t="s">
        <v>6907</v>
      </c>
      <c r="E197" s="32" t="s">
        <v>6908</v>
      </c>
      <c r="F197" s="33" t="s">
        <v>6909</v>
      </c>
      <c r="G197" s="35" t="s">
        <v>6910</v>
      </c>
      <c r="H197" s="34"/>
      <c r="I197" s="34"/>
    </row>
    <row r="198">
      <c r="A198" s="32" t="s">
        <v>827</v>
      </c>
      <c r="B198" s="32" t="s">
        <v>6102</v>
      </c>
      <c r="C198" s="32" t="s">
        <v>6103</v>
      </c>
      <c r="D198" s="32" t="s">
        <v>6104</v>
      </c>
      <c r="E198" s="32" t="s">
        <v>6105</v>
      </c>
      <c r="F198" s="33" t="s">
        <v>6106</v>
      </c>
      <c r="G198" s="35" t="s">
        <v>6911</v>
      </c>
      <c r="H198" s="34"/>
      <c r="I198" s="34"/>
    </row>
    <row r="199">
      <c r="A199" s="32" t="s">
        <v>831</v>
      </c>
      <c r="B199" s="32" t="s">
        <v>6065</v>
      </c>
      <c r="C199" s="32" t="s">
        <v>6066</v>
      </c>
      <c r="D199" s="32" t="s">
        <v>6067</v>
      </c>
      <c r="E199" s="32" t="s">
        <v>6068</v>
      </c>
      <c r="F199" s="33" t="s">
        <v>6912</v>
      </c>
      <c r="G199" s="35" t="s">
        <v>6913</v>
      </c>
      <c r="H199" s="34"/>
      <c r="I199" s="34"/>
    </row>
    <row r="200">
      <c r="A200" s="32" t="s">
        <v>834</v>
      </c>
      <c r="B200" s="32" t="s">
        <v>6914</v>
      </c>
      <c r="C200" s="32" t="s">
        <v>6915</v>
      </c>
      <c r="D200" s="32" t="s">
        <v>6916</v>
      </c>
      <c r="E200" s="32" t="s">
        <v>6917</v>
      </c>
      <c r="F200" s="33" t="s">
        <v>6918</v>
      </c>
      <c r="G200" s="35" t="s">
        <v>6919</v>
      </c>
      <c r="H200" s="34"/>
      <c r="I200" s="34"/>
    </row>
    <row r="201">
      <c r="A201" s="32" t="s">
        <v>838</v>
      </c>
      <c r="B201" s="32" t="s">
        <v>6920</v>
      </c>
      <c r="C201" s="32" t="s">
        <v>6921</v>
      </c>
      <c r="D201" s="32" t="s">
        <v>6922</v>
      </c>
      <c r="E201" s="32" t="s">
        <v>6923</v>
      </c>
      <c r="F201" s="33" t="s">
        <v>6924</v>
      </c>
      <c r="G201" s="35" t="s">
        <v>6925</v>
      </c>
      <c r="H201" s="34"/>
      <c r="I201" s="34"/>
    </row>
    <row r="202">
      <c r="A202" s="32" t="s">
        <v>842</v>
      </c>
      <c r="B202" s="32" t="s">
        <v>6926</v>
      </c>
      <c r="C202" s="32" t="s">
        <v>6927</v>
      </c>
      <c r="D202" s="32" t="s">
        <v>6928</v>
      </c>
      <c r="E202" s="32" t="s">
        <v>6929</v>
      </c>
      <c r="F202" s="33" t="s">
        <v>6930</v>
      </c>
      <c r="G202" s="35" t="s">
        <v>6931</v>
      </c>
      <c r="H202" s="34"/>
      <c r="I202" s="34"/>
    </row>
    <row r="203">
      <c r="A203" s="32" t="s">
        <v>846</v>
      </c>
      <c r="B203" s="32" t="s">
        <v>6932</v>
      </c>
      <c r="C203" s="32" t="s">
        <v>6933</v>
      </c>
      <c r="D203" s="32" t="s">
        <v>6934</v>
      </c>
      <c r="E203" s="32" t="s">
        <v>6935</v>
      </c>
      <c r="F203" s="33" t="s">
        <v>6936</v>
      </c>
      <c r="G203" s="35" t="s">
        <v>6937</v>
      </c>
      <c r="H203" s="34"/>
      <c r="I203" s="34"/>
    </row>
    <row r="204">
      <c r="A204" s="32" t="s">
        <v>850</v>
      </c>
      <c r="B204" s="32" t="s">
        <v>6938</v>
      </c>
      <c r="C204" s="32" t="s">
        <v>6939</v>
      </c>
      <c r="D204" s="32" t="s">
        <v>6940</v>
      </c>
      <c r="E204" s="32" t="s">
        <v>6941</v>
      </c>
      <c r="F204" s="33" t="s">
        <v>6942</v>
      </c>
      <c r="G204" s="35" t="s">
        <v>6943</v>
      </c>
      <c r="H204" s="34"/>
      <c r="I204" s="34"/>
    </row>
    <row r="205">
      <c r="A205" s="32" t="s">
        <v>854</v>
      </c>
      <c r="B205" s="32" t="s">
        <v>6944</v>
      </c>
      <c r="C205" s="32" t="s">
        <v>6945</v>
      </c>
      <c r="D205" s="32" t="s">
        <v>6946</v>
      </c>
      <c r="E205" s="32" t="s">
        <v>6947</v>
      </c>
      <c r="F205" s="33" t="s">
        <v>6948</v>
      </c>
      <c r="G205" s="35" t="s">
        <v>6949</v>
      </c>
      <c r="H205" s="34"/>
      <c r="I205" s="34"/>
    </row>
    <row r="206">
      <c r="A206" s="32" t="s">
        <v>858</v>
      </c>
      <c r="B206" s="32" t="s">
        <v>6950</v>
      </c>
      <c r="C206" s="32" t="s">
        <v>6951</v>
      </c>
      <c r="D206" s="32" t="s">
        <v>6952</v>
      </c>
      <c r="E206" s="32" t="s">
        <v>6953</v>
      </c>
      <c r="F206" s="33" t="s">
        <v>6954</v>
      </c>
      <c r="G206" s="35" t="s">
        <v>6955</v>
      </c>
      <c r="H206" s="34"/>
      <c r="I206" s="34"/>
    </row>
    <row r="207">
      <c r="A207" s="32" t="s">
        <v>862</v>
      </c>
      <c r="B207" s="32" t="s">
        <v>6956</v>
      </c>
      <c r="C207" s="32" t="s">
        <v>6957</v>
      </c>
      <c r="D207" s="32" t="s">
        <v>6958</v>
      </c>
      <c r="E207" s="32" t="s">
        <v>6959</v>
      </c>
      <c r="F207" s="33" t="s">
        <v>6960</v>
      </c>
      <c r="G207" s="35" t="s">
        <v>6961</v>
      </c>
      <c r="H207" s="34"/>
      <c r="I207" s="34"/>
    </row>
    <row r="208">
      <c r="A208" s="32" t="s">
        <v>866</v>
      </c>
      <c r="B208" s="32" t="s">
        <v>6962</v>
      </c>
      <c r="C208" s="32" t="s">
        <v>6963</v>
      </c>
      <c r="D208" s="32" t="s">
        <v>6964</v>
      </c>
      <c r="E208" s="32" t="s">
        <v>6965</v>
      </c>
      <c r="F208" s="33" t="s">
        <v>6966</v>
      </c>
      <c r="G208" s="35" t="s">
        <v>6967</v>
      </c>
      <c r="H208" s="34"/>
      <c r="I208" s="34"/>
    </row>
    <row r="209">
      <c r="A209" s="32" t="s">
        <v>869</v>
      </c>
      <c r="B209" s="32" t="s">
        <v>6968</v>
      </c>
      <c r="C209" s="32" t="s">
        <v>6969</v>
      </c>
      <c r="D209" s="32" t="s">
        <v>6970</v>
      </c>
      <c r="E209" s="32" t="s">
        <v>6971</v>
      </c>
      <c r="F209" s="33" t="s">
        <v>6972</v>
      </c>
      <c r="G209" s="35" t="s">
        <v>6973</v>
      </c>
      <c r="H209" s="34"/>
      <c r="I209" s="34"/>
    </row>
    <row r="210">
      <c r="A210" s="32" t="s">
        <v>873</v>
      </c>
      <c r="B210" s="32" t="s">
        <v>6974</v>
      </c>
      <c r="C210" s="32" t="s">
        <v>6975</v>
      </c>
      <c r="D210" s="32" t="s">
        <v>6976</v>
      </c>
      <c r="E210" s="32" t="s">
        <v>6977</v>
      </c>
      <c r="F210" s="33" t="s">
        <v>6978</v>
      </c>
      <c r="G210" s="35" t="s">
        <v>6979</v>
      </c>
      <c r="H210" s="34"/>
      <c r="I210" s="34"/>
    </row>
    <row r="211">
      <c r="A211" s="32" t="s">
        <v>877</v>
      </c>
      <c r="B211" s="32" t="s">
        <v>6980</v>
      </c>
      <c r="C211" s="32" t="s">
        <v>6981</v>
      </c>
      <c r="D211" s="32" t="s">
        <v>6982</v>
      </c>
      <c r="E211" s="32" t="s">
        <v>6983</v>
      </c>
      <c r="F211" s="33" t="s">
        <v>6984</v>
      </c>
      <c r="G211" s="35" t="s">
        <v>6985</v>
      </c>
      <c r="H211" s="34"/>
      <c r="I211" s="34"/>
    </row>
    <row r="212">
      <c r="A212" s="32" t="s">
        <v>881</v>
      </c>
      <c r="B212" s="32" t="s">
        <v>6986</v>
      </c>
      <c r="C212" s="32" t="s">
        <v>6987</v>
      </c>
      <c r="D212" s="32" t="s">
        <v>6988</v>
      </c>
      <c r="E212" s="32" t="s">
        <v>6989</v>
      </c>
      <c r="F212" s="33" t="s">
        <v>6990</v>
      </c>
      <c r="G212" s="35" t="s">
        <v>6991</v>
      </c>
      <c r="H212" s="34"/>
      <c r="I212" s="34"/>
    </row>
    <row r="213">
      <c r="A213" s="32" t="s">
        <v>885</v>
      </c>
      <c r="B213" s="32" t="s">
        <v>6992</v>
      </c>
      <c r="C213" s="32" t="s">
        <v>6993</v>
      </c>
      <c r="D213" s="32" t="s">
        <v>6994</v>
      </c>
      <c r="E213" s="32" t="s">
        <v>6995</v>
      </c>
      <c r="F213" s="33" t="s">
        <v>6996</v>
      </c>
      <c r="G213" s="35" t="s">
        <v>6997</v>
      </c>
      <c r="H213" s="34"/>
      <c r="I213" s="34"/>
    </row>
    <row r="214">
      <c r="A214" s="32" t="s">
        <v>889</v>
      </c>
      <c r="B214" s="32" t="s">
        <v>6144</v>
      </c>
      <c r="C214" s="32" t="s">
        <v>6145</v>
      </c>
      <c r="D214" s="32" t="s">
        <v>6146</v>
      </c>
      <c r="E214" s="32" t="s">
        <v>6147</v>
      </c>
      <c r="F214" s="33" t="s">
        <v>6148</v>
      </c>
      <c r="G214" s="35" t="s">
        <v>6998</v>
      </c>
      <c r="H214" s="34"/>
      <c r="I214" s="34"/>
    </row>
    <row r="215">
      <c r="A215" s="32" t="s">
        <v>893</v>
      </c>
      <c r="B215" s="32" t="s">
        <v>6999</v>
      </c>
      <c r="C215" s="32" t="s">
        <v>7000</v>
      </c>
      <c r="D215" s="32" t="s">
        <v>7001</v>
      </c>
      <c r="E215" s="32" t="s">
        <v>7002</v>
      </c>
      <c r="F215" s="33" t="s">
        <v>7003</v>
      </c>
      <c r="G215" s="35" t="s">
        <v>7004</v>
      </c>
      <c r="H215" s="34"/>
      <c r="I215" s="34"/>
    </row>
    <row r="216">
      <c r="A216" s="32" t="s">
        <v>897</v>
      </c>
      <c r="B216" s="32" t="s">
        <v>7005</v>
      </c>
      <c r="C216" s="32" t="s">
        <v>7006</v>
      </c>
      <c r="D216" s="32" t="s">
        <v>7007</v>
      </c>
      <c r="E216" s="32" t="s">
        <v>7008</v>
      </c>
      <c r="F216" s="33" t="s">
        <v>7009</v>
      </c>
      <c r="G216" s="35" t="s">
        <v>7010</v>
      </c>
      <c r="H216" s="34"/>
      <c r="I216" s="34"/>
    </row>
    <row r="217">
      <c r="A217" s="32" t="s">
        <v>901</v>
      </c>
      <c r="B217" s="32" t="s">
        <v>7011</v>
      </c>
      <c r="C217" s="32" t="s">
        <v>7012</v>
      </c>
      <c r="D217" s="32" t="s">
        <v>7013</v>
      </c>
      <c r="E217" s="32" t="s">
        <v>7014</v>
      </c>
      <c r="F217" s="33" t="s">
        <v>7015</v>
      </c>
      <c r="G217" s="35" t="s">
        <v>7016</v>
      </c>
      <c r="H217" s="34"/>
      <c r="I217" s="34"/>
    </row>
    <row r="218">
      <c r="A218" s="32" t="s">
        <v>905</v>
      </c>
      <c r="B218" s="32" t="s">
        <v>7017</v>
      </c>
      <c r="C218" s="32" t="s">
        <v>7018</v>
      </c>
      <c r="D218" s="32" t="s">
        <v>7019</v>
      </c>
      <c r="E218" s="32" t="s">
        <v>7020</v>
      </c>
      <c r="F218" s="33" t="s">
        <v>7021</v>
      </c>
      <c r="G218" s="35" t="s">
        <v>7022</v>
      </c>
      <c r="H218" s="34"/>
      <c r="I218" s="34"/>
    </row>
    <row r="219">
      <c r="A219" s="32" t="s">
        <v>909</v>
      </c>
      <c r="B219" s="32" t="s">
        <v>7023</v>
      </c>
      <c r="C219" s="32" t="s">
        <v>7024</v>
      </c>
      <c r="D219" s="32" t="s">
        <v>7025</v>
      </c>
      <c r="E219" s="32" t="s">
        <v>7026</v>
      </c>
      <c r="F219" s="33" t="s">
        <v>7027</v>
      </c>
      <c r="G219" s="35" t="s">
        <v>7028</v>
      </c>
      <c r="H219" s="34"/>
      <c r="I219" s="34"/>
    </row>
    <row r="220">
      <c r="A220" s="32" t="s">
        <v>913</v>
      </c>
      <c r="B220" s="32" t="s">
        <v>7029</v>
      </c>
      <c r="C220" s="32" t="s">
        <v>7030</v>
      </c>
      <c r="D220" s="32" t="s">
        <v>7031</v>
      </c>
      <c r="E220" s="32" t="s">
        <v>7032</v>
      </c>
      <c r="F220" s="33" t="s">
        <v>7033</v>
      </c>
      <c r="G220" s="35" t="s">
        <v>7034</v>
      </c>
      <c r="H220" s="34"/>
      <c r="I220" s="34"/>
    </row>
    <row r="221">
      <c r="A221" s="32" t="s">
        <v>919</v>
      </c>
      <c r="B221" s="32" t="s">
        <v>7035</v>
      </c>
      <c r="C221" s="32" t="s">
        <v>7036</v>
      </c>
      <c r="D221" s="32" t="s">
        <v>7037</v>
      </c>
      <c r="E221" s="32" t="s">
        <v>7038</v>
      </c>
      <c r="F221" s="33" t="s">
        <v>7039</v>
      </c>
      <c r="G221" s="35" t="s">
        <v>7040</v>
      </c>
      <c r="H221" s="34"/>
      <c r="I221" s="34"/>
    </row>
    <row r="222">
      <c r="A222" s="32" t="s">
        <v>923</v>
      </c>
      <c r="B222" s="32" t="s">
        <v>5979</v>
      </c>
      <c r="C222" s="32" t="s">
        <v>5980</v>
      </c>
      <c r="D222" s="32" t="s">
        <v>5981</v>
      </c>
      <c r="E222" s="32" t="s">
        <v>5982</v>
      </c>
      <c r="F222" s="33" t="s">
        <v>6431</v>
      </c>
      <c r="G222" s="35" t="s">
        <v>7041</v>
      </c>
      <c r="H222" s="34"/>
      <c r="I222" s="34"/>
    </row>
    <row r="223">
      <c r="A223" s="32" t="s">
        <v>927</v>
      </c>
      <c r="B223" s="32" t="s">
        <v>7042</v>
      </c>
      <c r="C223" s="32" t="s">
        <v>7043</v>
      </c>
      <c r="D223" s="32" t="s">
        <v>7044</v>
      </c>
      <c r="E223" s="32" t="s">
        <v>7045</v>
      </c>
      <c r="F223" s="33" t="s">
        <v>7046</v>
      </c>
      <c r="G223" s="35" t="s">
        <v>7047</v>
      </c>
      <c r="H223" s="34"/>
      <c r="I223" s="34"/>
    </row>
    <row r="224">
      <c r="A224" s="32" t="s">
        <v>931</v>
      </c>
      <c r="B224" s="32" t="s">
        <v>7048</v>
      </c>
      <c r="C224" s="32" t="s">
        <v>7049</v>
      </c>
      <c r="D224" s="32" t="s">
        <v>7050</v>
      </c>
      <c r="E224" s="32" t="s">
        <v>7051</v>
      </c>
      <c r="F224" s="33" t="s">
        <v>7052</v>
      </c>
      <c r="G224" s="35" t="s">
        <v>7053</v>
      </c>
      <c r="H224" s="34"/>
      <c r="I224" s="34"/>
    </row>
    <row r="225">
      <c r="A225" s="32" t="s">
        <v>935</v>
      </c>
      <c r="B225" s="32" t="s">
        <v>7054</v>
      </c>
      <c r="C225" s="32" t="s">
        <v>7055</v>
      </c>
      <c r="D225" s="32" t="s">
        <v>7056</v>
      </c>
      <c r="E225" s="32" t="s">
        <v>7057</v>
      </c>
      <c r="F225" s="33" t="s">
        <v>7058</v>
      </c>
      <c r="G225" s="35" t="s">
        <v>7059</v>
      </c>
      <c r="H225" s="34"/>
      <c r="I225" s="34"/>
    </row>
    <row r="226">
      <c r="A226" s="32" t="s">
        <v>939</v>
      </c>
      <c r="B226" s="32" t="s">
        <v>7060</v>
      </c>
      <c r="C226" s="32" t="s">
        <v>7061</v>
      </c>
      <c r="D226" s="32" t="s">
        <v>7062</v>
      </c>
      <c r="E226" s="32" t="s">
        <v>7063</v>
      </c>
      <c r="F226" s="33" t="s">
        <v>7064</v>
      </c>
      <c r="G226" s="35" t="s">
        <v>7065</v>
      </c>
      <c r="H226" s="34"/>
      <c r="I226" s="34"/>
    </row>
    <row r="227">
      <c r="A227" s="32" t="s">
        <v>946</v>
      </c>
      <c r="B227" s="32" t="s">
        <v>7066</v>
      </c>
      <c r="C227" s="32" t="s">
        <v>7067</v>
      </c>
      <c r="D227" s="32" t="s">
        <v>7068</v>
      </c>
      <c r="E227" s="32" t="s">
        <v>7069</v>
      </c>
      <c r="F227" s="33" t="s">
        <v>7070</v>
      </c>
      <c r="G227" s="35" t="s">
        <v>7071</v>
      </c>
      <c r="H227" s="34"/>
      <c r="I227" s="34"/>
    </row>
    <row r="228">
      <c r="A228" s="32" t="s">
        <v>950</v>
      </c>
      <c r="B228" s="32" t="s">
        <v>7072</v>
      </c>
      <c r="C228" s="32" t="s">
        <v>7073</v>
      </c>
      <c r="D228" s="32" t="s">
        <v>7074</v>
      </c>
      <c r="E228" s="32" t="s">
        <v>7075</v>
      </c>
      <c r="F228" s="33" t="s">
        <v>7076</v>
      </c>
      <c r="G228" s="35" t="s">
        <v>7077</v>
      </c>
      <c r="H228" s="34"/>
      <c r="I228" s="34"/>
    </row>
    <row r="229">
      <c r="A229" s="32" t="s">
        <v>954</v>
      </c>
      <c r="B229" s="32" t="s">
        <v>7078</v>
      </c>
      <c r="C229" s="32" t="s">
        <v>7079</v>
      </c>
      <c r="D229" s="32" t="s">
        <v>7080</v>
      </c>
      <c r="E229" s="32" t="s">
        <v>7081</v>
      </c>
      <c r="F229" s="33" t="s">
        <v>7082</v>
      </c>
      <c r="G229" s="35" t="s">
        <v>7083</v>
      </c>
      <c r="H229" s="34"/>
      <c r="I229" s="34"/>
    </row>
    <row r="230">
      <c r="A230" s="32" t="s">
        <v>958</v>
      </c>
      <c r="B230" s="32" t="s">
        <v>7084</v>
      </c>
      <c r="C230" s="32" t="s">
        <v>7085</v>
      </c>
      <c r="D230" s="32" t="s">
        <v>7086</v>
      </c>
      <c r="E230" s="32" t="s">
        <v>7087</v>
      </c>
      <c r="F230" s="33" t="s">
        <v>7088</v>
      </c>
      <c r="G230" s="35" t="s">
        <v>7089</v>
      </c>
      <c r="H230" s="34"/>
      <c r="I230" s="34"/>
    </row>
    <row r="231">
      <c r="A231" s="32" t="s">
        <v>962</v>
      </c>
      <c r="B231" s="32" t="s">
        <v>7090</v>
      </c>
      <c r="C231" s="32" t="s">
        <v>7091</v>
      </c>
      <c r="D231" s="32" t="s">
        <v>7092</v>
      </c>
      <c r="E231" s="32" t="s">
        <v>7093</v>
      </c>
      <c r="F231" s="33" t="s">
        <v>7094</v>
      </c>
      <c r="G231" s="35" t="s">
        <v>7095</v>
      </c>
      <c r="H231" s="34"/>
      <c r="I231" s="34"/>
    </row>
    <row r="232">
      <c r="A232" s="32" t="s">
        <v>966</v>
      </c>
      <c r="B232" s="32" t="s">
        <v>7096</v>
      </c>
      <c r="C232" s="32" t="s">
        <v>7097</v>
      </c>
      <c r="D232" s="32" t="s">
        <v>7098</v>
      </c>
      <c r="E232" s="32" t="s">
        <v>7099</v>
      </c>
      <c r="F232" s="33" t="s">
        <v>7100</v>
      </c>
      <c r="G232" s="35" t="s">
        <v>7101</v>
      </c>
      <c r="H232" s="34"/>
      <c r="I232" s="34"/>
    </row>
    <row r="233">
      <c r="A233" s="32" t="s">
        <v>972</v>
      </c>
      <c r="B233" s="32" t="s">
        <v>7102</v>
      </c>
      <c r="C233" s="32" t="s">
        <v>7103</v>
      </c>
      <c r="D233" s="32" t="s">
        <v>7104</v>
      </c>
      <c r="E233" s="32" t="s">
        <v>7105</v>
      </c>
      <c r="F233" s="33" t="s">
        <v>7106</v>
      </c>
      <c r="G233" s="35" t="s">
        <v>7107</v>
      </c>
      <c r="H233" s="34"/>
      <c r="I233" s="34"/>
    </row>
    <row r="234">
      <c r="A234" s="32" t="s">
        <v>976</v>
      </c>
      <c r="B234" s="32" t="s">
        <v>7108</v>
      </c>
      <c r="C234" s="32" t="s">
        <v>7109</v>
      </c>
      <c r="D234" s="32" t="s">
        <v>7110</v>
      </c>
      <c r="E234" s="32" t="s">
        <v>7111</v>
      </c>
      <c r="F234" s="33" t="s">
        <v>7112</v>
      </c>
      <c r="G234" s="35" t="s">
        <v>7113</v>
      </c>
      <c r="H234" s="34"/>
      <c r="I234" s="34"/>
    </row>
    <row r="235">
      <c r="A235" s="32" t="s">
        <v>980</v>
      </c>
      <c r="B235" s="32" t="s">
        <v>7114</v>
      </c>
      <c r="C235" s="32" t="s">
        <v>7115</v>
      </c>
      <c r="D235" s="32" t="s">
        <v>7116</v>
      </c>
      <c r="E235" s="32" t="s">
        <v>7117</v>
      </c>
      <c r="F235" s="33" t="s">
        <v>7118</v>
      </c>
      <c r="G235" s="35" t="s">
        <v>7119</v>
      </c>
      <c r="H235" s="34"/>
      <c r="I235" s="34"/>
    </row>
    <row r="236">
      <c r="A236" s="32" t="s">
        <v>984</v>
      </c>
      <c r="B236" s="32" t="s">
        <v>6905</v>
      </c>
      <c r="C236" s="32" t="s">
        <v>6906</v>
      </c>
      <c r="D236" s="32" t="s">
        <v>6907</v>
      </c>
      <c r="E236" s="32" t="s">
        <v>6908</v>
      </c>
      <c r="F236" s="33" t="s">
        <v>6909</v>
      </c>
      <c r="G236" s="35" t="s">
        <v>7120</v>
      </c>
      <c r="H236" s="34"/>
      <c r="I236" s="34"/>
    </row>
    <row r="237">
      <c r="A237" s="32" t="s">
        <v>987</v>
      </c>
      <c r="B237" s="32" t="s">
        <v>7121</v>
      </c>
      <c r="C237" s="32" t="s">
        <v>7122</v>
      </c>
      <c r="D237" s="32" t="s">
        <v>7123</v>
      </c>
      <c r="E237" s="32" t="s">
        <v>7124</v>
      </c>
      <c r="F237" s="33" t="s">
        <v>7125</v>
      </c>
      <c r="G237" s="35" t="s">
        <v>7126</v>
      </c>
      <c r="H237" s="34"/>
      <c r="I237" s="34"/>
    </row>
    <row r="238">
      <c r="A238" s="32" t="s">
        <v>990</v>
      </c>
      <c r="B238" s="32" t="s">
        <v>7127</v>
      </c>
      <c r="C238" s="32" t="s">
        <v>7128</v>
      </c>
      <c r="D238" s="32" t="s">
        <v>7129</v>
      </c>
      <c r="E238" s="32" t="s">
        <v>7130</v>
      </c>
      <c r="F238" s="33" t="s">
        <v>7131</v>
      </c>
      <c r="G238" s="35" t="s">
        <v>7132</v>
      </c>
      <c r="H238" s="34"/>
      <c r="I238" s="34"/>
    </row>
    <row r="239">
      <c r="A239" s="32" t="s">
        <v>994</v>
      </c>
      <c r="B239" s="32" t="s">
        <v>7133</v>
      </c>
      <c r="C239" s="32" t="s">
        <v>7134</v>
      </c>
      <c r="D239" s="32" t="s">
        <v>7135</v>
      </c>
      <c r="E239" s="32" t="s">
        <v>7136</v>
      </c>
      <c r="F239" s="33" t="s">
        <v>7137</v>
      </c>
      <c r="G239" s="35" t="s">
        <v>7138</v>
      </c>
      <c r="H239" s="34"/>
      <c r="I239" s="34"/>
    </row>
    <row r="240">
      <c r="A240" s="32" t="s">
        <v>998</v>
      </c>
      <c r="B240" s="32" t="s">
        <v>7139</v>
      </c>
      <c r="C240" s="32" t="s">
        <v>7140</v>
      </c>
      <c r="D240" s="32" t="s">
        <v>7141</v>
      </c>
      <c r="E240" s="32" t="s">
        <v>7142</v>
      </c>
      <c r="F240" s="33" t="s">
        <v>7143</v>
      </c>
      <c r="G240" s="35" t="s">
        <v>7144</v>
      </c>
      <c r="H240" s="34"/>
      <c r="I240" s="34"/>
    </row>
    <row r="241">
      <c r="A241" s="32" t="s">
        <v>1002</v>
      </c>
      <c r="B241" s="32" t="s">
        <v>7145</v>
      </c>
      <c r="C241" s="32" t="s">
        <v>7146</v>
      </c>
      <c r="D241" s="32" t="s">
        <v>7147</v>
      </c>
      <c r="E241" s="32" t="s">
        <v>7148</v>
      </c>
      <c r="F241" s="33" t="s">
        <v>7149</v>
      </c>
      <c r="G241" s="35" t="s">
        <v>7150</v>
      </c>
      <c r="H241" s="34"/>
      <c r="I241" s="34"/>
    </row>
    <row r="242">
      <c r="A242" s="32" t="s">
        <v>1008</v>
      </c>
      <c r="B242" s="32" t="s">
        <v>6376</v>
      </c>
      <c r="C242" s="32" t="s">
        <v>6377</v>
      </c>
      <c r="D242" s="32" t="s">
        <v>6378</v>
      </c>
      <c r="E242" s="32" t="s">
        <v>6379</v>
      </c>
      <c r="F242" s="33" t="s">
        <v>6380</v>
      </c>
      <c r="G242" s="35" t="s">
        <v>7151</v>
      </c>
      <c r="H242" s="34"/>
      <c r="I242" s="34"/>
    </row>
    <row r="243">
      <c r="A243" s="32" t="s">
        <v>1011</v>
      </c>
      <c r="B243" s="32" t="s">
        <v>6764</v>
      </c>
      <c r="C243" s="32" t="s">
        <v>6765</v>
      </c>
      <c r="D243" s="32" t="s">
        <v>6766</v>
      </c>
      <c r="E243" s="32" t="s">
        <v>6767</v>
      </c>
      <c r="F243" s="33" t="s">
        <v>6768</v>
      </c>
      <c r="G243" s="35" t="s">
        <v>7152</v>
      </c>
      <c r="H243" s="34"/>
      <c r="I243" s="34"/>
    </row>
    <row r="244">
      <c r="A244" s="32" t="s">
        <v>1014</v>
      </c>
      <c r="B244" s="32" t="s">
        <v>7153</v>
      </c>
      <c r="C244" s="32" t="s">
        <v>7154</v>
      </c>
      <c r="D244" s="32" t="s">
        <v>7155</v>
      </c>
      <c r="E244" s="32" t="s">
        <v>7156</v>
      </c>
      <c r="F244" s="33" t="s">
        <v>7157</v>
      </c>
      <c r="G244" s="35" t="s">
        <v>7158</v>
      </c>
      <c r="H244" s="34"/>
      <c r="I244" s="34"/>
    </row>
    <row r="245">
      <c r="A245" s="32" t="s">
        <v>1018</v>
      </c>
      <c r="B245" s="32" t="s">
        <v>7159</v>
      </c>
      <c r="C245" s="32" t="s">
        <v>7160</v>
      </c>
      <c r="D245" s="32" t="s">
        <v>7161</v>
      </c>
      <c r="E245" s="32" t="s">
        <v>7162</v>
      </c>
      <c r="F245" s="33" t="s">
        <v>7163</v>
      </c>
      <c r="G245" s="35" t="s">
        <v>7164</v>
      </c>
      <c r="H245" s="34"/>
      <c r="I245" s="34"/>
    </row>
    <row r="246">
      <c r="A246" s="32" t="s">
        <v>1022</v>
      </c>
      <c r="B246" s="32" t="s">
        <v>7165</v>
      </c>
      <c r="C246" s="32" t="s">
        <v>7166</v>
      </c>
      <c r="D246" s="32" t="s">
        <v>7167</v>
      </c>
      <c r="E246" s="32" t="s">
        <v>7168</v>
      </c>
      <c r="F246" s="33" t="s">
        <v>7169</v>
      </c>
      <c r="G246" s="35" t="s">
        <v>7170</v>
      </c>
      <c r="H246" s="34"/>
      <c r="I246" s="34"/>
    </row>
    <row r="247">
      <c r="A247" s="32" t="s">
        <v>1026</v>
      </c>
      <c r="B247" s="32" t="s">
        <v>6410</v>
      </c>
      <c r="C247" s="32" t="s">
        <v>6411</v>
      </c>
      <c r="D247" s="32" t="s">
        <v>6412</v>
      </c>
      <c r="E247" s="32" t="s">
        <v>6413</v>
      </c>
      <c r="F247" s="33" t="s">
        <v>6414</v>
      </c>
      <c r="G247" s="35" t="s">
        <v>6415</v>
      </c>
      <c r="H247" s="34"/>
      <c r="I247" s="34"/>
    </row>
    <row r="248">
      <c r="A248" s="32" t="s">
        <v>1030</v>
      </c>
      <c r="B248" s="32" t="s">
        <v>6168</v>
      </c>
      <c r="C248" s="32" t="s">
        <v>6169</v>
      </c>
      <c r="D248" s="32" t="s">
        <v>6170</v>
      </c>
      <c r="E248" s="32" t="s">
        <v>6171</v>
      </c>
      <c r="F248" s="33" t="s">
        <v>6172</v>
      </c>
      <c r="G248" s="35" t="s">
        <v>7171</v>
      </c>
      <c r="H248" s="34"/>
      <c r="I248" s="34"/>
    </row>
    <row r="249">
      <c r="A249" s="32" t="s">
        <v>1034</v>
      </c>
      <c r="B249" s="32" t="s">
        <v>6308</v>
      </c>
      <c r="C249" s="32" t="s">
        <v>6309</v>
      </c>
      <c r="D249" s="32" t="s">
        <v>6310</v>
      </c>
      <c r="E249" s="32" t="s">
        <v>6311</v>
      </c>
      <c r="F249" s="33" t="s">
        <v>6312</v>
      </c>
      <c r="G249" s="35" t="s">
        <v>7172</v>
      </c>
      <c r="H249" s="34"/>
      <c r="I249" s="34"/>
    </row>
    <row r="250">
      <c r="A250" s="32" t="s">
        <v>1038</v>
      </c>
      <c r="B250" s="32" t="s">
        <v>7173</v>
      </c>
      <c r="C250" s="32" t="s">
        <v>7174</v>
      </c>
      <c r="D250" s="32" t="s">
        <v>7175</v>
      </c>
      <c r="E250" s="32" t="s">
        <v>7176</v>
      </c>
      <c r="F250" s="33" t="s">
        <v>7177</v>
      </c>
      <c r="G250" s="35" t="s">
        <v>7178</v>
      </c>
      <c r="H250" s="34"/>
      <c r="I250" s="34"/>
    </row>
    <row r="251">
      <c r="A251" s="32" t="s">
        <v>1042</v>
      </c>
      <c r="B251" s="32" t="s">
        <v>7179</v>
      </c>
      <c r="C251" s="32" t="s">
        <v>7180</v>
      </c>
      <c r="D251" s="32" t="s">
        <v>7181</v>
      </c>
      <c r="E251" s="32" t="s">
        <v>7182</v>
      </c>
      <c r="F251" s="33" t="s">
        <v>7183</v>
      </c>
      <c r="G251" s="35" t="s">
        <v>7184</v>
      </c>
      <c r="H251" s="34"/>
      <c r="I251" s="34"/>
    </row>
    <row r="252">
      <c r="A252" s="32" t="s">
        <v>1046</v>
      </c>
      <c r="B252" s="32" t="s">
        <v>7185</v>
      </c>
      <c r="C252" s="32" t="s">
        <v>7186</v>
      </c>
      <c r="D252" s="32" t="s">
        <v>7187</v>
      </c>
      <c r="E252" s="32" t="s">
        <v>7188</v>
      </c>
      <c r="F252" s="33" t="s">
        <v>7189</v>
      </c>
      <c r="G252" s="35" t="s">
        <v>7190</v>
      </c>
      <c r="H252" s="34"/>
      <c r="I252" s="34"/>
    </row>
    <row r="253">
      <c r="A253" s="32" t="s">
        <v>1050</v>
      </c>
      <c r="B253" s="32" t="s">
        <v>7191</v>
      </c>
      <c r="C253" s="32" t="s">
        <v>7192</v>
      </c>
      <c r="D253" s="32" t="s">
        <v>7193</v>
      </c>
      <c r="E253" s="32" t="s">
        <v>7194</v>
      </c>
      <c r="F253" s="33" t="s">
        <v>7195</v>
      </c>
      <c r="G253" s="35" t="s">
        <v>7196</v>
      </c>
      <c r="H253" s="34"/>
      <c r="I253" s="34"/>
    </row>
    <row r="254">
      <c r="A254" s="32" t="s">
        <v>1054</v>
      </c>
      <c r="B254" s="32" t="s">
        <v>7197</v>
      </c>
      <c r="C254" s="32" t="s">
        <v>7198</v>
      </c>
      <c r="D254" s="32" t="s">
        <v>7199</v>
      </c>
      <c r="E254" s="32" t="s">
        <v>7200</v>
      </c>
      <c r="F254" s="33" t="s">
        <v>7201</v>
      </c>
      <c r="G254" s="35" t="s">
        <v>7202</v>
      </c>
      <c r="H254" s="34"/>
      <c r="I254" s="34"/>
    </row>
    <row r="255">
      <c r="A255" s="32" t="s">
        <v>1058</v>
      </c>
      <c r="B255" s="32" t="s">
        <v>6102</v>
      </c>
      <c r="C255" s="32" t="s">
        <v>6103</v>
      </c>
      <c r="D255" s="32" t="s">
        <v>6104</v>
      </c>
      <c r="E255" s="32" t="s">
        <v>6105</v>
      </c>
      <c r="F255" s="33" t="s">
        <v>6834</v>
      </c>
      <c r="G255" s="35" t="s">
        <v>7203</v>
      </c>
      <c r="H255" s="34"/>
      <c r="I255" s="34"/>
    </row>
    <row r="256">
      <c r="A256" s="32" t="s">
        <v>1062</v>
      </c>
      <c r="B256" s="32" t="s">
        <v>7204</v>
      </c>
      <c r="C256" s="32" t="s">
        <v>7205</v>
      </c>
      <c r="D256" s="32" t="s">
        <v>7206</v>
      </c>
      <c r="E256" s="32" t="s">
        <v>7207</v>
      </c>
      <c r="F256" s="33" t="s">
        <v>7208</v>
      </c>
      <c r="G256" s="35" t="s">
        <v>7209</v>
      </c>
      <c r="H256" s="34"/>
      <c r="I256" s="34"/>
    </row>
    <row r="257">
      <c r="A257" s="32" t="s">
        <v>1066</v>
      </c>
      <c r="B257" s="32" t="s">
        <v>6520</v>
      </c>
      <c r="C257" s="32" t="s">
        <v>6521</v>
      </c>
      <c r="D257" s="32" t="s">
        <v>6522</v>
      </c>
      <c r="E257" s="32" t="s">
        <v>6523</v>
      </c>
      <c r="F257" s="33" t="s">
        <v>6524</v>
      </c>
      <c r="G257" s="35" t="s">
        <v>7210</v>
      </c>
      <c r="H257" s="34"/>
      <c r="I257" s="34"/>
    </row>
    <row r="258">
      <c r="A258" s="32" t="s">
        <v>1069</v>
      </c>
      <c r="B258" s="32" t="s">
        <v>7211</v>
      </c>
      <c r="C258" s="32" t="s">
        <v>7212</v>
      </c>
      <c r="D258" s="32" t="s">
        <v>7213</v>
      </c>
      <c r="E258" s="32" t="s">
        <v>7214</v>
      </c>
      <c r="F258" s="33" t="s">
        <v>7215</v>
      </c>
      <c r="G258" s="35" t="s">
        <v>7216</v>
      </c>
      <c r="H258" s="34"/>
      <c r="I258" s="34"/>
    </row>
    <row r="259">
      <c r="A259" s="32" t="s">
        <v>1073</v>
      </c>
      <c r="B259" s="32" t="s">
        <v>6816</v>
      </c>
      <c r="C259" s="32" t="s">
        <v>6817</v>
      </c>
      <c r="D259" s="32" t="s">
        <v>6818</v>
      </c>
      <c r="E259" s="32" t="s">
        <v>6819</v>
      </c>
      <c r="F259" s="33" t="s">
        <v>6820</v>
      </c>
      <c r="G259" s="35" t="s">
        <v>6821</v>
      </c>
      <c r="H259" s="34"/>
      <c r="I259" s="34"/>
    </row>
    <row r="260">
      <c r="A260" s="32" t="s">
        <v>1077</v>
      </c>
      <c r="B260" s="32" t="s">
        <v>5997</v>
      </c>
      <c r="C260" s="32" t="s">
        <v>5998</v>
      </c>
      <c r="D260" s="32" t="s">
        <v>5999</v>
      </c>
      <c r="E260" s="32" t="s">
        <v>6000</v>
      </c>
      <c r="F260" s="33" t="s">
        <v>6001</v>
      </c>
      <c r="G260" s="35" t="s">
        <v>7217</v>
      </c>
      <c r="H260" s="34"/>
      <c r="I260" s="34"/>
    </row>
    <row r="261">
      <c r="A261" s="32" t="s">
        <v>1081</v>
      </c>
      <c r="B261" s="32" t="s">
        <v>7218</v>
      </c>
      <c r="C261" s="32" t="s">
        <v>7219</v>
      </c>
      <c r="D261" s="32" t="s">
        <v>7220</v>
      </c>
      <c r="E261" s="32" t="s">
        <v>7221</v>
      </c>
      <c r="F261" s="33" t="s">
        <v>7222</v>
      </c>
      <c r="G261" s="35" t="s">
        <v>7223</v>
      </c>
      <c r="H261" s="34"/>
      <c r="I261" s="34"/>
    </row>
    <row r="262">
      <c r="A262" s="32" t="s">
        <v>1085</v>
      </c>
      <c r="B262" s="32" t="s">
        <v>7224</v>
      </c>
      <c r="C262" s="32" t="s">
        <v>7225</v>
      </c>
      <c r="D262" s="32" t="s">
        <v>7226</v>
      </c>
      <c r="E262" s="32" t="s">
        <v>7227</v>
      </c>
      <c r="F262" s="33" t="s">
        <v>7228</v>
      </c>
      <c r="G262" s="35" t="s">
        <v>7229</v>
      </c>
      <c r="H262" s="34"/>
      <c r="I262" s="34"/>
    </row>
    <row r="263">
      <c r="A263" s="32" t="s">
        <v>1089</v>
      </c>
      <c r="B263" s="32" t="s">
        <v>6416</v>
      </c>
      <c r="C263" s="32" t="s">
        <v>6417</v>
      </c>
      <c r="D263" s="32" t="s">
        <v>6418</v>
      </c>
      <c r="E263" s="32" t="s">
        <v>6419</v>
      </c>
      <c r="F263" s="33" t="s">
        <v>6420</v>
      </c>
      <c r="G263" s="35" t="s">
        <v>7230</v>
      </c>
      <c r="H263" s="34"/>
      <c r="I263" s="34"/>
    </row>
    <row r="264">
      <c r="A264" s="32" t="s">
        <v>1093</v>
      </c>
      <c r="B264" s="32" t="s">
        <v>6914</v>
      </c>
      <c r="C264" s="32" t="s">
        <v>6915</v>
      </c>
      <c r="D264" s="32" t="s">
        <v>6916</v>
      </c>
      <c r="E264" s="32" t="s">
        <v>6917</v>
      </c>
      <c r="F264" s="33" t="s">
        <v>6918</v>
      </c>
      <c r="G264" s="35" t="s">
        <v>7231</v>
      </c>
      <c r="H264" s="34"/>
      <c r="I264" s="34"/>
    </row>
    <row r="265">
      <c r="A265" s="32" t="s">
        <v>1097</v>
      </c>
      <c r="B265" s="32" t="s">
        <v>7232</v>
      </c>
      <c r="C265" s="32" t="s">
        <v>7233</v>
      </c>
      <c r="D265" s="32" t="s">
        <v>7234</v>
      </c>
      <c r="E265" s="32" t="s">
        <v>7235</v>
      </c>
      <c r="F265" s="33" t="s">
        <v>7236</v>
      </c>
      <c r="G265" s="35" t="s">
        <v>7237</v>
      </c>
      <c r="H265" s="34"/>
      <c r="I265" s="34"/>
    </row>
    <row r="266">
      <c r="A266" s="32" t="s">
        <v>1101</v>
      </c>
      <c r="B266" s="32" t="s">
        <v>7238</v>
      </c>
      <c r="C266" s="32" t="s">
        <v>7239</v>
      </c>
      <c r="D266" s="32" t="s">
        <v>7240</v>
      </c>
      <c r="E266" s="32" t="s">
        <v>7241</v>
      </c>
      <c r="F266" s="33" t="s">
        <v>7242</v>
      </c>
      <c r="G266" s="35" t="s">
        <v>7243</v>
      </c>
      <c r="H266" s="34"/>
      <c r="I266" s="34"/>
    </row>
    <row r="267">
      <c r="A267" s="32" t="s">
        <v>1108</v>
      </c>
      <c r="B267" s="32" t="s">
        <v>6108</v>
      </c>
      <c r="C267" s="32" t="s">
        <v>6109</v>
      </c>
      <c r="D267" s="32" t="s">
        <v>6110</v>
      </c>
      <c r="E267" s="32" t="s">
        <v>6111</v>
      </c>
      <c r="F267" s="33" t="s">
        <v>6112</v>
      </c>
      <c r="G267" s="35" t="s">
        <v>7244</v>
      </c>
      <c r="H267" s="34"/>
      <c r="I267" s="34"/>
    </row>
    <row r="268">
      <c r="A268" s="32" t="s">
        <v>1112</v>
      </c>
      <c r="B268" s="32" t="s">
        <v>7245</v>
      </c>
      <c r="C268" s="32" t="s">
        <v>7246</v>
      </c>
      <c r="D268" s="32" t="s">
        <v>7247</v>
      </c>
      <c r="E268" s="32" t="s">
        <v>7248</v>
      </c>
      <c r="F268" s="33" t="s">
        <v>7249</v>
      </c>
      <c r="G268" s="35" t="s">
        <v>7250</v>
      </c>
      <c r="H268" s="34"/>
      <c r="I268" s="34"/>
    </row>
    <row r="269">
      <c r="A269" s="32" t="s">
        <v>1116</v>
      </c>
      <c r="B269" s="32" t="s">
        <v>7251</v>
      </c>
      <c r="C269" s="32" t="s">
        <v>7252</v>
      </c>
      <c r="D269" s="32" t="s">
        <v>7253</v>
      </c>
      <c r="E269" s="32" t="s">
        <v>7254</v>
      </c>
      <c r="F269" s="33" t="s">
        <v>7255</v>
      </c>
      <c r="G269" s="35" t="s">
        <v>7256</v>
      </c>
      <c r="H269" s="34"/>
      <c r="I269" s="34"/>
    </row>
    <row r="270">
      <c r="A270" s="32" t="s">
        <v>1120</v>
      </c>
      <c r="B270" s="32" t="s">
        <v>7257</v>
      </c>
      <c r="C270" s="32" t="s">
        <v>7258</v>
      </c>
      <c r="D270" s="32" t="s">
        <v>7259</v>
      </c>
      <c r="E270" s="32" t="s">
        <v>7260</v>
      </c>
      <c r="F270" s="33" t="s">
        <v>7261</v>
      </c>
      <c r="G270" s="35" t="s">
        <v>7262</v>
      </c>
      <c r="H270" s="34"/>
      <c r="I270" s="34"/>
    </row>
    <row r="271">
      <c r="A271" s="32" t="s">
        <v>1126</v>
      </c>
      <c r="B271" s="32" t="s">
        <v>7263</v>
      </c>
      <c r="C271" s="32" t="s">
        <v>7264</v>
      </c>
      <c r="D271" s="32" t="s">
        <v>7265</v>
      </c>
      <c r="E271" s="32" t="s">
        <v>7266</v>
      </c>
      <c r="F271" s="33" t="s">
        <v>7267</v>
      </c>
      <c r="G271" s="35" t="s">
        <v>7268</v>
      </c>
      <c r="H271" s="34"/>
      <c r="I271" s="34"/>
    </row>
    <row r="272">
      <c r="A272" s="32" t="s">
        <v>1133</v>
      </c>
      <c r="B272" s="32" t="s">
        <v>6796</v>
      </c>
      <c r="C272" s="32" t="s">
        <v>6797</v>
      </c>
      <c r="D272" s="32" t="s">
        <v>6798</v>
      </c>
      <c r="E272" s="32" t="s">
        <v>6799</v>
      </c>
      <c r="F272" s="33" t="s">
        <v>6800</v>
      </c>
      <c r="G272" s="35" t="s">
        <v>7269</v>
      </c>
      <c r="H272" s="34"/>
      <c r="I272" s="34"/>
    </row>
    <row r="273">
      <c r="A273" s="32" t="s">
        <v>1137</v>
      </c>
      <c r="B273" s="32" t="s">
        <v>7270</v>
      </c>
      <c r="C273" s="32" t="s">
        <v>7271</v>
      </c>
      <c r="D273" s="32" t="s">
        <v>7272</v>
      </c>
      <c r="E273" s="32" t="s">
        <v>7273</v>
      </c>
      <c r="F273" s="33" t="s">
        <v>7274</v>
      </c>
      <c r="G273" s="35" t="s">
        <v>7275</v>
      </c>
      <c r="H273" s="34"/>
      <c r="I273" s="34"/>
    </row>
    <row r="274">
      <c r="A274" s="32" t="s">
        <v>1141</v>
      </c>
      <c r="B274" s="32" t="s">
        <v>6477</v>
      </c>
      <c r="C274" s="32" t="s">
        <v>6478</v>
      </c>
      <c r="D274" s="32" t="s">
        <v>6479</v>
      </c>
      <c r="E274" s="32" t="s">
        <v>6480</v>
      </c>
      <c r="F274" s="33" t="s">
        <v>6481</v>
      </c>
      <c r="G274" s="35" t="s">
        <v>7276</v>
      </c>
      <c r="H274" s="34"/>
      <c r="I274" s="34"/>
    </row>
    <row r="275">
      <c r="A275" s="32" t="s">
        <v>1145</v>
      </c>
      <c r="B275" s="32" t="s">
        <v>7277</v>
      </c>
      <c r="C275" s="32" t="s">
        <v>7278</v>
      </c>
      <c r="D275" s="32" t="s">
        <v>7279</v>
      </c>
      <c r="E275" s="32" t="s">
        <v>7280</v>
      </c>
      <c r="F275" s="33" t="s">
        <v>7281</v>
      </c>
      <c r="G275" s="35" t="s">
        <v>7282</v>
      </c>
      <c r="H275" s="34"/>
      <c r="I275" s="34"/>
    </row>
    <row r="276">
      <c r="A276" s="32" t="s">
        <v>1149</v>
      </c>
      <c r="B276" s="32" t="s">
        <v>7283</v>
      </c>
      <c r="C276" s="32" t="s">
        <v>7284</v>
      </c>
      <c r="D276" s="32" t="s">
        <v>7285</v>
      </c>
      <c r="E276" s="32" t="s">
        <v>7286</v>
      </c>
      <c r="F276" s="33" t="s">
        <v>7287</v>
      </c>
      <c r="G276" s="35" t="s">
        <v>7288</v>
      </c>
      <c r="H276" s="34"/>
      <c r="I276" s="34"/>
    </row>
    <row r="277">
      <c r="A277" s="32" t="s">
        <v>1153</v>
      </c>
      <c r="B277" s="32" t="s">
        <v>7289</v>
      </c>
      <c r="C277" s="32" t="s">
        <v>7290</v>
      </c>
      <c r="D277" s="32" t="s">
        <v>7291</v>
      </c>
      <c r="E277" s="32" t="s">
        <v>7292</v>
      </c>
      <c r="F277" s="33" t="s">
        <v>7293</v>
      </c>
      <c r="G277" s="35" t="s">
        <v>7294</v>
      </c>
      <c r="H277" s="34"/>
      <c r="I277" s="34"/>
    </row>
    <row r="278">
      <c r="A278" s="32" t="s">
        <v>1157</v>
      </c>
      <c r="B278" s="32" t="s">
        <v>6296</v>
      </c>
      <c r="C278" s="32" t="s">
        <v>6297</v>
      </c>
      <c r="D278" s="32" t="s">
        <v>6298</v>
      </c>
      <c r="E278" s="32" t="s">
        <v>6299</v>
      </c>
      <c r="F278" s="33" t="s">
        <v>6300</v>
      </c>
      <c r="G278" s="35" t="s">
        <v>7295</v>
      </c>
      <c r="H278" s="34"/>
      <c r="I278" s="34"/>
    </row>
    <row r="279">
      <c r="A279" s="32" t="s">
        <v>1161</v>
      </c>
      <c r="B279" s="32" t="s">
        <v>7296</v>
      </c>
      <c r="C279" s="32" t="s">
        <v>7297</v>
      </c>
      <c r="D279" s="32" t="s">
        <v>7298</v>
      </c>
      <c r="E279" s="32" t="s">
        <v>7299</v>
      </c>
      <c r="F279" s="33" t="s">
        <v>7300</v>
      </c>
      <c r="G279" s="35" t="s">
        <v>7301</v>
      </c>
      <c r="H279" s="34"/>
      <c r="I279" s="34"/>
    </row>
    <row r="280">
      <c r="A280" s="32" t="s">
        <v>1165</v>
      </c>
      <c r="B280" s="32" t="s">
        <v>6065</v>
      </c>
      <c r="C280" s="32" t="s">
        <v>6066</v>
      </c>
      <c r="D280" s="32" t="s">
        <v>6067</v>
      </c>
      <c r="E280" s="32" t="s">
        <v>6068</v>
      </c>
      <c r="F280" s="33" t="s">
        <v>6500</v>
      </c>
      <c r="G280" s="35" t="s">
        <v>7302</v>
      </c>
      <c r="H280" s="34"/>
      <c r="I280" s="34"/>
    </row>
    <row r="281">
      <c r="A281" s="32" t="s">
        <v>1169</v>
      </c>
      <c r="B281" s="32" t="s">
        <v>7303</v>
      </c>
      <c r="C281" s="32" t="s">
        <v>7304</v>
      </c>
      <c r="D281" s="32" t="s">
        <v>7305</v>
      </c>
      <c r="E281" s="32" t="s">
        <v>7306</v>
      </c>
      <c r="F281" s="33" t="s">
        <v>7307</v>
      </c>
      <c r="G281" s="35" t="s">
        <v>7308</v>
      </c>
      <c r="H281" s="34"/>
      <c r="I281" s="34"/>
    </row>
    <row r="282">
      <c r="A282" s="32" t="s">
        <v>1173</v>
      </c>
      <c r="B282" s="32" t="s">
        <v>7309</v>
      </c>
      <c r="C282" s="32" t="s">
        <v>7310</v>
      </c>
      <c r="D282" s="32" t="s">
        <v>7311</v>
      </c>
      <c r="E282" s="32" t="s">
        <v>7312</v>
      </c>
      <c r="F282" s="33" t="s">
        <v>7313</v>
      </c>
      <c r="G282" s="35" t="s">
        <v>7314</v>
      </c>
      <c r="H282" s="34"/>
      <c r="I282" s="34"/>
    </row>
    <row r="283">
      <c r="A283" s="32" t="s">
        <v>1177</v>
      </c>
      <c r="B283" s="32" t="s">
        <v>7315</v>
      </c>
      <c r="C283" s="32" t="s">
        <v>7316</v>
      </c>
      <c r="D283" s="32" t="s">
        <v>7317</v>
      </c>
      <c r="E283" s="32" t="s">
        <v>7318</v>
      </c>
      <c r="F283" s="33" t="s">
        <v>7319</v>
      </c>
      <c r="G283" s="35" t="s">
        <v>7320</v>
      </c>
      <c r="H283" s="34"/>
      <c r="I283" s="34"/>
    </row>
    <row r="284">
      <c r="A284" s="32" t="s">
        <v>1181</v>
      </c>
      <c r="B284" s="32" t="s">
        <v>7321</v>
      </c>
      <c r="C284" s="32" t="s">
        <v>7322</v>
      </c>
      <c r="D284" s="32" t="s">
        <v>7323</v>
      </c>
      <c r="E284" s="32" t="s">
        <v>7324</v>
      </c>
      <c r="F284" s="33" t="s">
        <v>7325</v>
      </c>
      <c r="G284" s="35" t="s">
        <v>7326</v>
      </c>
      <c r="H284" s="34"/>
      <c r="I284" s="34"/>
    </row>
    <row r="285">
      <c r="A285" s="32" t="s">
        <v>1185</v>
      </c>
      <c r="B285" s="32" t="s">
        <v>6648</v>
      </c>
      <c r="C285" s="32" t="s">
        <v>6649</v>
      </c>
      <c r="D285" s="32" t="s">
        <v>6650</v>
      </c>
      <c r="E285" s="32" t="s">
        <v>6651</v>
      </c>
      <c r="F285" s="33" t="s">
        <v>6652</v>
      </c>
      <c r="G285" s="35" t="s">
        <v>7327</v>
      </c>
      <c r="H285" s="34"/>
      <c r="I285" s="34"/>
    </row>
    <row r="286">
      <c r="A286" s="32" t="s">
        <v>1188</v>
      </c>
      <c r="B286" s="32" t="s">
        <v>7328</v>
      </c>
      <c r="C286" s="32" t="s">
        <v>7329</v>
      </c>
      <c r="D286" s="32" t="s">
        <v>7330</v>
      </c>
      <c r="E286" s="32" t="s">
        <v>7331</v>
      </c>
      <c r="F286" s="33" t="s">
        <v>7332</v>
      </c>
      <c r="G286" s="35" t="s">
        <v>7333</v>
      </c>
      <c r="H286" s="34"/>
      <c r="I286" s="34"/>
    </row>
    <row r="287">
      <c r="A287" s="32" t="s">
        <v>1192</v>
      </c>
      <c r="B287" s="32" t="s">
        <v>6168</v>
      </c>
      <c r="C287" s="32" t="s">
        <v>6169</v>
      </c>
      <c r="D287" s="32" t="s">
        <v>6170</v>
      </c>
      <c r="E287" s="32" t="s">
        <v>6171</v>
      </c>
      <c r="F287" s="33" t="s">
        <v>7334</v>
      </c>
      <c r="G287" s="35" t="s">
        <v>7335</v>
      </c>
      <c r="H287" s="34"/>
      <c r="I287" s="34"/>
    </row>
    <row r="288">
      <c r="A288" s="32" t="s">
        <v>1195</v>
      </c>
      <c r="B288" s="32" t="s">
        <v>7336</v>
      </c>
      <c r="C288" s="32" t="s">
        <v>7337</v>
      </c>
      <c r="D288" s="32" t="s">
        <v>7338</v>
      </c>
      <c r="E288" s="32" t="s">
        <v>7339</v>
      </c>
      <c r="F288" s="33" t="s">
        <v>7340</v>
      </c>
      <c r="G288" s="35" t="s">
        <v>7341</v>
      </c>
      <c r="H288" s="34"/>
      <c r="I288" s="34"/>
    </row>
    <row r="289">
      <c r="A289" s="32" t="s">
        <v>1199</v>
      </c>
      <c r="B289" s="32" t="s">
        <v>7342</v>
      </c>
      <c r="C289" s="32" t="s">
        <v>7343</v>
      </c>
      <c r="D289" s="32" t="s">
        <v>7344</v>
      </c>
      <c r="E289" s="32" t="s">
        <v>7345</v>
      </c>
      <c r="F289" s="33" t="s">
        <v>7346</v>
      </c>
      <c r="G289" s="35" t="s">
        <v>7347</v>
      </c>
      <c r="H289" s="34"/>
      <c r="I289" s="34"/>
    </row>
    <row r="290">
      <c r="A290" s="32" t="s">
        <v>1203</v>
      </c>
      <c r="B290" s="32" t="s">
        <v>7348</v>
      </c>
      <c r="C290" s="32" t="s">
        <v>7349</v>
      </c>
      <c r="D290" s="32" t="s">
        <v>7350</v>
      </c>
      <c r="E290" s="32" t="s">
        <v>7351</v>
      </c>
      <c r="F290" s="33" t="s">
        <v>7352</v>
      </c>
      <c r="G290" s="35" t="s">
        <v>7353</v>
      </c>
      <c r="H290" s="34"/>
      <c r="I290" s="34"/>
    </row>
    <row r="291">
      <c r="A291" s="32" t="s">
        <v>1207</v>
      </c>
      <c r="B291" s="32" t="s">
        <v>6863</v>
      </c>
      <c r="C291" s="32" t="s">
        <v>6864</v>
      </c>
      <c r="D291" s="32" t="s">
        <v>6865</v>
      </c>
      <c r="E291" s="32" t="s">
        <v>6866</v>
      </c>
      <c r="F291" s="33" t="s">
        <v>6867</v>
      </c>
      <c r="G291" s="35" t="s">
        <v>7354</v>
      </c>
      <c r="H291" s="34"/>
      <c r="I291" s="34"/>
    </row>
    <row r="292">
      <c r="A292" s="32" t="s">
        <v>1211</v>
      </c>
      <c r="B292" s="32" t="s">
        <v>7355</v>
      </c>
      <c r="C292" s="32" t="s">
        <v>7356</v>
      </c>
      <c r="D292" s="32" t="s">
        <v>7357</v>
      </c>
      <c r="E292" s="32" t="s">
        <v>7358</v>
      </c>
      <c r="F292" s="33" t="s">
        <v>7359</v>
      </c>
      <c r="G292" s="35" t="s">
        <v>7360</v>
      </c>
      <c r="H292" s="34"/>
      <c r="I292" s="34"/>
    </row>
    <row r="293">
      <c r="A293" s="32" t="s">
        <v>1214</v>
      </c>
      <c r="B293" s="32" t="s">
        <v>7361</v>
      </c>
      <c r="C293" s="32" t="s">
        <v>7362</v>
      </c>
      <c r="D293" s="32" t="s">
        <v>7363</v>
      </c>
      <c r="E293" s="32" t="s">
        <v>7364</v>
      </c>
      <c r="F293" s="33" t="s">
        <v>7365</v>
      </c>
      <c r="G293" s="35" t="s">
        <v>7366</v>
      </c>
      <c r="H293" s="34"/>
      <c r="I293" s="34"/>
    </row>
    <row r="294">
      <c r="A294" s="32" t="s">
        <v>1218</v>
      </c>
      <c r="B294" s="32" t="s">
        <v>7367</v>
      </c>
      <c r="C294" s="32" t="s">
        <v>7368</v>
      </c>
      <c r="D294" s="32" t="s">
        <v>7369</v>
      </c>
      <c r="E294" s="32" t="s">
        <v>7370</v>
      </c>
      <c r="F294" s="33" t="s">
        <v>7371</v>
      </c>
      <c r="G294" s="35" t="s">
        <v>7372</v>
      </c>
      <c r="H294" s="34"/>
      <c r="I294" s="34"/>
    </row>
    <row r="295">
      <c r="A295" s="32" t="s">
        <v>1222</v>
      </c>
      <c r="B295" s="32" t="s">
        <v>7373</v>
      </c>
      <c r="C295" s="32" t="s">
        <v>7374</v>
      </c>
      <c r="D295" s="32" t="s">
        <v>7375</v>
      </c>
      <c r="E295" s="32" t="s">
        <v>7376</v>
      </c>
      <c r="F295" s="33" t="s">
        <v>7377</v>
      </c>
      <c r="G295" s="35" t="s">
        <v>7378</v>
      </c>
      <c r="H295" s="34"/>
      <c r="I295" s="34"/>
    </row>
    <row r="296">
      <c r="A296" s="32" t="s">
        <v>1226</v>
      </c>
      <c r="B296" s="32" t="s">
        <v>7379</v>
      </c>
      <c r="C296" s="32" t="s">
        <v>7380</v>
      </c>
      <c r="D296" s="32" t="s">
        <v>7381</v>
      </c>
      <c r="E296" s="32" t="s">
        <v>7382</v>
      </c>
      <c r="F296" s="33" t="s">
        <v>7383</v>
      </c>
      <c r="G296" s="35" t="s">
        <v>7384</v>
      </c>
      <c r="H296" s="34"/>
      <c r="I296" s="34"/>
    </row>
    <row r="297">
      <c r="A297" s="32" t="s">
        <v>1230</v>
      </c>
      <c r="B297" s="32" t="s">
        <v>7385</v>
      </c>
      <c r="C297" s="32" t="s">
        <v>7386</v>
      </c>
      <c r="D297" s="32" t="s">
        <v>7387</v>
      </c>
      <c r="E297" s="32" t="s">
        <v>7388</v>
      </c>
      <c r="F297" s="33" t="s">
        <v>7389</v>
      </c>
      <c r="G297" s="35" t="s">
        <v>7390</v>
      </c>
      <c r="H297" s="34"/>
      <c r="I297" s="34"/>
    </row>
    <row r="298">
      <c r="A298" s="32" t="s">
        <v>1234</v>
      </c>
      <c r="B298" s="32" t="s">
        <v>7159</v>
      </c>
      <c r="C298" s="32" t="s">
        <v>7160</v>
      </c>
      <c r="D298" s="32" t="s">
        <v>7161</v>
      </c>
      <c r="E298" s="32" t="s">
        <v>7162</v>
      </c>
      <c r="F298" s="33" t="s">
        <v>7163</v>
      </c>
      <c r="G298" s="35" t="s">
        <v>7164</v>
      </c>
      <c r="H298" s="34"/>
      <c r="I298" s="34"/>
    </row>
    <row r="299">
      <c r="A299" s="32" t="s">
        <v>1236</v>
      </c>
      <c r="B299" s="32" t="s">
        <v>7391</v>
      </c>
      <c r="C299" s="32" t="s">
        <v>7392</v>
      </c>
      <c r="D299" s="32" t="s">
        <v>7393</v>
      </c>
      <c r="E299" s="32" t="s">
        <v>7394</v>
      </c>
      <c r="F299" s="33" t="s">
        <v>7395</v>
      </c>
      <c r="G299" s="35" t="s">
        <v>7396</v>
      </c>
      <c r="H299" s="34"/>
      <c r="I299" s="34"/>
    </row>
    <row r="300">
      <c r="A300" s="32" t="s">
        <v>1240</v>
      </c>
      <c r="B300" s="32" t="s">
        <v>7397</v>
      </c>
      <c r="C300" s="32" t="s">
        <v>7398</v>
      </c>
      <c r="D300" s="32" t="s">
        <v>7399</v>
      </c>
      <c r="E300" s="32" t="s">
        <v>7400</v>
      </c>
      <c r="F300" s="33" t="s">
        <v>7401</v>
      </c>
      <c r="G300" s="35" t="s">
        <v>7402</v>
      </c>
      <c r="H300" s="34"/>
      <c r="I300" s="34"/>
    </row>
    <row r="301">
      <c r="A301" s="32" t="s">
        <v>1244</v>
      </c>
      <c r="B301" s="32" t="s">
        <v>7403</v>
      </c>
      <c r="C301" s="32" t="s">
        <v>7404</v>
      </c>
      <c r="D301" s="32" t="s">
        <v>7405</v>
      </c>
      <c r="E301" s="32" t="s">
        <v>7406</v>
      </c>
      <c r="F301" s="33" t="s">
        <v>7407</v>
      </c>
      <c r="G301" s="35" t="s">
        <v>7408</v>
      </c>
      <c r="H301" s="34"/>
      <c r="I301" s="34"/>
    </row>
    <row r="302">
      <c r="A302" s="32" t="s">
        <v>1248</v>
      </c>
      <c r="B302" s="32" t="s">
        <v>7409</v>
      </c>
      <c r="C302" s="32" t="s">
        <v>7410</v>
      </c>
      <c r="D302" s="32" t="s">
        <v>7411</v>
      </c>
      <c r="E302" s="32" t="s">
        <v>7412</v>
      </c>
      <c r="F302" s="33" t="s">
        <v>7413</v>
      </c>
      <c r="G302" s="35" t="s">
        <v>7414</v>
      </c>
      <c r="H302" s="34"/>
      <c r="I302" s="34"/>
    </row>
    <row r="303">
      <c r="A303" s="32" t="s">
        <v>1252</v>
      </c>
      <c r="B303" s="32" t="s">
        <v>6114</v>
      </c>
      <c r="C303" s="32" t="s">
        <v>6115</v>
      </c>
      <c r="D303" s="32" t="s">
        <v>6116</v>
      </c>
      <c r="E303" s="32" t="s">
        <v>6117</v>
      </c>
      <c r="F303" s="33" t="s">
        <v>6118</v>
      </c>
      <c r="G303" s="35" t="s">
        <v>7415</v>
      </c>
      <c r="H303" s="34"/>
      <c r="I303" s="34"/>
    </row>
    <row r="304">
      <c r="A304" s="32" t="s">
        <v>1256</v>
      </c>
      <c r="B304" s="32" t="s">
        <v>7416</v>
      </c>
      <c r="C304" s="32" t="s">
        <v>7417</v>
      </c>
      <c r="D304" s="32" t="s">
        <v>7418</v>
      </c>
      <c r="E304" s="32" t="s">
        <v>7419</v>
      </c>
      <c r="F304" s="33" t="s">
        <v>7420</v>
      </c>
      <c r="G304" s="35" t="s">
        <v>7421</v>
      </c>
      <c r="H304" s="34"/>
      <c r="I304" s="34"/>
    </row>
    <row r="305">
      <c r="A305" s="32" t="s">
        <v>1260</v>
      </c>
      <c r="B305" s="32" t="s">
        <v>7422</v>
      </c>
      <c r="C305" s="32" t="s">
        <v>7423</v>
      </c>
      <c r="D305" s="32" t="s">
        <v>7424</v>
      </c>
      <c r="E305" s="32" t="s">
        <v>7425</v>
      </c>
      <c r="F305" s="33" t="s">
        <v>7426</v>
      </c>
      <c r="G305" s="35" t="s">
        <v>7427</v>
      </c>
      <c r="H305" s="34"/>
      <c r="I305" s="34"/>
    </row>
    <row r="306">
      <c r="A306" s="32" t="s">
        <v>1264</v>
      </c>
      <c r="B306" s="32" t="s">
        <v>7428</v>
      </c>
      <c r="C306" s="32" t="s">
        <v>7429</v>
      </c>
      <c r="D306" s="32" t="s">
        <v>7430</v>
      </c>
      <c r="E306" s="32" t="s">
        <v>7431</v>
      </c>
      <c r="F306" s="33" t="s">
        <v>7432</v>
      </c>
      <c r="G306" s="35" t="s">
        <v>7433</v>
      </c>
      <c r="H306" s="34"/>
      <c r="I306" s="34"/>
    </row>
    <row r="307">
      <c r="A307" s="32" t="s">
        <v>1268</v>
      </c>
      <c r="B307" s="32" t="s">
        <v>7434</v>
      </c>
      <c r="C307" s="32" t="s">
        <v>7435</v>
      </c>
      <c r="D307" s="32" t="s">
        <v>7436</v>
      </c>
      <c r="E307" s="32" t="s">
        <v>7437</v>
      </c>
      <c r="F307" s="33" t="s">
        <v>7438</v>
      </c>
      <c r="G307" s="35" t="s">
        <v>7366</v>
      </c>
      <c r="H307" s="34"/>
      <c r="I307" s="34"/>
    </row>
    <row r="308">
      <c r="A308" s="32" t="s">
        <v>1272</v>
      </c>
      <c r="B308" s="32" t="s">
        <v>7439</v>
      </c>
      <c r="C308" s="32" t="s">
        <v>7440</v>
      </c>
      <c r="D308" s="32" t="s">
        <v>7441</v>
      </c>
      <c r="E308" s="32" t="s">
        <v>7442</v>
      </c>
      <c r="F308" s="33" t="s">
        <v>7443</v>
      </c>
      <c r="G308" s="35" t="s">
        <v>7444</v>
      </c>
      <c r="H308" s="34"/>
      <c r="I308" s="34"/>
    </row>
    <row r="309">
      <c r="A309" s="32" t="s">
        <v>1276</v>
      </c>
      <c r="B309" s="32" t="s">
        <v>7445</v>
      </c>
      <c r="C309" s="32" t="s">
        <v>7446</v>
      </c>
      <c r="D309" s="32" t="s">
        <v>7447</v>
      </c>
      <c r="E309" s="32" t="s">
        <v>7448</v>
      </c>
      <c r="F309" s="33" t="s">
        <v>7449</v>
      </c>
      <c r="G309" s="35" t="s">
        <v>7450</v>
      </c>
      <c r="H309" s="34"/>
      <c r="I309" s="34"/>
    </row>
    <row r="310">
      <c r="A310" s="32" t="s">
        <v>1280</v>
      </c>
      <c r="B310" s="32" t="s">
        <v>7451</v>
      </c>
      <c r="C310" s="32" t="s">
        <v>7452</v>
      </c>
      <c r="D310" s="32" t="s">
        <v>7453</v>
      </c>
      <c r="E310" s="32" t="s">
        <v>7454</v>
      </c>
      <c r="F310" s="33" t="s">
        <v>7455</v>
      </c>
      <c r="G310" s="35" t="s">
        <v>7456</v>
      </c>
      <c r="H310" s="34"/>
      <c r="I310" s="34"/>
    </row>
    <row r="311">
      <c r="A311" s="32" t="s">
        <v>1284</v>
      </c>
      <c r="B311" s="32" t="s">
        <v>7457</v>
      </c>
      <c r="C311" s="32" t="s">
        <v>7458</v>
      </c>
      <c r="D311" s="32" t="s">
        <v>7459</v>
      </c>
      <c r="E311" s="32" t="s">
        <v>7460</v>
      </c>
      <c r="F311" s="33" t="s">
        <v>7461</v>
      </c>
      <c r="G311" s="35" t="s">
        <v>7462</v>
      </c>
      <c r="H311" s="34"/>
      <c r="I311" s="34"/>
    </row>
    <row r="312">
      <c r="A312" s="32" t="s">
        <v>1288</v>
      </c>
      <c r="B312" s="32" t="s">
        <v>6065</v>
      </c>
      <c r="C312" s="32" t="s">
        <v>6066</v>
      </c>
      <c r="D312" s="32" t="s">
        <v>6067</v>
      </c>
      <c r="E312" s="32" t="s">
        <v>6068</v>
      </c>
      <c r="F312" s="33" t="s">
        <v>6069</v>
      </c>
      <c r="G312" s="35" t="s">
        <v>7463</v>
      </c>
      <c r="H312" s="34"/>
      <c r="I312" s="34"/>
    </row>
    <row r="313">
      <c r="A313" s="32" t="s">
        <v>1292</v>
      </c>
      <c r="B313" s="32" t="s">
        <v>7464</v>
      </c>
      <c r="C313" s="32" t="s">
        <v>7465</v>
      </c>
      <c r="D313" s="32" t="s">
        <v>7466</v>
      </c>
      <c r="E313" s="32" t="s">
        <v>7467</v>
      </c>
      <c r="F313" s="33" t="s">
        <v>7468</v>
      </c>
      <c r="G313" s="35" t="s">
        <v>7469</v>
      </c>
      <c r="H313" s="34"/>
      <c r="I313" s="34"/>
    </row>
    <row r="314">
      <c r="A314" s="32" t="s">
        <v>1296</v>
      </c>
      <c r="B314" s="32" t="s">
        <v>7470</v>
      </c>
      <c r="C314" s="32" t="s">
        <v>7471</v>
      </c>
      <c r="D314" s="32" t="s">
        <v>7472</v>
      </c>
      <c r="E314" s="32" t="s">
        <v>7473</v>
      </c>
      <c r="F314" s="33" t="s">
        <v>7474</v>
      </c>
      <c r="G314" s="35" t="s">
        <v>7475</v>
      </c>
      <c r="H314" s="34"/>
      <c r="I314" s="34"/>
    </row>
    <row r="315">
      <c r="A315" s="32" t="s">
        <v>1302</v>
      </c>
      <c r="B315" s="32" t="s">
        <v>7476</v>
      </c>
      <c r="C315" s="32" t="s">
        <v>7477</v>
      </c>
      <c r="D315" s="32" t="s">
        <v>7478</v>
      </c>
      <c r="E315" s="32" t="s">
        <v>7479</v>
      </c>
      <c r="F315" s="33" t="s">
        <v>7480</v>
      </c>
      <c r="G315" s="35" t="s">
        <v>7481</v>
      </c>
      <c r="H315" s="34"/>
      <c r="I315" s="34"/>
    </row>
    <row r="316">
      <c r="A316" s="32" t="s">
        <v>1306</v>
      </c>
      <c r="B316" s="32" t="s">
        <v>7482</v>
      </c>
      <c r="C316" s="32" t="s">
        <v>7483</v>
      </c>
      <c r="D316" s="32" t="s">
        <v>7484</v>
      </c>
      <c r="E316" s="32" t="s">
        <v>7485</v>
      </c>
      <c r="F316" s="33" t="s">
        <v>7486</v>
      </c>
      <c r="G316" s="35" t="s">
        <v>7487</v>
      </c>
      <c r="H316" s="34"/>
      <c r="I316" s="34"/>
    </row>
    <row r="317">
      <c r="A317" s="32" t="s">
        <v>1310</v>
      </c>
      <c r="B317" s="32" t="s">
        <v>7488</v>
      </c>
      <c r="C317" s="32" t="s">
        <v>7489</v>
      </c>
      <c r="D317" s="32" t="s">
        <v>7490</v>
      </c>
      <c r="E317" s="32" t="s">
        <v>7491</v>
      </c>
      <c r="F317" s="33" t="s">
        <v>7492</v>
      </c>
      <c r="G317" s="35" t="s">
        <v>7493</v>
      </c>
      <c r="H317" s="34"/>
      <c r="I317" s="34"/>
    </row>
    <row r="318">
      <c r="A318" s="32" t="s">
        <v>1314</v>
      </c>
      <c r="B318" s="32" t="s">
        <v>7494</v>
      </c>
      <c r="C318" s="32" t="s">
        <v>7495</v>
      </c>
      <c r="D318" s="32" t="s">
        <v>7496</v>
      </c>
      <c r="E318" s="32" t="s">
        <v>7497</v>
      </c>
      <c r="F318" s="33" t="s">
        <v>7498</v>
      </c>
      <c r="G318" s="35" t="s">
        <v>7499</v>
      </c>
      <c r="H318" s="34"/>
      <c r="I318" s="34"/>
    </row>
    <row r="319">
      <c r="A319" s="32" t="s">
        <v>1318</v>
      </c>
      <c r="B319" s="32" t="s">
        <v>7500</v>
      </c>
      <c r="C319" s="32" t="s">
        <v>7501</v>
      </c>
      <c r="D319" s="32" t="s">
        <v>7502</v>
      </c>
      <c r="E319" s="32" t="s">
        <v>7503</v>
      </c>
      <c r="F319" s="33" t="s">
        <v>7504</v>
      </c>
      <c r="G319" s="35" t="s">
        <v>7505</v>
      </c>
      <c r="H319" s="34"/>
      <c r="I319" s="34"/>
    </row>
    <row r="320">
      <c r="A320" s="32" t="s">
        <v>1322</v>
      </c>
      <c r="B320" s="32" t="s">
        <v>7506</v>
      </c>
      <c r="C320" s="32" t="s">
        <v>7507</v>
      </c>
      <c r="D320" s="32" t="s">
        <v>7508</v>
      </c>
      <c r="E320" s="32" t="s">
        <v>7509</v>
      </c>
      <c r="F320" s="33" t="s">
        <v>7510</v>
      </c>
      <c r="G320" s="35" t="s">
        <v>7511</v>
      </c>
      <c r="H320" s="34"/>
      <c r="I320" s="34"/>
    </row>
    <row r="321">
      <c r="A321" s="32" t="s">
        <v>1326</v>
      </c>
      <c r="B321" s="32" t="s">
        <v>7512</v>
      </c>
      <c r="C321" s="32" t="s">
        <v>7513</v>
      </c>
      <c r="D321" s="32" t="s">
        <v>7514</v>
      </c>
      <c r="E321" s="32" t="s">
        <v>7515</v>
      </c>
      <c r="F321" s="33" t="s">
        <v>7516</v>
      </c>
      <c r="G321" s="35" t="s">
        <v>7517</v>
      </c>
      <c r="H321" s="34"/>
      <c r="I321" s="34"/>
    </row>
    <row r="322">
      <c r="A322" s="32" t="s">
        <v>1330</v>
      </c>
      <c r="B322" s="32" t="s">
        <v>7518</v>
      </c>
      <c r="C322" s="32" t="s">
        <v>7519</v>
      </c>
      <c r="D322" s="32" t="s">
        <v>7520</v>
      </c>
      <c r="E322" s="32" t="s">
        <v>7521</v>
      </c>
      <c r="F322" s="33" t="s">
        <v>7522</v>
      </c>
      <c r="G322" s="35" t="s">
        <v>7523</v>
      </c>
      <c r="H322" s="34"/>
      <c r="I322" s="34"/>
    </row>
    <row r="323">
      <c r="A323" s="32" t="s">
        <v>1334</v>
      </c>
      <c r="B323" s="32" t="s">
        <v>7524</v>
      </c>
      <c r="C323" s="32" t="s">
        <v>7525</v>
      </c>
      <c r="D323" s="32" t="s">
        <v>7526</v>
      </c>
      <c r="E323" s="32" t="s">
        <v>7527</v>
      </c>
      <c r="F323" s="33" t="s">
        <v>7528</v>
      </c>
      <c r="G323" s="35" t="s">
        <v>7529</v>
      </c>
      <c r="H323" s="34"/>
      <c r="I323" s="34"/>
    </row>
    <row r="324">
      <c r="A324" s="32" t="s">
        <v>1338</v>
      </c>
      <c r="B324" s="32" t="s">
        <v>7530</v>
      </c>
      <c r="C324" s="32" t="s">
        <v>7531</v>
      </c>
      <c r="D324" s="32" t="s">
        <v>7532</v>
      </c>
      <c r="E324" s="32" t="s">
        <v>7533</v>
      </c>
      <c r="F324" s="33" t="s">
        <v>7534</v>
      </c>
      <c r="G324" s="35" t="s">
        <v>7535</v>
      </c>
      <c r="H324" s="34"/>
      <c r="I324" s="34"/>
    </row>
    <row r="325">
      <c r="A325" s="32" t="s">
        <v>1342</v>
      </c>
      <c r="B325" s="32" t="s">
        <v>7536</v>
      </c>
      <c r="C325" s="32" t="s">
        <v>7537</v>
      </c>
      <c r="D325" s="32" t="s">
        <v>7538</v>
      </c>
      <c r="E325" s="32" t="s">
        <v>7539</v>
      </c>
      <c r="F325" s="33" t="s">
        <v>7540</v>
      </c>
      <c r="G325" s="35" t="s">
        <v>7541</v>
      </c>
      <c r="H325" s="34"/>
      <c r="I325" s="34"/>
    </row>
    <row r="326">
      <c r="A326" s="32" t="s">
        <v>1346</v>
      </c>
      <c r="B326" s="32" t="s">
        <v>7542</v>
      </c>
      <c r="C326" s="32" t="s">
        <v>7543</v>
      </c>
      <c r="D326" s="32" t="s">
        <v>7544</v>
      </c>
      <c r="E326" s="32" t="s">
        <v>7545</v>
      </c>
      <c r="F326" s="33" t="s">
        <v>7546</v>
      </c>
      <c r="G326" s="35" t="s">
        <v>7547</v>
      </c>
      <c r="H326" s="34"/>
      <c r="I326" s="34"/>
    </row>
    <row r="327">
      <c r="A327" s="32" t="s">
        <v>1350</v>
      </c>
      <c r="B327" s="32" t="s">
        <v>7017</v>
      </c>
      <c r="C327" s="32" t="s">
        <v>7018</v>
      </c>
      <c r="D327" s="32" t="s">
        <v>7019</v>
      </c>
      <c r="E327" s="32" t="s">
        <v>7020</v>
      </c>
      <c r="F327" s="33" t="s">
        <v>7021</v>
      </c>
      <c r="G327" s="35" t="s">
        <v>7548</v>
      </c>
      <c r="H327" s="34"/>
      <c r="I327" s="34"/>
    </row>
    <row r="328">
      <c r="A328" s="32" t="s">
        <v>1354</v>
      </c>
      <c r="B328" s="32" t="s">
        <v>7549</v>
      </c>
      <c r="C328" s="32" t="s">
        <v>7550</v>
      </c>
      <c r="D328" s="32" t="s">
        <v>7551</v>
      </c>
      <c r="E328" s="32" t="s">
        <v>7552</v>
      </c>
      <c r="F328" s="33" t="s">
        <v>7553</v>
      </c>
      <c r="G328" s="35" t="s">
        <v>7554</v>
      </c>
      <c r="H328" s="34"/>
      <c r="I328" s="34"/>
    </row>
    <row r="329">
      <c r="A329" s="32" t="s">
        <v>1358</v>
      </c>
      <c r="B329" s="32" t="s">
        <v>7439</v>
      </c>
      <c r="C329" s="32" t="s">
        <v>7440</v>
      </c>
      <c r="D329" s="32" t="s">
        <v>7441</v>
      </c>
      <c r="E329" s="32" t="s">
        <v>7442</v>
      </c>
      <c r="F329" s="33" t="s">
        <v>7443</v>
      </c>
      <c r="G329" s="35" t="s">
        <v>7555</v>
      </c>
      <c r="H329" s="34"/>
      <c r="I329" s="34"/>
    </row>
    <row r="330">
      <c r="A330" s="32" t="s">
        <v>1362</v>
      </c>
      <c r="B330" s="32" t="s">
        <v>7482</v>
      </c>
      <c r="C330" s="32" t="s">
        <v>7483</v>
      </c>
      <c r="D330" s="32" t="s">
        <v>7484</v>
      </c>
      <c r="E330" s="32" t="s">
        <v>7485</v>
      </c>
      <c r="F330" s="33" t="s">
        <v>7486</v>
      </c>
      <c r="G330" s="35" t="s">
        <v>7556</v>
      </c>
      <c r="H330" s="34"/>
      <c r="I330" s="34"/>
    </row>
    <row r="331">
      <c r="A331" s="32" t="s">
        <v>1366</v>
      </c>
      <c r="B331" s="32" t="s">
        <v>7557</v>
      </c>
      <c r="C331" s="32" t="s">
        <v>7558</v>
      </c>
      <c r="D331" s="32" t="s">
        <v>7559</v>
      </c>
      <c r="E331" s="32" t="s">
        <v>7560</v>
      </c>
      <c r="F331" s="33" t="s">
        <v>7561</v>
      </c>
      <c r="G331" s="35" t="s">
        <v>7562</v>
      </c>
      <c r="H331" s="34"/>
      <c r="I331" s="34"/>
    </row>
    <row r="332">
      <c r="A332" s="32" t="s">
        <v>1370</v>
      </c>
      <c r="B332" s="32" t="s">
        <v>7563</v>
      </c>
      <c r="C332" s="32" t="s">
        <v>7564</v>
      </c>
      <c r="D332" s="32" t="s">
        <v>7565</v>
      </c>
      <c r="E332" s="32" t="s">
        <v>7566</v>
      </c>
      <c r="F332" s="33" t="s">
        <v>7567</v>
      </c>
      <c r="G332" s="35" t="s">
        <v>7568</v>
      </c>
      <c r="H332" s="34"/>
      <c r="I332" s="34"/>
    </row>
    <row r="333">
      <c r="A333" s="32" t="s">
        <v>1374</v>
      </c>
      <c r="B333" s="32" t="s">
        <v>7569</v>
      </c>
      <c r="C333" s="32" t="s">
        <v>7570</v>
      </c>
      <c r="D333" s="32" t="s">
        <v>7571</v>
      </c>
      <c r="E333" s="32" t="s">
        <v>7572</v>
      </c>
      <c r="F333" s="33" t="s">
        <v>7573</v>
      </c>
      <c r="G333" s="35" t="s">
        <v>7574</v>
      </c>
      <c r="H333" s="34"/>
      <c r="I333" s="34"/>
    </row>
    <row r="334">
      <c r="A334" s="32" t="s">
        <v>1378</v>
      </c>
      <c r="B334" s="32" t="s">
        <v>7575</v>
      </c>
      <c r="C334" s="32" t="s">
        <v>7576</v>
      </c>
      <c r="D334" s="32" t="s">
        <v>7577</v>
      </c>
      <c r="E334" s="32" t="s">
        <v>7578</v>
      </c>
      <c r="F334" s="33" t="s">
        <v>7579</v>
      </c>
      <c r="G334" s="35" t="s">
        <v>7580</v>
      </c>
      <c r="H334" s="34"/>
      <c r="I334" s="34"/>
    </row>
    <row r="335">
      <c r="A335" s="32" t="s">
        <v>1382</v>
      </c>
      <c r="B335" s="32" t="s">
        <v>7581</v>
      </c>
      <c r="C335" s="32" t="s">
        <v>7582</v>
      </c>
      <c r="D335" s="32" t="s">
        <v>7583</v>
      </c>
      <c r="E335" s="32" t="s">
        <v>7584</v>
      </c>
      <c r="F335" s="33" t="s">
        <v>7585</v>
      </c>
      <c r="G335" s="35" t="s">
        <v>7586</v>
      </c>
      <c r="H335" s="34"/>
      <c r="I335" s="34"/>
    </row>
    <row r="336">
      <c r="A336" s="32" t="s">
        <v>1386</v>
      </c>
      <c r="B336" s="32" t="s">
        <v>7587</v>
      </c>
      <c r="C336" s="32" t="s">
        <v>7588</v>
      </c>
      <c r="D336" s="32" t="s">
        <v>7589</v>
      </c>
      <c r="E336" s="32" t="s">
        <v>7590</v>
      </c>
      <c r="F336" s="33" t="s">
        <v>7591</v>
      </c>
      <c r="G336" s="35" t="s">
        <v>7592</v>
      </c>
      <c r="H336" s="34"/>
      <c r="I336" s="34"/>
    </row>
    <row r="337">
      <c r="A337" s="32" t="s">
        <v>1393</v>
      </c>
      <c r="B337" s="32" t="s">
        <v>7593</v>
      </c>
      <c r="C337" s="32" t="s">
        <v>7594</v>
      </c>
      <c r="D337" s="32" t="s">
        <v>7595</v>
      </c>
      <c r="E337" s="32" t="s">
        <v>7596</v>
      </c>
      <c r="F337" s="33" t="s">
        <v>7597</v>
      </c>
      <c r="G337" s="35" t="s">
        <v>7598</v>
      </c>
      <c r="H337" s="34"/>
      <c r="I337" s="34"/>
    </row>
    <row r="338">
      <c r="A338" s="32" t="s">
        <v>1397</v>
      </c>
      <c r="B338" s="32" t="s">
        <v>7599</v>
      </c>
      <c r="C338" s="32" t="s">
        <v>7600</v>
      </c>
      <c r="D338" s="32" t="s">
        <v>7601</v>
      </c>
      <c r="E338" s="32" t="s">
        <v>7602</v>
      </c>
      <c r="F338" s="33" t="s">
        <v>7603</v>
      </c>
      <c r="G338" s="35" t="s">
        <v>7604</v>
      </c>
      <c r="H338" s="34"/>
      <c r="I338" s="34"/>
    </row>
    <row r="339">
      <c r="A339" s="32" t="s">
        <v>1401</v>
      </c>
      <c r="B339" s="32" t="s">
        <v>7605</v>
      </c>
      <c r="C339" s="32" t="s">
        <v>7606</v>
      </c>
      <c r="D339" s="32" t="s">
        <v>7607</v>
      </c>
      <c r="E339" s="32" t="s">
        <v>7608</v>
      </c>
      <c r="F339" s="33" t="s">
        <v>7609</v>
      </c>
      <c r="G339" s="35" t="s">
        <v>7610</v>
      </c>
      <c r="H339" s="34"/>
      <c r="I339" s="34"/>
    </row>
    <row r="340">
      <c r="A340" s="32" t="s">
        <v>1410</v>
      </c>
      <c r="B340" s="32" t="s">
        <v>7611</v>
      </c>
      <c r="C340" s="32" t="s">
        <v>7612</v>
      </c>
      <c r="D340" s="32" t="s">
        <v>7613</v>
      </c>
      <c r="E340" s="32" t="s">
        <v>7614</v>
      </c>
      <c r="F340" s="33" t="s">
        <v>7615</v>
      </c>
      <c r="G340" s="35" t="s">
        <v>7616</v>
      </c>
      <c r="H340" s="34"/>
      <c r="I340" s="34"/>
    </row>
    <row r="341">
      <c r="A341" s="32" t="s">
        <v>1417</v>
      </c>
      <c r="B341" s="32" t="s">
        <v>7617</v>
      </c>
      <c r="C341" s="32" t="s">
        <v>7618</v>
      </c>
      <c r="D341" s="32" t="s">
        <v>7619</v>
      </c>
      <c r="E341" s="32" t="s">
        <v>7620</v>
      </c>
      <c r="F341" s="33" t="s">
        <v>7621</v>
      </c>
      <c r="G341" s="35" t="s">
        <v>7622</v>
      </c>
      <c r="H341" s="34"/>
      <c r="I341" s="34"/>
    </row>
    <row r="342">
      <c r="A342" s="32" t="s">
        <v>1421</v>
      </c>
      <c r="B342" s="32" t="s">
        <v>7617</v>
      </c>
      <c r="C342" s="32" t="s">
        <v>7618</v>
      </c>
      <c r="D342" s="32" t="s">
        <v>7619</v>
      </c>
      <c r="E342" s="32" t="s">
        <v>7620</v>
      </c>
      <c r="F342" s="33" t="s">
        <v>7621</v>
      </c>
      <c r="G342" s="35" t="s">
        <v>7623</v>
      </c>
      <c r="H342" s="34"/>
      <c r="I342" s="34"/>
    </row>
    <row r="343">
      <c r="A343" s="32" t="s">
        <v>1425</v>
      </c>
      <c r="B343" s="32" t="s">
        <v>7611</v>
      </c>
      <c r="C343" s="32" t="s">
        <v>7612</v>
      </c>
      <c r="D343" s="32" t="s">
        <v>7613</v>
      </c>
      <c r="E343" s="32" t="s">
        <v>7614</v>
      </c>
      <c r="F343" s="33" t="s">
        <v>7615</v>
      </c>
      <c r="G343" s="35" t="s">
        <v>7624</v>
      </c>
      <c r="H343" s="34"/>
      <c r="I343" s="34"/>
    </row>
    <row r="344">
      <c r="A344" s="32" t="s">
        <v>1428</v>
      </c>
      <c r="B344" s="32" t="s">
        <v>7611</v>
      </c>
      <c r="C344" s="32" t="s">
        <v>7612</v>
      </c>
      <c r="D344" s="32" t="s">
        <v>7613</v>
      </c>
      <c r="E344" s="32" t="s">
        <v>7614</v>
      </c>
      <c r="F344" s="33" t="s">
        <v>7615</v>
      </c>
      <c r="G344" s="35" t="s">
        <v>7625</v>
      </c>
      <c r="H344" s="34"/>
      <c r="I344" s="34"/>
    </row>
    <row r="345">
      <c r="A345" s="32" t="s">
        <v>1431</v>
      </c>
      <c r="B345" s="32" t="s">
        <v>7626</v>
      </c>
      <c r="C345" s="32" t="s">
        <v>7627</v>
      </c>
      <c r="D345" s="32" t="s">
        <v>7628</v>
      </c>
      <c r="E345" s="32" t="s">
        <v>7629</v>
      </c>
      <c r="F345" s="33" t="s">
        <v>7630</v>
      </c>
      <c r="G345" s="35" t="s">
        <v>7631</v>
      </c>
      <c r="H345" s="34"/>
      <c r="I345" s="34"/>
    </row>
    <row r="346">
      <c r="A346" s="32" t="s">
        <v>1438</v>
      </c>
      <c r="B346" s="32" t="s">
        <v>7632</v>
      </c>
      <c r="C346" s="32" t="s">
        <v>7633</v>
      </c>
      <c r="D346" s="32" t="s">
        <v>7634</v>
      </c>
      <c r="E346" s="32" t="s">
        <v>7635</v>
      </c>
      <c r="F346" s="33" t="s">
        <v>7636</v>
      </c>
      <c r="G346" s="35" t="s">
        <v>7637</v>
      </c>
      <c r="H346" s="34"/>
      <c r="I346" s="34"/>
    </row>
    <row r="347">
      <c r="A347" s="32" t="s">
        <v>1442</v>
      </c>
      <c r="B347" s="32" t="s">
        <v>7638</v>
      </c>
      <c r="C347" s="32" t="s">
        <v>7639</v>
      </c>
      <c r="D347" s="32" t="s">
        <v>7640</v>
      </c>
      <c r="E347" s="32" t="s">
        <v>7641</v>
      </c>
      <c r="F347" s="33" t="s">
        <v>7642</v>
      </c>
      <c r="G347" s="35" t="s">
        <v>7643</v>
      </c>
      <c r="H347" s="34"/>
      <c r="I347" s="34"/>
    </row>
    <row r="348">
      <c r="A348" s="32" t="s">
        <v>1448</v>
      </c>
      <c r="B348" s="32" t="s">
        <v>7644</v>
      </c>
      <c r="C348" s="32" t="s">
        <v>7645</v>
      </c>
      <c r="D348" s="32" t="s">
        <v>7646</v>
      </c>
      <c r="E348" s="32" t="s">
        <v>7647</v>
      </c>
      <c r="F348" s="33" t="s">
        <v>7648</v>
      </c>
      <c r="G348" s="35" t="s">
        <v>7649</v>
      </c>
      <c r="H348" s="34"/>
      <c r="I348" s="34"/>
    </row>
    <row r="349">
      <c r="A349" s="32" t="s">
        <v>1452</v>
      </c>
      <c r="B349" s="32" t="s">
        <v>7650</v>
      </c>
      <c r="C349" s="32" t="s">
        <v>7651</v>
      </c>
      <c r="D349" s="32" t="s">
        <v>7652</v>
      </c>
      <c r="E349" s="32" t="s">
        <v>7653</v>
      </c>
      <c r="F349" s="33" t="s">
        <v>7654</v>
      </c>
      <c r="G349" s="35" t="s">
        <v>7655</v>
      </c>
      <c r="H349" s="34"/>
      <c r="I349" s="34"/>
    </row>
    <row r="350">
      <c r="A350" s="32" t="s">
        <v>1460</v>
      </c>
      <c r="B350" s="32" t="s">
        <v>7656</v>
      </c>
      <c r="C350" s="32" t="s">
        <v>7657</v>
      </c>
      <c r="D350" s="32" t="s">
        <v>7658</v>
      </c>
      <c r="E350" s="32" t="s">
        <v>7659</v>
      </c>
      <c r="F350" s="33" t="s">
        <v>7660</v>
      </c>
      <c r="G350" s="35" t="s">
        <v>7661</v>
      </c>
      <c r="H350" s="34"/>
      <c r="I350" s="34"/>
    </row>
    <row r="351">
      <c r="A351" s="32" t="s">
        <v>1464</v>
      </c>
      <c r="B351" s="32" t="s">
        <v>7662</v>
      </c>
      <c r="C351" s="32" t="s">
        <v>7663</v>
      </c>
      <c r="D351" s="32" t="s">
        <v>7664</v>
      </c>
      <c r="E351" s="32" t="s">
        <v>7665</v>
      </c>
      <c r="F351" s="33" t="s">
        <v>7666</v>
      </c>
      <c r="G351" s="35" t="s">
        <v>7667</v>
      </c>
      <c r="H351" s="34"/>
      <c r="I351" s="34"/>
    </row>
    <row r="352">
      <c r="A352" s="32" t="s">
        <v>1468</v>
      </c>
      <c r="B352" s="32" t="s">
        <v>7668</v>
      </c>
      <c r="C352" s="32" t="s">
        <v>7669</v>
      </c>
      <c r="D352" s="32" t="s">
        <v>7670</v>
      </c>
      <c r="E352" s="32" t="s">
        <v>7671</v>
      </c>
      <c r="F352" s="33" t="s">
        <v>7672</v>
      </c>
      <c r="G352" s="35" t="s">
        <v>7673</v>
      </c>
      <c r="H352" s="34"/>
      <c r="I352" s="34"/>
    </row>
    <row r="353">
      <c r="A353" s="32" t="s">
        <v>1472</v>
      </c>
      <c r="B353" s="32" t="s">
        <v>7674</v>
      </c>
      <c r="C353" s="32" t="s">
        <v>7675</v>
      </c>
      <c r="D353" s="32" t="s">
        <v>7676</v>
      </c>
      <c r="E353" s="32" t="s">
        <v>7677</v>
      </c>
      <c r="F353" s="33" t="s">
        <v>7678</v>
      </c>
      <c r="G353" s="35" t="s">
        <v>7679</v>
      </c>
      <c r="H353" s="34"/>
      <c r="I353" s="34"/>
    </row>
    <row r="354">
      <c r="A354" s="32" t="s">
        <v>1478</v>
      </c>
      <c r="B354" s="32" t="s">
        <v>7680</v>
      </c>
      <c r="C354" s="32" t="s">
        <v>7681</v>
      </c>
      <c r="D354" s="32" t="s">
        <v>7682</v>
      </c>
      <c r="E354" s="32" t="s">
        <v>7683</v>
      </c>
      <c r="F354" s="33" t="s">
        <v>7684</v>
      </c>
      <c r="G354" s="35" t="s">
        <v>7685</v>
      </c>
      <c r="H354" s="34"/>
      <c r="I354" s="34"/>
    </row>
    <row r="355">
      <c r="A355" s="32" t="s">
        <v>1482</v>
      </c>
      <c r="B355" s="32" t="s">
        <v>7626</v>
      </c>
      <c r="C355" s="32" t="s">
        <v>7627</v>
      </c>
      <c r="D355" s="32" t="s">
        <v>7628</v>
      </c>
      <c r="E355" s="32" t="s">
        <v>7629</v>
      </c>
      <c r="F355" s="33" t="s">
        <v>7630</v>
      </c>
      <c r="G355" s="35" t="s">
        <v>7686</v>
      </c>
      <c r="H355" s="34"/>
      <c r="I355" s="34"/>
    </row>
    <row r="356">
      <c r="A356" s="32" t="s">
        <v>1485</v>
      </c>
      <c r="B356" s="32" t="s">
        <v>7656</v>
      </c>
      <c r="C356" s="32" t="s">
        <v>7657</v>
      </c>
      <c r="D356" s="32" t="s">
        <v>7658</v>
      </c>
      <c r="E356" s="32" t="s">
        <v>7659</v>
      </c>
      <c r="F356" s="33" t="s">
        <v>7660</v>
      </c>
      <c r="G356" s="35" t="s">
        <v>7687</v>
      </c>
      <c r="H356" s="34"/>
      <c r="I356" s="34"/>
    </row>
    <row r="357">
      <c r="A357" s="32" t="s">
        <v>1488</v>
      </c>
      <c r="B357" s="32" t="s">
        <v>7688</v>
      </c>
      <c r="C357" s="32" t="s">
        <v>7689</v>
      </c>
      <c r="D357" s="32" t="s">
        <v>7690</v>
      </c>
      <c r="E357" s="32" t="s">
        <v>7691</v>
      </c>
      <c r="F357" s="33" t="s">
        <v>7692</v>
      </c>
      <c r="G357" s="35" t="s">
        <v>7693</v>
      </c>
      <c r="H357" s="34"/>
      <c r="I357" s="34"/>
    </row>
    <row r="358">
      <c r="A358" s="32" t="s">
        <v>1492</v>
      </c>
      <c r="B358" s="32" t="s">
        <v>7605</v>
      </c>
      <c r="C358" s="32" t="s">
        <v>7606</v>
      </c>
      <c r="D358" s="32" t="s">
        <v>7607</v>
      </c>
      <c r="E358" s="32" t="s">
        <v>7608</v>
      </c>
      <c r="F358" s="33" t="s">
        <v>7609</v>
      </c>
      <c r="G358" s="35" t="s">
        <v>7694</v>
      </c>
      <c r="H358" s="34"/>
      <c r="I358" s="34"/>
    </row>
    <row r="359">
      <c r="A359" s="32" t="s">
        <v>1496</v>
      </c>
      <c r="B359" s="32" t="s">
        <v>7695</v>
      </c>
      <c r="C359" s="32" t="s">
        <v>7696</v>
      </c>
      <c r="D359" s="32" t="s">
        <v>7697</v>
      </c>
      <c r="E359" s="32" t="s">
        <v>7698</v>
      </c>
      <c r="F359" s="33" t="s">
        <v>7699</v>
      </c>
      <c r="G359" s="35" t="s">
        <v>7700</v>
      </c>
      <c r="H359" s="34"/>
      <c r="I359" s="34"/>
    </row>
    <row r="360">
      <c r="A360" s="32" t="s">
        <v>1503</v>
      </c>
      <c r="B360" s="32" t="s">
        <v>7701</v>
      </c>
      <c r="C360" s="32" t="s">
        <v>7702</v>
      </c>
      <c r="D360" s="32" t="s">
        <v>7703</v>
      </c>
      <c r="E360" s="32" t="s">
        <v>7704</v>
      </c>
      <c r="F360" s="33" t="s">
        <v>7705</v>
      </c>
      <c r="G360" s="35" t="s">
        <v>7706</v>
      </c>
      <c r="H360" s="34"/>
      <c r="I360" s="34"/>
    </row>
    <row r="361">
      <c r="A361" s="32" t="s">
        <v>1509</v>
      </c>
      <c r="B361" s="32" t="s">
        <v>7707</v>
      </c>
      <c r="C361" s="32" t="s">
        <v>7708</v>
      </c>
      <c r="D361" s="32" t="s">
        <v>7709</v>
      </c>
      <c r="E361" s="32" t="s">
        <v>7710</v>
      </c>
      <c r="F361" s="33" t="s">
        <v>7711</v>
      </c>
      <c r="G361" s="35" t="s">
        <v>7712</v>
      </c>
      <c r="H361" s="34"/>
      <c r="I361" s="34"/>
    </row>
    <row r="362">
      <c r="A362" s="32" t="s">
        <v>1513</v>
      </c>
      <c r="B362" s="32" t="s">
        <v>7713</v>
      </c>
      <c r="C362" s="32" t="s">
        <v>7714</v>
      </c>
      <c r="D362" s="32" t="s">
        <v>7715</v>
      </c>
      <c r="E362" s="32" t="s">
        <v>7716</v>
      </c>
      <c r="F362" s="33" t="s">
        <v>7717</v>
      </c>
      <c r="G362" s="35" t="s">
        <v>7718</v>
      </c>
      <c r="H362" s="34"/>
      <c r="I362" s="34"/>
    </row>
    <row r="363">
      <c r="A363" s="32" t="s">
        <v>1517</v>
      </c>
      <c r="B363" s="32" t="s">
        <v>7719</v>
      </c>
      <c r="C363" s="32" t="s">
        <v>7720</v>
      </c>
      <c r="D363" s="32" t="s">
        <v>7721</v>
      </c>
      <c r="E363" s="32" t="s">
        <v>7722</v>
      </c>
      <c r="F363" s="33" t="s">
        <v>7723</v>
      </c>
      <c r="G363" s="35" t="s">
        <v>7724</v>
      </c>
      <c r="H363" s="34"/>
      <c r="I363" s="34"/>
    </row>
    <row r="364">
      <c r="A364" s="32" t="s">
        <v>1521</v>
      </c>
      <c r="B364" s="32" t="s">
        <v>7626</v>
      </c>
      <c r="C364" s="32" t="s">
        <v>7627</v>
      </c>
      <c r="D364" s="32" t="s">
        <v>7628</v>
      </c>
      <c r="E364" s="32" t="s">
        <v>7629</v>
      </c>
      <c r="F364" s="33" t="s">
        <v>7630</v>
      </c>
      <c r="G364" s="35" t="s">
        <v>7725</v>
      </c>
      <c r="H364" s="34"/>
      <c r="I364" s="34"/>
    </row>
    <row r="365">
      <c r="A365" s="32" t="s">
        <v>1525</v>
      </c>
      <c r="B365" s="32" t="s">
        <v>7726</v>
      </c>
      <c r="C365" s="32" t="s">
        <v>7727</v>
      </c>
      <c r="D365" s="32" t="s">
        <v>7728</v>
      </c>
      <c r="E365" s="32" t="s">
        <v>7729</v>
      </c>
      <c r="F365" s="33" t="s">
        <v>7730</v>
      </c>
      <c r="G365" s="35" t="s">
        <v>7731</v>
      </c>
      <c r="H365" s="34"/>
      <c r="I365" s="34"/>
    </row>
    <row r="366">
      <c r="A366" s="32" t="s">
        <v>1529</v>
      </c>
      <c r="B366" s="32" t="s">
        <v>7587</v>
      </c>
      <c r="C366" s="32" t="s">
        <v>7588</v>
      </c>
      <c r="D366" s="32" t="s">
        <v>7589</v>
      </c>
      <c r="E366" s="32" t="s">
        <v>7590</v>
      </c>
      <c r="F366" s="33" t="s">
        <v>7591</v>
      </c>
      <c r="G366" s="35" t="s">
        <v>7732</v>
      </c>
      <c r="H366" s="34"/>
      <c r="I366" s="34"/>
    </row>
    <row r="367">
      <c r="A367" s="32" t="s">
        <v>1532</v>
      </c>
      <c r="B367" s="32" t="s">
        <v>7733</v>
      </c>
      <c r="C367" s="32" t="s">
        <v>7734</v>
      </c>
      <c r="D367" s="32" t="s">
        <v>7735</v>
      </c>
      <c r="E367" s="32" t="s">
        <v>7736</v>
      </c>
      <c r="F367" s="33" t="s">
        <v>7737</v>
      </c>
      <c r="G367" s="35" t="s">
        <v>7738</v>
      </c>
      <c r="H367" s="34"/>
      <c r="I367" s="34"/>
    </row>
    <row r="368">
      <c r="A368" s="32" t="s">
        <v>1536</v>
      </c>
      <c r="B368" s="32" t="s">
        <v>7719</v>
      </c>
      <c r="C368" s="32" t="s">
        <v>7720</v>
      </c>
      <c r="D368" s="32" t="s">
        <v>7721</v>
      </c>
      <c r="E368" s="32" t="s">
        <v>7722</v>
      </c>
      <c r="F368" s="33" t="s">
        <v>7723</v>
      </c>
      <c r="G368" s="35" t="s">
        <v>7739</v>
      </c>
      <c r="H368" s="34"/>
      <c r="I368" s="34"/>
    </row>
    <row r="369">
      <c r="A369" s="32" t="s">
        <v>1540</v>
      </c>
      <c r="B369" s="32" t="s">
        <v>7740</v>
      </c>
      <c r="C369" s="32" t="s">
        <v>7741</v>
      </c>
      <c r="D369" s="32" t="s">
        <v>7742</v>
      </c>
      <c r="E369" s="32" t="s">
        <v>7743</v>
      </c>
      <c r="F369" s="33" t="s">
        <v>7744</v>
      </c>
      <c r="G369" s="35" t="s">
        <v>7745</v>
      </c>
      <c r="H369" s="34"/>
      <c r="I369" s="34"/>
    </row>
    <row r="370">
      <c r="A370" s="32" t="s">
        <v>1544</v>
      </c>
      <c r="B370" s="32" t="s">
        <v>7587</v>
      </c>
      <c r="C370" s="32" t="s">
        <v>7588</v>
      </c>
      <c r="D370" s="32" t="s">
        <v>7589</v>
      </c>
      <c r="E370" s="32" t="s">
        <v>7590</v>
      </c>
      <c r="F370" s="33" t="s">
        <v>7591</v>
      </c>
      <c r="G370" s="35" t="s">
        <v>7746</v>
      </c>
      <c r="H370" s="34"/>
      <c r="I370" s="34"/>
    </row>
    <row r="371">
      <c r="A371" s="32" t="s">
        <v>16</v>
      </c>
      <c r="B371" s="32" t="s">
        <v>5979</v>
      </c>
      <c r="C371" s="32" t="s">
        <v>5980</v>
      </c>
      <c r="D371" s="32" t="s">
        <v>5981</v>
      </c>
      <c r="E371" s="32" t="s">
        <v>5982</v>
      </c>
      <c r="F371" s="33" t="s">
        <v>6431</v>
      </c>
      <c r="G371" s="35" t="s">
        <v>7747</v>
      </c>
      <c r="H371" s="34"/>
      <c r="I371" s="34"/>
    </row>
    <row r="372">
      <c r="A372" s="32" t="s">
        <v>1547</v>
      </c>
      <c r="B372" s="32" t="s">
        <v>7748</v>
      </c>
      <c r="C372" s="32" t="s">
        <v>7749</v>
      </c>
      <c r="D372" s="32" t="s">
        <v>7750</v>
      </c>
      <c r="E372" s="32" t="s">
        <v>7751</v>
      </c>
      <c r="F372" s="33" t="s">
        <v>7752</v>
      </c>
      <c r="G372" s="35" t="s">
        <v>7753</v>
      </c>
      <c r="H372" s="34"/>
      <c r="I372" s="34"/>
    </row>
    <row r="373">
      <c r="A373" s="32" t="s">
        <v>1551</v>
      </c>
      <c r="B373" s="32" t="s">
        <v>7748</v>
      </c>
      <c r="C373" s="32" t="s">
        <v>7749</v>
      </c>
      <c r="D373" s="32" t="s">
        <v>7750</v>
      </c>
      <c r="E373" s="32" t="s">
        <v>7751</v>
      </c>
      <c r="F373" s="33" t="s">
        <v>7752</v>
      </c>
      <c r="G373" s="35" t="s">
        <v>7754</v>
      </c>
      <c r="H373" s="34"/>
      <c r="I373" s="34"/>
    </row>
    <row r="374">
      <c r="A374" s="32" t="s">
        <v>1555</v>
      </c>
      <c r="B374" s="32" t="s">
        <v>7587</v>
      </c>
      <c r="C374" s="32" t="s">
        <v>7588</v>
      </c>
      <c r="D374" s="32" t="s">
        <v>7589</v>
      </c>
      <c r="E374" s="32" t="s">
        <v>7590</v>
      </c>
      <c r="F374" s="33" t="s">
        <v>7591</v>
      </c>
      <c r="G374" s="35" t="s">
        <v>7755</v>
      </c>
      <c r="H374" s="34"/>
      <c r="I374" s="34"/>
    </row>
    <row r="375">
      <c r="A375" s="32" t="s">
        <v>1558</v>
      </c>
      <c r="B375" s="32" t="s">
        <v>7668</v>
      </c>
      <c r="C375" s="32" t="s">
        <v>7669</v>
      </c>
      <c r="D375" s="32" t="s">
        <v>7670</v>
      </c>
      <c r="E375" s="32" t="s">
        <v>7671</v>
      </c>
      <c r="F375" s="33" t="s">
        <v>7672</v>
      </c>
      <c r="G375" s="35" t="s">
        <v>7756</v>
      </c>
      <c r="H375" s="34"/>
      <c r="I375" s="34"/>
    </row>
    <row r="376">
      <c r="A376" s="32" t="s">
        <v>1561</v>
      </c>
      <c r="B376" s="32" t="s">
        <v>7090</v>
      </c>
      <c r="C376" s="32" t="s">
        <v>7091</v>
      </c>
      <c r="D376" s="32" t="s">
        <v>7092</v>
      </c>
      <c r="E376" s="32" t="s">
        <v>7093</v>
      </c>
      <c r="F376" s="33" t="s">
        <v>7757</v>
      </c>
      <c r="G376" s="35" t="s">
        <v>7758</v>
      </c>
      <c r="H376" s="34"/>
      <c r="I376" s="34"/>
    </row>
    <row r="377">
      <c r="A377" s="32" t="s">
        <v>1568</v>
      </c>
      <c r="B377" s="32" t="s">
        <v>7759</v>
      </c>
      <c r="C377" s="32" t="s">
        <v>7760</v>
      </c>
      <c r="D377" s="32" t="s">
        <v>7761</v>
      </c>
      <c r="E377" s="32" t="s">
        <v>7762</v>
      </c>
      <c r="F377" s="33" t="s">
        <v>7763</v>
      </c>
      <c r="G377" s="35" t="s">
        <v>7764</v>
      </c>
      <c r="H377" s="34"/>
      <c r="I377" s="34"/>
    </row>
    <row r="378">
      <c r="A378" s="32" t="s">
        <v>1572</v>
      </c>
      <c r="B378" s="32" t="s">
        <v>7765</v>
      </c>
      <c r="C378" s="32" t="s">
        <v>7766</v>
      </c>
      <c r="D378" s="32" t="s">
        <v>7767</v>
      </c>
      <c r="E378" s="32" t="s">
        <v>7768</v>
      </c>
      <c r="F378" s="33" t="s">
        <v>7769</v>
      </c>
      <c r="G378" s="35" t="s">
        <v>7770</v>
      </c>
      <c r="H378" s="34"/>
      <c r="I378" s="34"/>
    </row>
    <row r="379">
      <c r="A379" s="32" t="s">
        <v>26</v>
      </c>
      <c r="B379" s="32" t="s">
        <v>5985</v>
      </c>
      <c r="C379" s="32" t="s">
        <v>5986</v>
      </c>
      <c r="D379" s="32" t="s">
        <v>5987</v>
      </c>
      <c r="E379" s="32" t="s">
        <v>5988</v>
      </c>
      <c r="F379" s="33" t="s">
        <v>5989</v>
      </c>
      <c r="G379" s="35" t="s">
        <v>7771</v>
      </c>
      <c r="H379" s="34"/>
      <c r="I379" s="34"/>
    </row>
    <row r="380">
      <c r="A380" s="32" t="s">
        <v>1577</v>
      </c>
      <c r="B380" s="32" t="s">
        <v>7772</v>
      </c>
      <c r="C380" s="32" t="s">
        <v>7773</v>
      </c>
      <c r="D380" s="32" t="s">
        <v>7774</v>
      </c>
      <c r="E380" s="32" t="s">
        <v>7775</v>
      </c>
      <c r="F380" s="33" t="s">
        <v>7776</v>
      </c>
      <c r="G380" s="35" t="s">
        <v>7777</v>
      </c>
      <c r="H380" s="34"/>
      <c r="I380" s="34"/>
    </row>
    <row r="381">
      <c r="A381" s="32" t="s">
        <v>30</v>
      </c>
      <c r="B381" s="32" t="s">
        <v>5991</v>
      </c>
      <c r="C381" s="32" t="s">
        <v>5992</v>
      </c>
      <c r="D381" s="32" t="s">
        <v>5993</v>
      </c>
      <c r="E381" s="32" t="s">
        <v>5994</v>
      </c>
      <c r="F381" s="33" t="s">
        <v>7778</v>
      </c>
      <c r="G381" s="35" t="s">
        <v>7779</v>
      </c>
      <c r="H381" s="34"/>
      <c r="I381" s="34"/>
    </row>
    <row r="382">
      <c r="A382" s="32" t="s">
        <v>1583</v>
      </c>
      <c r="B382" s="32" t="s">
        <v>7587</v>
      </c>
      <c r="C382" s="32" t="s">
        <v>7588</v>
      </c>
      <c r="D382" s="32" t="s">
        <v>7589</v>
      </c>
      <c r="E382" s="32" t="s">
        <v>7590</v>
      </c>
      <c r="F382" s="33" t="s">
        <v>7591</v>
      </c>
      <c r="G382" s="35" t="s">
        <v>7780</v>
      </c>
      <c r="H382" s="34"/>
      <c r="I382" s="34"/>
    </row>
    <row r="383">
      <c r="A383" s="32" t="s">
        <v>1585</v>
      </c>
      <c r="B383" s="32" t="s">
        <v>7668</v>
      </c>
      <c r="C383" s="32" t="s">
        <v>7669</v>
      </c>
      <c r="D383" s="32" t="s">
        <v>7670</v>
      </c>
      <c r="E383" s="32" t="s">
        <v>7671</v>
      </c>
      <c r="F383" s="33" t="s">
        <v>7672</v>
      </c>
      <c r="G383" s="35" t="s">
        <v>7781</v>
      </c>
      <c r="H383" s="34"/>
      <c r="I383" s="34"/>
    </row>
    <row r="384">
      <c r="A384" s="32" t="s">
        <v>1588</v>
      </c>
      <c r="B384" s="32" t="s">
        <v>7782</v>
      </c>
      <c r="C384" s="32" t="s">
        <v>7783</v>
      </c>
      <c r="D384" s="32" t="s">
        <v>7784</v>
      </c>
      <c r="E384" s="32" t="s">
        <v>7785</v>
      </c>
      <c r="F384" s="33" t="s">
        <v>7786</v>
      </c>
      <c r="G384" s="35" t="s">
        <v>7787</v>
      </c>
      <c r="H384" s="34"/>
      <c r="I384" s="34"/>
    </row>
    <row r="385">
      <c r="A385" s="32" t="s">
        <v>1592</v>
      </c>
      <c r="B385" s="32" t="s">
        <v>7788</v>
      </c>
      <c r="C385" s="32" t="s">
        <v>7789</v>
      </c>
      <c r="D385" s="32" t="s">
        <v>7790</v>
      </c>
      <c r="E385" s="32" t="s">
        <v>7791</v>
      </c>
      <c r="F385" s="33" t="s">
        <v>7792</v>
      </c>
      <c r="G385" s="35" t="s">
        <v>7793</v>
      </c>
      <c r="H385" s="34"/>
      <c r="I385" s="34"/>
    </row>
    <row r="386">
      <c r="A386" s="32" t="s">
        <v>1596</v>
      </c>
      <c r="B386" s="32" t="s">
        <v>7794</v>
      </c>
      <c r="C386" s="32" t="s">
        <v>7795</v>
      </c>
      <c r="D386" s="32" t="s">
        <v>7796</v>
      </c>
      <c r="E386" s="32" t="s">
        <v>7797</v>
      </c>
      <c r="F386" s="33" t="s">
        <v>7798</v>
      </c>
      <c r="G386" s="35" t="s">
        <v>7799</v>
      </c>
      <c r="H386" s="34"/>
      <c r="I386" s="34"/>
    </row>
    <row r="387">
      <c r="A387" s="32" t="s">
        <v>1603</v>
      </c>
      <c r="B387" s="32" t="s">
        <v>7593</v>
      </c>
      <c r="C387" s="32" t="s">
        <v>7594</v>
      </c>
      <c r="D387" s="32" t="s">
        <v>7595</v>
      </c>
      <c r="E387" s="32" t="s">
        <v>7596</v>
      </c>
      <c r="F387" s="33" t="s">
        <v>7597</v>
      </c>
      <c r="G387" s="35" t="s">
        <v>7800</v>
      </c>
      <c r="H387" s="34"/>
      <c r="I387" s="34"/>
    </row>
    <row r="388">
      <c r="A388" s="32" t="s">
        <v>1606</v>
      </c>
      <c r="B388" s="32" t="s">
        <v>7801</v>
      </c>
      <c r="C388" s="32" t="s">
        <v>7802</v>
      </c>
      <c r="D388" s="32" t="s">
        <v>7803</v>
      </c>
      <c r="E388" s="32" t="s">
        <v>7804</v>
      </c>
      <c r="F388" s="33" t="s">
        <v>7805</v>
      </c>
      <c r="G388" s="35" t="s">
        <v>7806</v>
      </c>
      <c r="H388" s="34"/>
      <c r="I388" s="34"/>
    </row>
    <row r="389">
      <c r="A389" s="32" t="s">
        <v>1610</v>
      </c>
      <c r="B389" s="32" t="s">
        <v>7807</v>
      </c>
      <c r="C389" s="32" t="s">
        <v>7808</v>
      </c>
      <c r="D389" s="32" t="s">
        <v>7809</v>
      </c>
      <c r="E389" s="32" t="s">
        <v>7810</v>
      </c>
      <c r="F389" s="33" t="s">
        <v>7811</v>
      </c>
      <c r="G389" s="35" t="s">
        <v>7812</v>
      </c>
      <c r="H389" s="34"/>
      <c r="I389" s="34"/>
    </row>
    <row r="390">
      <c r="A390" s="32" t="s">
        <v>1614</v>
      </c>
      <c r="B390" s="32" t="s">
        <v>7813</v>
      </c>
      <c r="C390" s="32" t="s">
        <v>7814</v>
      </c>
      <c r="D390" s="32" t="s">
        <v>7815</v>
      </c>
      <c r="E390" s="32" t="s">
        <v>7816</v>
      </c>
      <c r="F390" s="33" t="s">
        <v>7817</v>
      </c>
      <c r="G390" s="35" t="s">
        <v>7818</v>
      </c>
      <c r="H390" s="34"/>
      <c r="I390" s="34"/>
    </row>
    <row r="391">
      <c r="A391" s="32" t="s">
        <v>1618</v>
      </c>
      <c r="B391" s="32" t="s">
        <v>7819</v>
      </c>
      <c r="C391" s="32" t="s">
        <v>7820</v>
      </c>
      <c r="D391" s="32" t="s">
        <v>7821</v>
      </c>
      <c r="E391" s="32" t="s">
        <v>7822</v>
      </c>
      <c r="F391" s="33" t="s">
        <v>7823</v>
      </c>
      <c r="G391" s="35" t="s">
        <v>7824</v>
      </c>
      <c r="H391" s="34"/>
      <c r="I391" s="34"/>
    </row>
    <row r="392">
      <c r="A392" s="32" t="s">
        <v>1622</v>
      </c>
      <c r="B392" s="32" t="s">
        <v>7707</v>
      </c>
      <c r="C392" s="32" t="s">
        <v>7708</v>
      </c>
      <c r="D392" s="32" t="s">
        <v>7709</v>
      </c>
      <c r="E392" s="32" t="s">
        <v>7710</v>
      </c>
      <c r="F392" s="33" t="s">
        <v>7711</v>
      </c>
      <c r="G392" s="35" t="s">
        <v>7825</v>
      </c>
      <c r="H392" s="34"/>
      <c r="I392" s="34"/>
    </row>
    <row r="393">
      <c r="A393" s="32" t="s">
        <v>1626</v>
      </c>
      <c r="B393" s="32" t="s">
        <v>7599</v>
      </c>
      <c r="C393" s="32" t="s">
        <v>7600</v>
      </c>
      <c r="D393" s="32" t="s">
        <v>7601</v>
      </c>
      <c r="E393" s="32" t="s">
        <v>7602</v>
      </c>
      <c r="F393" s="33" t="s">
        <v>7603</v>
      </c>
      <c r="G393" s="35" t="s">
        <v>7826</v>
      </c>
      <c r="H393" s="34"/>
      <c r="I393" s="34"/>
    </row>
    <row r="394">
      <c r="A394" s="32" t="s">
        <v>34</v>
      </c>
      <c r="B394" s="32" t="s">
        <v>5997</v>
      </c>
      <c r="C394" s="32" t="s">
        <v>5998</v>
      </c>
      <c r="D394" s="32" t="s">
        <v>5999</v>
      </c>
      <c r="E394" s="32" t="s">
        <v>6000</v>
      </c>
      <c r="F394" s="33" t="s">
        <v>6001</v>
      </c>
      <c r="G394" s="35" t="s">
        <v>7827</v>
      </c>
      <c r="H394" s="34"/>
      <c r="I394" s="34"/>
    </row>
    <row r="395">
      <c r="A395" s="32" t="s">
        <v>38</v>
      </c>
      <c r="B395" s="32" t="s">
        <v>6003</v>
      </c>
      <c r="C395" s="32" t="s">
        <v>6004</v>
      </c>
      <c r="D395" s="32" t="s">
        <v>6005</v>
      </c>
      <c r="E395" s="32" t="s">
        <v>6006</v>
      </c>
      <c r="F395" s="33" t="s">
        <v>6007</v>
      </c>
      <c r="G395" s="35" t="s">
        <v>7828</v>
      </c>
      <c r="H395" s="34"/>
      <c r="I395" s="34"/>
    </row>
    <row r="396">
      <c r="A396" s="32" t="s">
        <v>1631</v>
      </c>
      <c r="B396" s="32" t="s">
        <v>7829</v>
      </c>
      <c r="C396" s="32" t="s">
        <v>7830</v>
      </c>
      <c r="D396" s="32" t="s">
        <v>7831</v>
      </c>
      <c r="E396" s="32" t="s">
        <v>7832</v>
      </c>
      <c r="F396" s="33" t="s">
        <v>7833</v>
      </c>
      <c r="G396" s="35" t="s">
        <v>7834</v>
      </c>
      <c r="H396" s="34"/>
      <c r="I396" s="34"/>
    </row>
    <row r="397">
      <c r="A397" s="32" t="s">
        <v>1635</v>
      </c>
      <c r="B397" s="32" t="s">
        <v>7835</v>
      </c>
      <c r="C397" s="32" t="s">
        <v>7836</v>
      </c>
      <c r="D397" s="32" t="s">
        <v>7837</v>
      </c>
      <c r="E397" s="32" t="s">
        <v>7838</v>
      </c>
      <c r="F397" s="33" t="s">
        <v>7839</v>
      </c>
      <c r="G397" s="35" t="s">
        <v>7840</v>
      </c>
      <c r="H397" s="34"/>
      <c r="I397" s="34"/>
    </row>
    <row r="398">
      <c r="A398" s="32" t="s">
        <v>1639</v>
      </c>
      <c r="B398" s="32" t="s">
        <v>7841</v>
      </c>
      <c r="C398" s="32" t="s">
        <v>7842</v>
      </c>
      <c r="D398" s="32" t="s">
        <v>7843</v>
      </c>
      <c r="E398" s="32" t="s">
        <v>7844</v>
      </c>
      <c r="F398" s="33" t="s">
        <v>7845</v>
      </c>
      <c r="G398" s="35" t="s">
        <v>7846</v>
      </c>
      <c r="H398" s="34"/>
      <c r="I398" s="34"/>
    </row>
    <row r="399">
      <c r="A399" s="32" t="s">
        <v>1645</v>
      </c>
      <c r="B399" s="32" t="s">
        <v>7847</v>
      </c>
      <c r="C399" s="32" t="s">
        <v>7848</v>
      </c>
      <c r="D399" s="32" t="s">
        <v>7849</v>
      </c>
      <c r="E399" s="32" t="s">
        <v>7850</v>
      </c>
      <c r="F399" s="33" t="s">
        <v>7851</v>
      </c>
      <c r="G399" s="35" t="s">
        <v>7852</v>
      </c>
      <c r="H399" s="34"/>
      <c r="I399" s="34"/>
    </row>
    <row r="400">
      <c r="A400" s="32" t="s">
        <v>1649</v>
      </c>
      <c r="B400" s="32" t="s">
        <v>7853</v>
      </c>
      <c r="C400" s="32" t="s">
        <v>7854</v>
      </c>
      <c r="D400" s="32" t="s">
        <v>7855</v>
      </c>
      <c r="E400" s="32" t="s">
        <v>7856</v>
      </c>
      <c r="F400" s="33" t="s">
        <v>7857</v>
      </c>
      <c r="G400" s="35" t="s">
        <v>7858</v>
      </c>
      <c r="H400" s="34"/>
      <c r="I400" s="34"/>
    </row>
    <row r="401">
      <c r="A401" s="32" t="s">
        <v>1653</v>
      </c>
      <c r="B401" s="32" t="s">
        <v>7726</v>
      </c>
      <c r="C401" s="32" t="s">
        <v>7727</v>
      </c>
      <c r="D401" s="32" t="s">
        <v>7728</v>
      </c>
      <c r="E401" s="32" t="s">
        <v>7729</v>
      </c>
      <c r="F401" s="33" t="s">
        <v>7730</v>
      </c>
      <c r="G401" s="35" t="s">
        <v>7859</v>
      </c>
      <c r="H401" s="34"/>
      <c r="I401" s="34"/>
    </row>
    <row r="402">
      <c r="A402" s="32" t="s">
        <v>1657</v>
      </c>
      <c r="B402" s="32" t="s">
        <v>7680</v>
      </c>
      <c r="C402" s="32" t="s">
        <v>7681</v>
      </c>
      <c r="D402" s="32" t="s">
        <v>7682</v>
      </c>
      <c r="E402" s="32" t="s">
        <v>7683</v>
      </c>
      <c r="F402" s="33" t="s">
        <v>7684</v>
      </c>
      <c r="G402" s="35" t="s">
        <v>7860</v>
      </c>
      <c r="H402" s="34"/>
      <c r="I402" s="34"/>
    </row>
    <row r="403">
      <c r="A403" s="32" t="s">
        <v>1661</v>
      </c>
      <c r="B403" s="32" t="s">
        <v>7772</v>
      </c>
      <c r="C403" s="32" t="s">
        <v>7773</v>
      </c>
      <c r="D403" s="32" t="s">
        <v>7774</v>
      </c>
      <c r="E403" s="32" t="s">
        <v>7775</v>
      </c>
      <c r="F403" s="33" t="s">
        <v>7776</v>
      </c>
      <c r="G403" s="35" t="s">
        <v>7861</v>
      </c>
      <c r="H403" s="34"/>
      <c r="I403" s="34"/>
    </row>
    <row r="404">
      <c r="A404" s="32" t="s">
        <v>1665</v>
      </c>
      <c r="B404" s="32" t="s">
        <v>7862</v>
      </c>
      <c r="C404" s="32" t="s">
        <v>7863</v>
      </c>
      <c r="D404" s="32" t="s">
        <v>7864</v>
      </c>
      <c r="E404" s="32" t="s">
        <v>7865</v>
      </c>
      <c r="F404" s="33" t="s">
        <v>7866</v>
      </c>
      <c r="G404" s="35" t="s">
        <v>7867</v>
      </c>
      <c r="H404" s="34"/>
      <c r="I404" s="34"/>
    </row>
    <row r="405">
      <c r="A405" s="32" t="s">
        <v>42</v>
      </c>
      <c r="B405" s="32" t="s">
        <v>7868</v>
      </c>
      <c r="C405" s="32" t="s">
        <v>7869</v>
      </c>
      <c r="D405" s="32" t="s">
        <v>7870</v>
      </c>
      <c r="E405" s="32" t="s">
        <v>7871</v>
      </c>
      <c r="F405" s="33" t="s">
        <v>7872</v>
      </c>
      <c r="G405" s="35" t="s">
        <v>7873</v>
      </c>
      <c r="H405" s="34"/>
      <c r="I405" s="34"/>
    </row>
    <row r="406">
      <c r="A406" s="32" t="s">
        <v>1670</v>
      </c>
      <c r="B406" s="32" t="s">
        <v>7874</v>
      </c>
      <c r="C406" s="32" t="s">
        <v>7875</v>
      </c>
      <c r="D406" s="32" t="s">
        <v>7876</v>
      </c>
      <c r="E406" s="32" t="s">
        <v>7877</v>
      </c>
      <c r="F406" s="33" t="s">
        <v>7878</v>
      </c>
      <c r="G406" s="35" t="s">
        <v>7879</v>
      </c>
      <c r="H406" s="34"/>
      <c r="I406" s="34"/>
    </row>
    <row r="407">
      <c r="A407" s="32" t="s">
        <v>1676</v>
      </c>
      <c r="B407" s="32" t="s">
        <v>7880</v>
      </c>
      <c r="C407" s="32" t="s">
        <v>7881</v>
      </c>
      <c r="D407" s="32" t="s">
        <v>7882</v>
      </c>
      <c r="E407" s="32" t="s">
        <v>7883</v>
      </c>
      <c r="F407" s="33" t="s">
        <v>7884</v>
      </c>
      <c r="G407" s="35" t="s">
        <v>7885</v>
      </c>
      <c r="H407" s="34"/>
      <c r="I407" s="34"/>
    </row>
    <row r="408">
      <c r="A408" s="32" t="s">
        <v>1680</v>
      </c>
      <c r="B408" s="32" t="s">
        <v>7617</v>
      </c>
      <c r="C408" s="32" t="s">
        <v>7618</v>
      </c>
      <c r="D408" s="32" t="s">
        <v>7619</v>
      </c>
      <c r="E408" s="32" t="s">
        <v>7620</v>
      </c>
      <c r="F408" s="33" t="s">
        <v>7621</v>
      </c>
      <c r="G408" s="35" t="s">
        <v>7622</v>
      </c>
      <c r="H408" s="34"/>
      <c r="I408" s="34"/>
    </row>
    <row r="409">
      <c r="A409" s="32" t="s">
        <v>1684</v>
      </c>
      <c r="B409" s="32" t="s">
        <v>7886</v>
      </c>
      <c r="C409" s="32" t="s">
        <v>7887</v>
      </c>
      <c r="D409" s="32" t="s">
        <v>7888</v>
      </c>
      <c r="E409" s="32" t="s">
        <v>7889</v>
      </c>
      <c r="F409" s="33" t="s">
        <v>7890</v>
      </c>
      <c r="G409" s="35" t="s">
        <v>7891</v>
      </c>
      <c r="H409" s="34"/>
      <c r="I409" s="34"/>
    </row>
    <row r="410">
      <c r="A410" s="32" t="s">
        <v>1690</v>
      </c>
      <c r="B410" s="32" t="s">
        <v>7892</v>
      </c>
      <c r="C410" s="32" t="s">
        <v>7893</v>
      </c>
      <c r="D410" s="32" t="s">
        <v>7894</v>
      </c>
      <c r="E410" s="32" t="s">
        <v>7895</v>
      </c>
      <c r="F410" s="33" t="s">
        <v>7896</v>
      </c>
      <c r="G410" s="35" t="s">
        <v>7897</v>
      </c>
      <c r="H410" s="34"/>
      <c r="I410" s="34"/>
    </row>
    <row r="411">
      <c r="A411" s="32" t="s">
        <v>1694</v>
      </c>
      <c r="B411" s="32" t="s">
        <v>7726</v>
      </c>
      <c r="C411" s="32" t="s">
        <v>7727</v>
      </c>
      <c r="D411" s="32" t="s">
        <v>7728</v>
      </c>
      <c r="E411" s="32" t="s">
        <v>7729</v>
      </c>
      <c r="F411" s="33" t="s">
        <v>7730</v>
      </c>
      <c r="G411" s="35" t="s">
        <v>7731</v>
      </c>
      <c r="H411" s="34"/>
      <c r="I411" s="34"/>
    </row>
    <row r="412">
      <c r="A412" s="32" t="s">
        <v>1698</v>
      </c>
      <c r="B412" s="32" t="s">
        <v>7898</v>
      </c>
      <c r="C412" s="32" t="s">
        <v>7899</v>
      </c>
      <c r="D412" s="32" t="s">
        <v>7900</v>
      </c>
      <c r="E412" s="32" t="s">
        <v>7901</v>
      </c>
      <c r="F412" s="33" t="s">
        <v>7902</v>
      </c>
      <c r="G412" s="35" t="s">
        <v>7903</v>
      </c>
      <c r="H412" s="34"/>
      <c r="I412" s="34"/>
    </row>
    <row r="413">
      <c r="A413" s="32" t="s">
        <v>1702</v>
      </c>
      <c r="B413" s="32" t="s">
        <v>7719</v>
      </c>
      <c r="C413" s="32" t="s">
        <v>7720</v>
      </c>
      <c r="D413" s="32" t="s">
        <v>7721</v>
      </c>
      <c r="E413" s="32" t="s">
        <v>7722</v>
      </c>
      <c r="F413" s="33" t="s">
        <v>7723</v>
      </c>
      <c r="G413" s="35" t="s">
        <v>7739</v>
      </c>
      <c r="H413" s="34"/>
      <c r="I413" s="34"/>
    </row>
    <row r="414">
      <c r="A414" s="32" t="s">
        <v>1704</v>
      </c>
      <c r="B414" s="32" t="s">
        <v>7904</v>
      </c>
      <c r="C414" s="32" t="s">
        <v>7905</v>
      </c>
      <c r="D414" s="32" t="s">
        <v>7906</v>
      </c>
      <c r="E414" s="32" t="s">
        <v>7907</v>
      </c>
      <c r="F414" s="33" t="s">
        <v>7908</v>
      </c>
      <c r="G414" s="35" t="s">
        <v>7909</v>
      </c>
      <c r="H414" s="34"/>
      <c r="I414" s="34"/>
    </row>
    <row r="415">
      <c r="A415" s="32" t="s">
        <v>1708</v>
      </c>
      <c r="B415" s="32" t="s">
        <v>7910</v>
      </c>
      <c r="C415" s="32" t="s">
        <v>7911</v>
      </c>
      <c r="D415" s="32" t="s">
        <v>7912</v>
      </c>
      <c r="E415" s="32" t="s">
        <v>7913</v>
      </c>
      <c r="F415" s="33" t="s">
        <v>7914</v>
      </c>
      <c r="G415" s="35" t="s">
        <v>7915</v>
      </c>
      <c r="H415" s="34"/>
      <c r="I415" s="34"/>
    </row>
    <row r="416">
      <c r="A416" s="32" t="s">
        <v>1712</v>
      </c>
      <c r="B416" s="32" t="s">
        <v>7638</v>
      </c>
      <c r="C416" s="32" t="s">
        <v>7639</v>
      </c>
      <c r="D416" s="32" t="s">
        <v>7640</v>
      </c>
      <c r="E416" s="32" t="s">
        <v>7641</v>
      </c>
      <c r="F416" s="33" t="s">
        <v>7642</v>
      </c>
      <c r="G416" s="35" t="s">
        <v>7916</v>
      </c>
      <c r="H416" s="34"/>
      <c r="I416" s="34"/>
    </row>
    <row r="417">
      <c r="A417" s="32" t="s">
        <v>1715</v>
      </c>
      <c r="B417" s="32" t="s">
        <v>7917</v>
      </c>
      <c r="C417" s="32" t="s">
        <v>7918</v>
      </c>
      <c r="D417" s="32" t="s">
        <v>7919</v>
      </c>
      <c r="E417" s="32" t="s">
        <v>7920</v>
      </c>
      <c r="F417" s="33" t="s">
        <v>7921</v>
      </c>
      <c r="G417" s="35" t="s">
        <v>7922</v>
      </c>
      <c r="H417" s="34"/>
      <c r="I417" s="34"/>
    </row>
    <row r="418">
      <c r="A418" s="32" t="s">
        <v>1719</v>
      </c>
      <c r="B418" s="32" t="s">
        <v>7847</v>
      </c>
      <c r="C418" s="32" t="s">
        <v>7848</v>
      </c>
      <c r="D418" s="32" t="s">
        <v>7849</v>
      </c>
      <c r="E418" s="32" t="s">
        <v>7850</v>
      </c>
      <c r="F418" s="33" t="s">
        <v>7851</v>
      </c>
      <c r="G418" s="35" t="s">
        <v>7923</v>
      </c>
      <c r="H418" s="34"/>
      <c r="I418" s="34"/>
    </row>
    <row r="419">
      <c r="A419" s="32" t="s">
        <v>1722</v>
      </c>
      <c r="B419" s="32" t="s">
        <v>7924</v>
      </c>
      <c r="C419" s="32" t="s">
        <v>7925</v>
      </c>
      <c r="D419" s="32" t="s">
        <v>7926</v>
      </c>
      <c r="E419" s="32" t="s">
        <v>7927</v>
      </c>
      <c r="F419" s="33" t="s">
        <v>7928</v>
      </c>
      <c r="G419" s="35" t="s">
        <v>7929</v>
      </c>
      <c r="H419" s="34"/>
      <c r="I419" s="34"/>
    </row>
    <row r="420">
      <c r="A420" s="32" t="s">
        <v>46</v>
      </c>
      <c r="B420" s="32" t="s">
        <v>6015</v>
      </c>
      <c r="C420" s="32" t="s">
        <v>6016</v>
      </c>
      <c r="D420" s="32" t="s">
        <v>6017</v>
      </c>
      <c r="E420" s="32" t="s">
        <v>6018</v>
      </c>
      <c r="F420" s="33" t="s">
        <v>6019</v>
      </c>
      <c r="G420" s="35" t="s">
        <v>7930</v>
      </c>
      <c r="H420" s="34"/>
      <c r="I420" s="34"/>
    </row>
    <row r="421">
      <c r="A421" s="32" t="s">
        <v>1727</v>
      </c>
      <c r="B421" s="32" t="s">
        <v>7726</v>
      </c>
      <c r="C421" s="32" t="s">
        <v>7727</v>
      </c>
      <c r="D421" s="32" t="s">
        <v>7728</v>
      </c>
      <c r="E421" s="32" t="s">
        <v>7729</v>
      </c>
      <c r="F421" s="33" t="s">
        <v>7730</v>
      </c>
      <c r="G421" s="35" t="s">
        <v>7931</v>
      </c>
      <c r="H421" s="34"/>
      <c r="I421" s="34"/>
    </row>
    <row r="422">
      <c r="A422" s="32" t="s">
        <v>1730</v>
      </c>
      <c r="B422" s="32" t="s">
        <v>7932</v>
      </c>
      <c r="C422" s="32" t="s">
        <v>7933</v>
      </c>
      <c r="D422" s="32" t="s">
        <v>7934</v>
      </c>
      <c r="E422" s="32" t="s">
        <v>7935</v>
      </c>
      <c r="F422" s="33" t="s">
        <v>7936</v>
      </c>
      <c r="G422" s="35" t="s">
        <v>7937</v>
      </c>
      <c r="H422" s="34"/>
      <c r="I422" s="34"/>
    </row>
    <row r="423">
      <c r="A423" s="32" t="s">
        <v>1733</v>
      </c>
      <c r="B423" s="32" t="s">
        <v>7599</v>
      </c>
      <c r="C423" s="32" t="s">
        <v>7600</v>
      </c>
      <c r="D423" s="32" t="s">
        <v>7601</v>
      </c>
      <c r="E423" s="32" t="s">
        <v>7602</v>
      </c>
      <c r="F423" s="33" t="s">
        <v>7603</v>
      </c>
      <c r="G423" s="35" t="s">
        <v>7938</v>
      </c>
      <c r="H423" s="34"/>
      <c r="I423" s="34"/>
    </row>
    <row r="424">
      <c r="A424" s="32" t="s">
        <v>50</v>
      </c>
      <c r="B424" s="32" t="s">
        <v>6021</v>
      </c>
      <c r="C424" s="32" t="s">
        <v>6022</v>
      </c>
      <c r="D424" s="32" t="s">
        <v>6023</v>
      </c>
      <c r="E424" s="32" t="s">
        <v>6024</v>
      </c>
      <c r="F424" s="33" t="s">
        <v>6025</v>
      </c>
      <c r="G424" s="35" t="s">
        <v>7939</v>
      </c>
      <c r="H424" s="34"/>
      <c r="I424" s="34"/>
    </row>
    <row r="425">
      <c r="A425" s="32" t="s">
        <v>62</v>
      </c>
      <c r="B425" s="32" t="s">
        <v>5985</v>
      </c>
      <c r="C425" s="32" t="s">
        <v>5986</v>
      </c>
      <c r="D425" s="32" t="s">
        <v>5987</v>
      </c>
      <c r="E425" s="32" t="s">
        <v>5988</v>
      </c>
      <c r="F425" s="33" t="s">
        <v>5989</v>
      </c>
      <c r="G425" s="35" t="s">
        <v>7940</v>
      </c>
      <c r="H425" s="34"/>
      <c r="I425" s="34"/>
    </row>
    <row r="426">
      <c r="A426" s="32" t="s">
        <v>1738</v>
      </c>
      <c r="B426" s="32" t="s">
        <v>7941</v>
      </c>
      <c r="C426" s="32" t="s">
        <v>7942</v>
      </c>
      <c r="D426" s="32" t="s">
        <v>7943</v>
      </c>
      <c r="E426" s="32" t="s">
        <v>7944</v>
      </c>
      <c r="F426" s="33" t="s">
        <v>7945</v>
      </c>
      <c r="G426" s="35" t="s">
        <v>7946</v>
      </c>
      <c r="H426" s="34"/>
      <c r="I426" s="34"/>
    </row>
    <row r="427">
      <c r="A427" s="32" t="s">
        <v>1742</v>
      </c>
      <c r="B427" s="32" t="s">
        <v>7726</v>
      </c>
      <c r="C427" s="32" t="s">
        <v>7727</v>
      </c>
      <c r="D427" s="32" t="s">
        <v>7728</v>
      </c>
      <c r="E427" s="32" t="s">
        <v>7729</v>
      </c>
      <c r="F427" s="33" t="s">
        <v>7730</v>
      </c>
      <c r="G427" s="35" t="s">
        <v>7859</v>
      </c>
      <c r="H427" s="34"/>
      <c r="I427" s="34"/>
    </row>
    <row r="428">
      <c r="A428" s="32" t="s">
        <v>1744</v>
      </c>
      <c r="B428" s="32" t="s">
        <v>7947</v>
      </c>
      <c r="C428" s="32" t="s">
        <v>7948</v>
      </c>
      <c r="D428" s="32" t="s">
        <v>7949</v>
      </c>
      <c r="E428" s="32" t="s">
        <v>7950</v>
      </c>
      <c r="F428" s="33" t="s">
        <v>7951</v>
      </c>
      <c r="G428" s="35" t="s">
        <v>7952</v>
      </c>
      <c r="H428" s="34"/>
      <c r="I428" s="34"/>
    </row>
    <row r="429">
      <c r="A429" s="32" t="s">
        <v>1750</v>
      </c>
      <c r="B429" s="32" t="s">
        <v>7953</v>
      </c>
      <c r="C429" s="32" t="s">
        <v>7954</v>
      </c>
      <c r="D429" s="32" t="s">
        <v>7955</v>
      </c>
      <c r="E429" s="32" t="s">
        <v>7956</v>
      </c>
      <c r="F429" s="33" t="s">
        <v>7957</v>
      </c>
      <c r="G429" s="35" t="s">
        <v>7958</v>
      </c>
      <c r="H429" s="34"/>
      <c r="I429" s="34"/>
    </row>
    <row r="430">
      <c r="A430" s="32" t="s">
        <v>66</v>
      </c>
      <c r="B430" s="32" t="s">
        <v>6034</v>
      </c>
      <c r="C430" s="32" t="s">
        <v>6035</v>
      </c>
      <c r="D430" s="32" t="s">
        <v>6036</v>
      </c>
      <c r="E430" s="32" t="s">
        <v>6037</v>
      </c>
      <c r="F430" s="33" t="s">
        <v>6038</v>
      </c>
      <c r="G430" s="35" t="s">
        <v>6039</v>
      </c>
      <c r="H430" s="34"/>
      <c r="I430" s="34"/>
    </row>
    <row r="431">
      <c r="A431" s="32" t="s">
        <v>1755</v>
      </c>
      <c r="B431" s="32" t="s">
        <v>7807</v>
      </c>
      <c r="C431" s="32" t="s">
        <v>7808</v>
      </c>
      <c r="D431" s="32" t="s">
        <v>7809</v>
      </c>
      <c r="E431" s="32" t="s">
        <v>7810</v>
      </c>
      <c r="F431" s="33" t="s">
        <v>7811</v>
      </c>
      <c r="G431" s="35" t="s">
        <v>7959</v>
      </c>
      <c r="H431" s="34"/>
      <c r="I431" s="34"/>
    </row>
    <row r="432">
      <c r="A432" s="32" t="s">
        <v>1759</v>
      </c>
      <c r="B432" s="32" t="s">
        <v>7960</v>
      </c>
      <c r="C432" s="32" t="s">
        <v>7961</v>
      </c>
      <c r="D432" s="32" t="s">
        <v>7962</v>
      </c>
      <c r="E432" s="32" t="s">
        <v>7963</v>
      </c>
      <c r="F432" s="33" t="s">
        <v>7964</v>
      </c>
      <c r="G432" s="35" t="s">
        <v>7965</v>
      </c>
      <c r="H432" s="34"/>
      <c r="I432" s="34"/>
    </row>
    <row r="433">
      <c r="A433" s="32" t="s">
        <v>1763</v>
      </c>
      <c r="B433" s="32" t="s">
        <v>7966</v>
      </c>
      <c r="C433" s="32" t="s">
        <v>7967</v>
      </c>
      <c r="D433" s="32" t="s">
        <v>7968</v>
      </c>
      <c r="E433" s="32" t="s">
        <v>7969</v>
      </c>
      <c r="F433" s="33" t="s">
        <v>7970</v>
      </c>
      <c r="G433" s="35" t="s">
        <v>7971</v>
      </c>
      <c r="H433" s="34"/>
      <c r="I433" s="34"/>
    </row>
    <row r="434">
      <c r="A434" s="32" t="s">
        <v>1767</v>
      </c>
      <c r="B434" s="32" t="s">
        <v>7972</v>
      </c>
      <c r="C434" s="32" t="s">
        <v>7973</v>
      </c>
      <c r="D434" s="32" t="s">
        <v>7974</v>
      </c>
      <c r="E434" s="32" t="s">
        <v>7975</v>
      </c>
      <c r="F434" s="33" t="s">
        <v>7976</v>
      </c>
      <c r="G434" s="35" t="s">
        <v>7977</v>
      </c>
      <c r="H434" s="34"/>
      <c r="I434" s="34"/>
    </row>
    <row r="435">
      <c r="A435" s="32" t="s">
        <v>1771</v>
      </c>
      <c r="B435" s="32" t="s">
        <v>7978</v>
      </c>
      <c r="C435" s="32" t="s">
        <v>7979</v>
      </c>
      <c r="D435" s="32" t="s">
        <v>7980</v>
      </c>
      <c r="E435" s="32" t="s">
        <v>7981</v>
      </c>
      <c r="F435" s="33" t="s">
        <v>7982</v>
      </c>
      <c r="G435" s="35" t="s">
        <v>7983</v>
      </c>
      <c r="H435" s="34"/>
      <c r="I435" s="34"/>
    </row>
    <row r="436">
      <c r="A436" s="32" t="s">
        <v>1775</v>
      </c>
      <c r="B436" s="32" t="s">
        <v>7772</v>
      </c>
      <c r="C436" s="32" t="s">
        <v>7773</v>
      </c>
      <c r="D436" s="32" t="s">
        <v>7774</v>
      </c>
      <c r="E436" s="32" t="s">
        <v>7775</v>
      </c>
      <c r="F436" s="33" t="s">
        <v>7776</v>
      </c>
      <c r="G436" s="35" t="s">
        <v>7861</v>
      </c>
      <c r="H436" s="34"/>
      <c r="I436" s="34"/>
    </row>
    <row r="437">
      <c r="A437" s="32" t="s">
        <v>1779</v>
      </c>
      <c r="B437" s="32" t="s">
        <v>7772</v>
      </c>
      <c r="C437" s="32" t="s">
        <v>7773</v>
      </c>
      <c r="D437" s="32" t="s">
        <v>7774</v>
      </c>
      <c r="E437" s="32" t="s">
        <v>7775</v>
      </c>
      <c r="F437" s="33" t="s">
        <v>7776</v>
      </c>
      <c r="G437" s="35" t="s">
        <v>7984</v>
      </c>
      <c r="H437" s="34"/>
      <c r="I437" s="34"/>
    </row>
    <row r="438">
      <c r="A438" s="32" t="s">
        <v>1782</v>
      </c>
      <c r="B438" s="32" t="s">
        <v>7807</v>
      </c>
      <c r="C438" s="32" t="s">
        <v>7808</v>
      </c>
      <c r="D438" s="32" t="s">
        <v>7809</v>
      </c>
      <c r="E438" s="32" t="s">
        <v>7810</v>
      </c>
      <c r="F438" s="33" t="s">
        <v>7811</v>
      </c>
      <c r="G438" s="35" t="s">
        <v>7812</v>
      </c>
      <c r="H438" s="34"/>
      <c r="I438" s="34"/>
    </row>
    <row r="439">
      <c r="A439" s="32" t="s">
        <v>1786</v>
      </c>
      <c r="B439" s="32" t="s">
        <v>7985</v>
      </c>
      <c r="C439" s="32" t="s">
        <v>7986</v>
      </c>
      <c r="D439" s="32" t="s">
        <v>7987</v>
      </c>
      <c r="E439" s="32" t="s">
        <v>7988</v>
      </c>
      <c r="F439" s="33" t="s">
        <v>7989</v>
      </c>
      <c r="G439" s="35" t="s">
        <v>7990</v>
      </c>
      <c r="H439" s="34"/>
      <c r="I439" s="34"/>
    </row>
    <row r="440">
      <c r="A440" s="32" t="s">
        <v>1790</v>
      </c>
      <c r="B440" s="32" t="s">
        <v>7991</v>
      </c>
      <c r="C440" s="32" t="s">
        <v>7992</v>
      </c>
      <c r="D440" s="32" t="s">
        <v>7993</v>
      </c>
      <c r="E440" s="32" t="s">
        <v>7994</v>
      </c>
      <c r="F440" s="33" t="s">
        <v>7995</v>
      </c>
      <c r="G440" s="35" t="s">
        <v>7996</v>
      </c>
      <c r="H440" s="34"/>
      <c r="I440" s="34"/>
    </row>
    <row r="441">
      <c r="A441" s="32" t="s">
        <v>1794</v>
      </c>
      <c r="B441" s="32" t="s">
        <v>7997</v>
      </c>
      <c r="C441" s="32" t="s">
        <v>7998</v>
      </c>
      <c r="D441" s="32" t="s">
        <v>7999</v>
      </c>
      <c r="E441" s="32" t="s">
        <v>8000</v>
      </c>
      <c r="F441" s="33" t="s">
        <v>8001</v>
      </c>
      <c r="G441" s="35" t="s">
        <v>8002</v>
      </c>
      <c r="H441" s="34"/>
      <c r="I441" s="34"/>
    </row>
    <row r="442">
      <c r="A442" s="32" t="s">
        <v>1798</v>
      </c>
      <c r="B442" s="32" t="s">
        <v>7605</v>
      </c>
      <c r="C442" s="32" t="s">
        <v>7606</v>
      </c>
      <c r="D442" s="32" t="s">
        <v>7607</v>
      </c>
      <c r="E442" s="32" t="s">
        <v>7608</v>
      </c>
      <c r="F442" s="33" t="s">
        <v>7609</v>
      </c>
      <c r="G442" s="35" t="s">
        <v>8003</v>
      </c>
      <c r="H442" s="34"/>
      <c r="I442" s="34"/>
    </row>
    <row r="443">
      <c r="A443" s="32" t="s">
        <v>1802</v>
      </c>
      <c r="B443" s="32" t="s">
        <v>7638</v>
      </c>
      <c r="C443" s="32" t="s">
        <v>7639</v>
      </c>
      <c r="D443" s="32" t="s">
        <v>7640</v>
      </c>
      <c r="E443" s="32" t="s">
        <v>7641</v>
      </c>
      <c r="F443" s="33" t="s">
        <v>7642</v>
      </c>
      <c r="G443" s="35" t="s">
        <v>8004</v>
      </c>
      <c r="H443" s="34"/>
      <c r="I443" s="34"/>
    </row>
    <row r="444">
      <c r="A444" s="32" t="s">
        <v>1806</v>
      </c>
      <c r="B444" s="32" t="s">
        <v>7772</v>
      </c>
      <c r="C444" s="32" t="s">
        <v>7773</v>
      </c>
      <c r="D444" s="32" t="s">
        <v>7774</v>
      </c>
      <c r="E444" s="32" t="s">
        <v>7775</v>
      </c>
      <c r="F444" s="33" t="s">
        <v>7776</v>
      </c>
      <c r="G444" s="35" t="s">
        <v>8005</v>
      </c>
      <c r="H444" s="34"/>
      <c r="I444" s="34"/>
    </row>
    <row r="445">
      <c r="A445" s="32" t="s">
        <v>70</v>
      </c>
      <c r="B445" s="32" t="s">
        <v>5997</v>
      </c>
      <c r="C445" s="32" t="s">
        <v>5998</v>
      </c>
      <c r="D445" s="32" t="s">
        <v>5999</v>
      </c>
      <c r="E445" s="32" t="s">
        <v>6000</v>
      </c>
      <c r="F445" s="33" t="s">
        <v>6001</v>
      </c>
      <c r="G445" s="35" t="s">
        <v>8006</v>
      </c>
      <c r="H445" s="34"/>
      <c r="I445" s="34"/>
    </row>
    <row r="446">
      <c r="A446" s="32" t="s">
        <v>1810</v>
      </c>
      <c r="B446" s="32" t="s">
        <v>7910</v>
      </c>
      <c r="C446" s="32" t="s">
        <v>7911</v>
      </c>
      <c r="D446" s="32" t="s">
        <v>7912</v>
      </c>
      <c r="E446" s="32" t="s">
        <v>7913</v>
      </c>
      <c r="F446" s="33" t="s">
        <v>7914</v>
      </c>
      <c r="G446" s="35" t="s">
        <v>8007</v>
      </c>
      <c r="H446" s="34"/>
      <c r="I446" s="34"/>
    </row>
    <row r="447">
      <c r="A447" s="32" t="s">
        <v>1814</v>
      </c>
      <c r="B447" s="32" t="s">
        <v>7726</v>
      </c>
      <c r="C447" s="32" t="s">
        <v>7727</v>
      </c>
      <c r="D447" s="32" t="s">
        <v>7728</v>
      </c>
      <c r="E447" s="32" t="s">
        <v>7729</v>
      </c>
      <c r="F447" s="33" t="s">
        <v>7730</v>
      </c>
      <c r="G447" s="35" t="s">
        <v>8008</v>
      </c>
      <c r="H447" s="34"/>
      <c r="I447" s="34"/>
    </row>
    <row r="448">
      <c r="A448" s="32" t="s">
        <v>1817</v>
      </c>
      <c r="B448" s="32" t="s">
        <v>7801</v>
      </c>
      <c r="C448" s="32" t="s">
        <v>7802</v>
      </c>
      <c r="D448" s="32" t="s">
        <v>7803</v>
      </c>
      <c r="E448" s="32" t="s">
        <v>7804</v>
      </c>
      <c r="F448" s="33" t="s">
        <v>7805</v>
      </c>
      <c r="G448" s="35" t="s">
        <v>8009</v>
      </c>
      <c r="H448" s="34"/>
      <c r="I448" s="34"/>
    </row>
    <row r="449">
      <c r="A449" s="32" t="s">
        <v>1821</v>
      </c>
      <c r="B449" s="32" t="s">
        <v>8010</v>
      </c>
      <c r="C449" s="32" t="s">
        <v>8011</v>
      </c>
      <c r="D449" s="32" t="s">
        <v>8012</v>
      </c>
      <c r="E449" s="32" t="s">
        <v>8013</v>
      </c>
      <c r="F449" s="33" t="s">
        <v>8014</v>
      </c>
      <c r="G449" s="35" t="s">
        <v>8015</v>
      </c>
      <c r="H449" s="34"/>
      <c r="I449" s="34"/>
    </row>
    <row r="450">
      <c r="A450" s="32" t="s">
        <v>1828</v>
      </c>
      <c r="B450" s="32" t="s">
        <v>8016</v>
      </c>
      <c r="C450" s="32" t="s">
        <v>8017</v>
      </c>
      <c r="D450" s="32" t="s">
        <v>8018</v>
      </c>
      <c r="E450" s="32" t="s">
        <v>8019</v>
      </c>
      <c r="F450" s="33" t="s">
        <v>8020</v>
      </c>
      <c r="G450" s="35" t="s">
        <v>8021</v>
      </c>
      <c r="H450" s="34"/>
      <c r="I450" s="34"/>
    </row>
    <row r="451">
      <c r="A451" s="32" t="s">
        <v>1832</v>
      </c>
      <c r="B451" s="32" t="s">
        <v>7638</v>
      </c>
      <c r="C451" s="32" t="s">
        <v>7639</v>
      </c>
      <c r="D451" s="32" t="s">
        <v>7640</v>
      </c>
      <c r="E451" s="32" t="s">
        <v>7641</v>
      </c>
      <c r="F451" s="33" t="s">
        <v>7642</v>
      </c>
      <c r="G451" s="35" t="s">
        <v>7643</v>
      </c>
      <c r="H451" s="34"/>
      <c r="I451" s="34"/>
    </row>
    <row r="452">
      <c r="A452" s="32" t="s">
        <v>1835</v>
      </c>
      <c r="B452" s="32" t="s">
        <v>8022</v>
      </c>
      <c r="C452" s="32" t="s">
        <v>8023</v>
      </c>
      <c r="D452" s="32" t="s">
        <v>8024</v>
      </c>
      <c r="E452" s="32" t="s">
        <v>8025</v>
      </c>
      <c r="F452" s="33" t="s">
        <v>8026</v>
      </c>
      <c r="G452" s="35" t="s">
        <v>8027</v>
      </c>
      <c r="H452" s="34"/>
      <c r="I452" s="34"/>
    </row>
    <row r="453">
      <c r="A453" s="32" t="s">
        <v>1839</v>
      </c>
      <c r="B453" s="32" t="s">
        <v>8028</v>
      </c>
      <c r="C453" s="32" t="s">
        <v>8029</v>
      </c>
      <c r="D453" s="32" t="s">
        <v>8030</v>
      </c>
      <c r="E453" s="32" t="s">
        <v>8031</v>
      </c>
      <c r="F453" s="33" t="s">
        <v>8032</v>
      </c>
      <c r="G453" s="35" t="s">
        <v>8033</v>
      </c>
      <c r="H453" s="34"/>
      <c r="I453" s="34"/>
    </row>
    <row r="454">
      <c r="A454" s="32" t="s">
        <v>1843</v>
      </c>
      <c r="B454" s="32" t="s">
        <v>8034</v>
      </c>
      <c r="C454" s="32" t="s">
        <v>8035</v>
      </c>
      <c r="D454" s="32" t="s">
        <v>8036</v>
      </c>
      <c r="E454" s="32" t="s">
        <v>8037</v>
      </c>
      <c r="F454" s="33" t="s">
        <v>8038</v>
      </c>
      <c r="G454" s="35" t="s">
        <v>8039</v>
      </c>
      <c r="H454" s="34"/>
      <c r="I454" s="34"/>
    </row>
    <row r="455">
      <c r="A455" s="32" t="s">
        <v>1847</v>
      </c>
      <c r="B455" s="32" t="s">
        <v>7740</v>
      </c>
      <c r="C455" s="32" t="s">
        <v>7741</v>
      </c>
      <c r="D455" s="32" t="s">
        <v>7742</v>
      </c>
      <c r="E455" s="32" t="s">
        <v>7743</v>
      </c>
      <c r="F455" s="33" t="s">
        <v>7744</v>
      </c>
      <c r="G455" s="35" t="s">
        <v>7745</v>
      </c>
      <c r="H455" s="34"/>
      <c r="I455" s="34"/>
    </row>
    <row r="456">
      <c r="A456" s="32" t="s">
        <v>83</v>
      </c>
      <c r="B456" s="32" t="s">
        <v>6047</v>
      </c>
      <c r="C456" s="32" t="s">
        <v>6048</v>
      </c>
      <c r="D456" s="32" t="s">
        <v>6049</v>
      </c>
      <c r="E456" s="32" t="s">
        <v>6050</v>
      </c>
      <c r="F456" s="33" t="s">
        <v>6051</v>
      </c>
      <c r="G456" s="35" t="s">
        <v>8040</v>
      </c>
      <c r="H456" s="34"/>
      <c r="I456" s="34"/>
    </row>
    <row r="457">
      <c r="A457" s="32" t="s">
        <v>1852</v>
      </c>
      <c r="B457" s="32" t="s">
        <v>8041</v>
      </c>
      <c r="C457" s="32" t="s">
        <v>8042</v>
      </c>
      <c r="D457" s="32" t="s">
        <v>8043</v>
      </c>
      <c r="E457" s="32" t="s">
        <v>8044</v>
      </c>
      <c r="F457" s="33" t="s">
        <v>8045</v>
      </c>
      <c r="G457" s="35" t="s">
        <v>8046</v>
      </c>
      <c r="H457" s="34"/>
      <c r="I457" s="34"/>
    </row>
    <row r="458">
      <c r="A458" s="32" t="s">
        <v>87</v>
      </c>
      <c r="B458" s="32" t="s">
        <v>6053</v>
      </c>
      <c r="C458" s="32" t="s">
        <v>6054</v>
      </c>
      <c r="D458" s="32" t="s">
        <v>6055</v>
      </c>
      <c r="E458" s="32" t="s">
        <v>6056</v>
      </c>
      <c r="F458" s="33" t="s">
        <v>6057</v>
      </c>
      <c r="G458" s="35" t="s">
        <v>8047</v>
      </c>
      <c r="H458" s="34"/>
      <c r="I458" s="34"/>
    </row>
    <row r="459">
      <c r="A459" s="32" t="s">
        <v>1857</v>
      </c>
      <c r="B459" s="32" t="s">
        <v>7644</v>
      </c>
      <c r="C459" s="32" t="s">
        <v>7645</v>
      </c>
      <c r="D459" s="32" t="s">
        <v>7646</v>
      </c>
      <c r="E459" s="32" t="s">
        <v>7647</v>
      </c>
      <c r="F459" s="33" t="s">
        <v>7648</v>
      </c>
      <c r="G459" s="35" t="s">
        <v>8048</v>
      </c>
      <c r="H459" s="34"/>
      <c r="I459" s="34"/>
    </row>
    <row r="460">
      <c r="A460" s="32" t="s">
        <v>1860</v>
      </c>
      <c r="B460" s="32" t="s">
        <v>7599</v>
      </c>
      <c r="C460" s="32" t="s">
        <v>7600</v>
      </c>
      <c r="D460" s="32" t="s">
        <v>7601</v>
      </c>
      <c r="E460" s="32" t="s">
        <v>7602</v>
      </c>
      <c r="F460" s="33" t="s">
        <v>7603</v>
      </c>
      <c r="G460" s="35" t="s">
        <v>8049</v>
      </c>
      <c r="H460" s="34"/>
      <c r="I460" s="34"/>
    </row>
    <row r="461">
      <c r="A461" s="32" t="s">
        <v>1863</v>
      </c>
      <c r="B461" s="32" t="s">
        <v>8050</v>
      </c>
      <c r="C461" s="32" t="s">
        <v>8051</v>
      </c>
      <c r="D461" s="32" t="s">
        <v>8052</v>
      </c>
      <c r="E461" s="32" t="s">
        <v>8053</v>
      </c>
      <c r="F461" s="33" t="s">
        <v>8054</v>
      </c>
      <c r="G461" s="35" t="s">
        <v>8055</v>
      </c>
      <c r="H461" s="34"/>
      <c r="I461" s="34"/>
    </row>
    <row r="462">
      <c r="A462" s="32" t="s">
        <v>1867</v>
      </c>
      <c r="B462" s="32" t="s">
        <v>8056</v>
      </c>
      <c r="C462" s="32" t="s">
        <v>8057</v>
      </c>
      <c r="D462" s="32" t="s">
        <v>8058</v>
      </c>
      <c r="E462" s="32" t="s">
        <v>8059</v>
      </c>
      <c r="F462" s="33" t="s">
        <v>8060</v>
      </c>
      <c r="G462" s="35" t="s">
        <v>8061</v>
      </c>
      <c r="H462" s="34"/>
      <c r="I462" s="34"/>
    </row>
    <row r="463">
      <c r="A463" s="32" t="s">
        <v>1873</v>
      </c>
      <c r="B463" s="32" t="s">
        <v>8062</v>
      </c>
      <c r="C463" s="32" t="s">
        <v>8063</v>
      </c>
      <c r="D463" s="32" t="s">
        <v>8064</v>
      </c>
      <c r="E463" s="32" t="s">
        <v>8065</v>
      </c>
      <c r="F463" s="33" t="s">
        <v>8066</v>
      </c>
      <c r="G463" s="35" t="s">
        <v>8067</v>
      </c>
      <c r="H463" s="34"/>
      <c r="I463" s="34"/>
    </row>
    <row r="464">
      <c r="A464" s="32" t="s">
        <v>1877</v>
      </c>
      <c r="B464" s="32" t="s">
        <v>8068</v>
      </c>
      <c r="C464" s="32" t="s">
        <v>8069</v>
      </c>
      <c r="D464" s="32" t="s">
        <v>8070</v>
      </c>
      <c r="E464" s="32" t="s">
        <v>8071</v>
      </c>
      <c r="F464" s="33" t="s">
        <v>8072</v>
      </c>
      <c r="G464" s="35" t="s">
        <v>8073</v>
      </c>
      <c r="H464" s="34"/>
      <c r="I464" s="34"/>
    </row>
    <row r="465">
      <c r="A465" s="32" t="s">
        <v>1881</v>
      </c>
      <c r="B465" s="32" t="s">
        <v>8074</v>
      </c>
      <c r="C465" s="32" t="s">
        <v>8075</v>
      </c>
      <c r="D465" s="32" t="s">
        <v>8076</v>
      </c>
      <c r="E465" s="32" t="s">
        <v>8077</v>
      </c>
      <c r="F465" s="33" t="s">
        <v>8078</v>
      </c>
      <c r="G465" s="35" t="s">
        <v>8079</v>
      </c>
      <c r="H465" s="34"/>
      <c r="I465" s="34"/>
    </row>
    <row r="466">
      <c r="A466" s="32" t="s">
        <v>90</v>
      </c>
      <c r="B466" s="32" t="s">
        <v>6059</v>
      </c>
      <c r="C466" s="32" t="s">
        <v>6060</v>
      </c>
      <c r="D466" s="32" t="s">
        <v>6061</v>
      </c>
      <c r="E466" s="32" t="s">
        <v>6062</v>
      </c>
      <c r="F466" s="33" t="s">
        <v>8080</v>
      </c>
      <c r="G466" s="35" t="s">
        <v>8081</v>
      </c>
      <c r="H466" s="34"/>
      <c r="I466" s="34"/>
    </row>
    <row r="467">
      <c r="A467" s="32" t="s">
        <v>1886</v>
      </c>
      <c r="B467" s="32" t="s">
        <v>7740</v>
      </c>
      <c r="C467" s="32" t="s">
        <v>7741</v>
      </c>
      <c r="D467" s="32" t="s">
        <v>7742</v>
      </c>
      <c r="E467" s="32" t="s">
        <v>7743</v>
      </c>
      <c r="F467" s="33" t="s">
        <v>7744</v>
      </c>
      <c r="G467" s="35" t="s">
        <v>8082</v>
      </c>
      <c r="H467" s="34"/>
      <c r="I467" s="34"/>
    </row>
    <row r="468">
      <c r="A468" s="32" t="s">
        <v>1889</v>
      </c>
      <c r="B468" s="32" t="s">
        <v>8083</v>
      </c>
      <c r="C468" s="32" t="s">
        <v>8084</v>
      </c>
      <c r="D468" s="32" t="s">
        <v>8085</v>
      </c>
      <c r="E468" s="32" t="s">
        <v>8086</v>
      </c>
      <c r="F468" s="33" t="s">
        <v>8087</v>
      </c>
      <c r="G468" s="35" t="s">
        <v>8088</v>
      </c>
      <c r="H468" s="34"/>
      <c r="I468" s="34"/>
    </row>
    <row r="469">
      <c r="A469" s="32" t="s">
        <v>113</v>
      </c>
      <c r="B469" s="32" t="s">
        <v>6084</v>
      </c>
      <c r="C469" s="32" t="s">
        <v>6085</v>
      </c>
      <c r="D469" s="32" t="s">
        <v>6086</v>
      </c>
      <c r="E469" s="32" t="s">
        <v>6087</v>
      </c>
      <c r="F469" s="33" t="s">
        <v>6088</v>
      </c>
      <c r="G469" s="35" t="s">
        <v>8089</v>
      </c>
      <c r="H469" s="34"/>
      <c r="I469" s="34"/>
    </row>
    <row r="470">
      <c r="A470" s="32" t="s">
        <v>1894</v>
      </c>
      <c r="B470" s="32" t="s">
        <v>8090</v>
      </c>
      <c r="C470" s="32" t="s">
        <v>8091</v>
      </c>
      <c r="D470" s="32" t="s">
        <v>8092</v>
      </c>
      <c r="E470" s="32" t="s">
        <v>8093</v>
      </c>
      <c r="F470" s="33" t="s">
        <v>8094</v>
      </c>
      <c r="G470" s="35" t="s">
        <v>8095</v>
      </c>
      <c r="H470" s="34"/>
      <c r="I470" s="34"/>
    </row>
    <row r="471">
      <c r="A471" s="32" t="s">
        <v>1898</v>
      </c>
      <c r="B471" s="32" t="s">
        <v>7656</v>
      </c>
      <c r="C471" s="32" t="s">
        <v>7657</v>
      </c>
      <c r="D471" s="32" t="s">
        <v>7658</v>
      </c>
      <c r="E471" s="32" t="s">
        <v>7659</v>
      </c>
      <c r="F471" s="33" t="s">
        <v>7660</v>
      </c>
      <c r="G471" s="35" t="s">
        <v>7661</v>
      </c>
      <c r="H471" s="34"/>
      <c r="I471" s="34"/>
    </row>
    <row r="472">
      <c r="A472" s="32" t="s">
        <v>101</v>
      </c>
      <c r="B472" s="32" t="s">
        <v>5985</v>
      </c>
      <c r="C472" s="32" t="s">
        <v>5986</v>
      </c>
      <c r="D472" s="32" t="s">
        <v>5987</v>
      </c>
      <c r="E472" s="32" t="s">
        <v>5988</v>
      </c>
      <c r="F472" s="33" t="s">
        <v>5989</v>
      </c>
      <c r="G472" s="35" t="s">
        <v>8096</v>
      </c>
      <c r="H472" s="34"/>
      <c r="I472" s="34"/>
    </row>
    <row r="473">
      <c r="A473" s="32" t="s">
        <v>1902</v>
      </c>
      <c r="B473" s="32" t="s">
        <v>8097</v>
      </c>
      <c r="C473" s="32" t="s">
        <v>8098</v>
      </c>
      <c r="D473" s="32" t="s">
        <v>8099</v>
      </c>
      <c r="E473" s="32" t="s">
        <v>8100</v>
      </c>
      <c r="F473" s="33" t="s">
        <v>8101</v>
      </c>
      <c r="G473" s="35" t="s">
        <v>8102</v>
      </c>
      <c r="H473" s="34"/>
      <c r="I473" s="34"/>
    </row>
    <row r="474">
      <c r="A474" s="32" t="s">
        <v>105</v>
      </c>
      <c r="B474" s="32" t="s">
        <v>8103</v>
      </c>
      <c r="C474" s="32" t="s">
        <v>8104</v>
      </c>
      <c r="D474" s="32" t="s">
        <v>8105</v>
      </c>
      <c r="E474" s="32" t="s">
        <v>8106</v>
      </c>
      <c r="F474" s="33" t="s">
        <v>8107</v>
      </c>
      <c r="G474" s="35" t="s">
        <v>8108</v>
      </c>
      <c r="H474" s="34"/>
      <c r="I474" s="34"/>
    </row>
    <row r="475">
      <c r="A475" s="32" t="s">
        <v>1909</v>
      </c>
      <c r="B475" s="32" t="s">
        <v>7748</v>
      </c>
      <c r="C475" s="32" t="s">
        <v>7749</v>
      </c>
      <c r="D475" s="32" t="s">
        <v>7750</v>
      </c>
      <c r="E475" s="32" t="s">
        <v>7751</v>
      </c>
      <c r="F475" s="33" t="s">
        <v>7752</v>
      </c>
      <c r="G475" s="35" t="s">
        <v>8109</v>
      </c>
      <c r="H475" s="34"/>
      <c r="I475" s="34"/>
    </row>
    <row r="476">
      <c r="A476" s="32" t="s">
        <v>1913</v>
      </c>
      <c r="B476" s="32" t="s">
        <v>8110</v>
      </c>
      <c r="C476" s="32" t="s">
        <v>8111</v>
      </c>
      <c r="D476" s="32" t="s">
        <v>8112</v>
      </c>
      <c r="E476" s="32" t="s">
        <v>8113</v>
      </c>
      <c r="F476" s="33" t="s">
        <v>8114</v>
      </c>
      <c r="G476" s="35" t="s">
        <v>8115</v>
      </c>
      <c r="H476" s="34"/>
      <c r="I476" s="34"/>
    </row>
    <row r="477">
      <c r="A477" s="32" t="s">
        <v>1917</v>
      </c>
      <c r="B477" s="32" t="s">
        <v>8116</v>
      </c>
      <c r="C477" s="32" t="s">
        <v>8117</v>
      </c>
      <c r="D477" s="32" t="s">
        <v>8118</v>
      </c>
      <c r="E477" s="32" t="s">
        <v>8119</v>
      </c>
      <c r="F477" s="33" t="s">
        <v>8120</v>
      </c>
      <c r="G477" s="35" t="s">
        <v>8121</v>
      </c>
      <c r="H477" s="34"/>
      <c r="I477" s="34"/>
    </row>
    <row r="478">
      <c r="A478" s="32" t="s">
        <v>1924</v>
      </c>
      <c r="B478" s="32" t="s">
        <v>8122</v>
      </c>
      <c r="C478" s="32" t="s">
        <v>8123</v>
      </c>
      <c r="D478" s="32" t="s">
        <v>8124</v>
      </c>
      <c r="E478" s="32" t="s">
        <v>8125</v>
      </c>
      <c r="F478" s="33" t="s">
        <v>8126</v>
      </c>
      <c r="G478" s="35" t="s">
        <v>8127</v>
      </c>
      <c r="H478" s="34"/>
      <c r="I478" s="34"/>
    </row>
    <row r="479">
      <c r="A479" s="32" t="s">
        <v>1928</v>
      </c>
      <c r="B479" s="32" t="s">
        <v>8128</v>
      </c>
      <c r="C479" s="32" t="s">
        <v>8129</v>
      </c>
      <c r="D479" s="32" t="s">
        <v>8130</v>
      </c>
      <c r="E479" s="32" t="s">
        <v>8131</v>
      </c>
      <c r="F479" s="33" t="s">
        <v>8132</v>
      </c>
      <c r="G479" s="35" t="s">
        <v>8133</v>
      </c>
      <c r="H479" s="34"/>
      <c r="I479" s="34"/>
    </row>
    <row r="480">
      <c r="A480" s="32" t="s">
        <v>125</v>
      </c>
      <c r="B480" s="32" t="s">
        <v>6102</v>
      </c>
      <c r="C480" s="32" t="s">
        <v>6103</v>
      </c>
      <c r="D480" s="32" t="s">
        <v>6104</v>
      </c>
      <c r="E480" s="32" t="s">
        <v>6105</v>
      </c>
      <c r="F480" s="33" t="s">
        <v>6106</v>
      </c>
      <c r="G480" s="35" t="s">
        <v>8134</v>
      </c>
      <c r="H480" s="34"/>
      <c r="I480" s="34"/>
    </row>
    <row r="481">
      <c r="A481" s="32" t="s">
        <v>1933</v>
      </c>
      <c r="B481" s="32" t="s">
        <v>7650</v>
      </c>
      <c r="C481" s="32" t="s">
        <v>7651</v>
      </c>
      <c r="D481" s="32" t="s">
        <v>7652</v>
      </c>
      <c r="E481" s="32" t="s">
        <v>7653</v>
      </c>
      <c r="F481" s="33" t="s">
        <v>7654</v>
      </c>
      <c r="G481" s="35" t="s">
        <v>8135</v>
      </c>
      <c r="H481" s="34"/>
      <c r="I481" s="34"/>
    </row>
    <row r="482">
      <c r="A482" s="32" t="s">
        <v>1937</v>
      </c>
      <c r="B482" s="32" t="s">
        <v>8136</v>
      </c>
      <c r="C482" s="32" t="s">
        <v>8137</v>
      </c>
      <c r="D482" s="32" t="s">
        <v>8138</v>
      </c>
      <c r="E482" s="32" t="s">
        <v>8139</v>
      </c>
      <c r="F482" s="33" t="s">
        <v>8140</v>
      </c>
      <c r="G482" s="35" t="s">
        <v>8141</v>
      </c>
      <c r="H482" s="34"/>
      <c r="I482" s="34"/>
    </row>
    <row r="483">
      <c r="A483" s="32" t="s">
        <v>1941</v>
      </c>
      <c r="B483" s="32" t="s">
        <v>7726</v>
      </c>
      <c r="C483" s="32" t="s">
        <v>7727</v>
      </c>
      <c r="D483" s="32" t="s">
        <v>7728</v>
      </c>
      <c r="E483" s="32" t="s">
        <v>7729</v>
      </c>
      <c r="F483" s="33" t="s">
        <v>7730</v>
      </c>
      <c r="G483" s="35" t="s">
        <v>7859</v>
      </c>
      <c r="H483" s="34"/>
      <c r="I483" s="34"/>
    </row>
    <row r="484">
      <c r="A484" s="32" t="s">
        <v>1943</v>
      </c>
      <c r="B484" s="32" t="s">
        <v>8136</v>
      </c>
      <c r="C484" s="32" t="s">
        <v>8137</v>
      </c>
      <c r="D484" s="32" t="s">
        <v>8138</v>
      </c>
      <c r="E484" s="32" t="s">
        <v>8139</v>
      </c>
      <c r="F484" s="33" t="s">
        <v>8140</v>
      </c>
      <c r="G484" s="35" t="s">
        <v>8142</v>
      </c>
      <c r="H484" s="34"/>
      <c r="I484" s="34"/>
    </row>
    <row r="485">
      <c r="A485" s="32" t="s">
        <v>1947</v>
      </c>
      <c r="B485" s="32" t="s">
        <v>8143</v>
      </c>
      <c r="C485" s="32" t="s">
        <v>8144</v>
      </c>
      <c r="D485" s="32" t="s">
        <v>8145</v>
      </c>
      <c r="E485" s="32" t="s">
        <v>8146</v>
      </c>
      <c r="F485" s="33" t="s">
        <v>8147</v>
      </c>
      <c r="G485" s="35" t="s">
        <v>8148</v>
      </c>
      <c r="H485" s="34"/>
      <c r="I485" s="34"/>
    </row>
    <row r="486">
      <c r="A486" s="32" t="s">
        <v>1951</v>
      </c>
      <c r="B486" s="32" t="s">
        <v>7733</v>
      </c>
      <c r="C486" s="32" t="s">
        <v>7734</v>
      </c>
      <c r="D486" s="32" t="s">
        <v>7735</v>
      </c>
      <c r="E486" s="32" t="s">
        <v>7736</v>
      </c>
      <c r="F486" s="33" t="s">
        <v>7737</v>
      </c>
      <c r="G486" s="35" t="s">
        <v>8149</v>
      </c>
      <c r="H486" s="34"/>
      <c r="I486" s="34"/>
    </row>
    <row r="487">
      <c r="A487" s="32" t="s">
        <v>1954</v>
      </c>
      <c r="B487" s="32" t="s">
        <v>8150</v>
      </c>
      <c r="C487" s="32" t="s">
        <v>8151</v>
      </c>
      <c r="D487" s="32" t="s">
        <v>8152</v>
      </c>
      <c r="E487" s="32" t="s">
        <v>8153</v>
      </c>
      <c r="F487" s="33" t="s">
        <v>8154</v>
      </c>
      <c r="G487" s="35" t="s">
        <v>8155</v>
      </c>
      <c r="H487" s="34"/>
      <c r="I487" s="34"/>
    </row>
    <row r="488">
      <c r="A488" s="32" t="s">
        <v>1958</v>
      </c>
      <c r="B488" s="32" t="s">
        <v>6102</v>
      </c>
      <c r="C488" s="32" t="s">
        <v>6103</v>
      </c>
      <c r="D488" s="32" t="s">
        <v>6104</v>
      </c>
      <c r="E488" s="32" t="s">
        <v>6105</v>
      </c>
      <c r="F488" s="33" t="s">
        <v>6106</v>
      </c>
      <c r="G488" s="35" t="s">
        <v>8156</v>
      </c>
      <c r="H488" s="34"/>
      <c r="I488" s="34"/>
    </row>
    <row r="489">
      <c r="A489" s="32" t="s">
        <v>1961</v>
      </c>
      <c r="B489" s="32" t="s">
        <v>8157</v>
      </c>
      <c r="C489" s="32" t="s">
        <v>8158</v>
      </c>
      <c r="D489" s="32" t="s">
        <v>8159</v>
      </c>
      <c r="E489" s="32" t="s">
        <v>8160</v>
      </c>
      <c r="F489" s="33" t="s">
        <v>8161</v>
      </c>
      <c r="G489" s="35" t="s">
        <v>8162</v>
      </c>
      <c r="H489" s="34"/>
      <c r="I489" s="34"/>
    </row>
    <row r="490">
      <c r="A490" s="32" t="s">
        <v>1965</v>
      </c>
      <c r="B490" s="32" t="s">
        <v>8163</v>
      </c>
      <c r="C490" s="32" t="s">
        <v>8164</v>
      </c>
      <c r="D490" s="32" t="s">
        <v>8165</v>
      </c>
      <c r="E490" s="32" t="s">
        <v>8166</v>
      </c>
      <c r="F490" s="33" t="s">
        <v>8167</v>
      </c>
      <c r="G490" s="35" t="s">
        <v>8168</v>
      </c>
      <c r="H490" s="34"/>
      <c r="I490" s="34"/>
    </row>
    <row r="491">
      <c r="A491" s="32" t="s">
        <v>1969</v>
      </c>
      <c r="B491" s="32" t="s">
        <v>7772</v>
      </c>
      <c r="C491" s="32" t="s">
        <v>7773</v>
      </c>
      <c r="D491" s="32" t="s">
        <v>7774</v>
      </c>
      <c r="E491" s="32" t="s">
        <v>7775</v>
      </c>
      <c r="F491" s="33" t="s">
        <v>7776</v>
      </c>
      <c r="G491" s="35" t="s">
        <v>8005</v>
      </c>
      <c r="H491" s="34"/>
      <c r="I491" s="34"/>
    </row>
    <row r="492">
      <c r="A492" s="32" t="s">
        <v>1972</v>
      </c>
      <c r="B492" s="32" t="s">
        <v>8169</v>
      </c>
      <c r="C492" s="32" t="s">
        <v>8170</v>
      </c>
      <c r="D492" s="32" t="s">
        <v>8171</v>
      </c>
      <c r="E492" s="32" t="s">
        <v>8172</v>
      </c>
      <c r="F492" s="33" t="s">
        <v>8173</v>
      </c>
      <c r="G492" s="35" t="s">
        <v>8174</v>
      </c>
      <c r="H492" s="34"/>
      <c r="I492" s="34"/>
    </row>
    <row r="493">
      <c r="A493" s="32" t="s">
        <v>1976</v>
      </c>
      <c r="B493" s="32" t="s">
        <v>8175</v>
      </c>
      <c r="C493" s="32" t="s">
        <v>8176</v>
      </c>
      <c r="D493" s="32" t="s">
        <v>8177</v>
      </c>
      <c r="E493" s="32" t="s">
        <v>8178</v>
      </c>
      <c r="F493" s="33" t="s">
        <v>8179</v>
      </c>
      <c r="G493" s="35" t="s">
        <v>8180</v>
      </c>
      <c r="H493" s="34"/>
      <c r="I493" s="34"/>
    </row>
    <row r="494">
      <c r="A494" s="32" t="s">
        <v>1980</v>
      </c>
      <c r="B494" s="32" t="s">
        <v>8074</v>
      </c>
      <c r="C494" s="32" t="s">
        <v>8075</v>
      </c>
      <c r="D494" s="32" t="s">
        <v>8076</v>
      </c>
      <c r="E494" s="32" t="s">
        <v>8077</v>
      </c>
      <c r="F494" s="33" t="s">
        <v>8078</v>
      </c>
      <c r="G494" s="35" t="s">
        <v>8181</v>
      </c>
      <c r="H494" s="34"/>
      <c r="I494" s="34"/>
    </row>
    <row r="495">
      <c r="A495" s="32" t="s">
        <v>1984</v>
      </c>
      <c r="B495" s="32" t="s">
        <v>8182</v>
      </c>
      <c r="C495" s="32" t="s">
        <v>8183</v>
      </c>
      <c r="D495" s="32" t="s">
        <v>8184</v>
      </c>
      <c r="E495" s="32" t="s">
        <v>8185</v>
      </c>
      <c r="F495" s="33" t="s">
        <v>8186</v>
      </c>
      <c r="G495" s="35" t="s">
        <v>8187</v>
      </c>
      <c r="H495" s="34"/>
      <c r="I495" s="34"/>
    </row>
    <row r="496">
      <c r="A496" s="32" t="s">
        <v>1988</v>
      </c>
      <c r="B496" s="32" t="s">
        <v>8188</v>
      </c>
      <c r="C496" s="32" t="s">
        <v>8189</v>
      </c>
      <c r="D496" s="32" t="s">
        <v>8190</v>
      </c>
      <c r="E496" s="32" t="s">
        <v>8191</v>
      </c>
      <c r="F496" s="33" t="s">
        <v>8192</v>
      </c>
      <c r="G496" s="35" t="s">
        <v>8193</v>
      </c>
      <c r="H496" s="34"/>
      <c r="I496" s="34"/>
    </row>
    <row r="497">
      <c r="A497" s="32" t="s">
        <v>1992</v>
      </c>
      <c r="B497" s="32" t="s">
        <v>8194</v>
      </c>
      <c r="C497" s="32" t="s">
        <v>8195</v>
      </c>
      <c r="D497" s="32" t="s">
        <v>8196</v>
      </c>
      <c r="E497" s="32" t="s">
        <v>8197</v>
      </c>
      <c r="F497" s="33" t="s">
        <v>8198</v>
      </c>
      <c r="G497" s="35" t="s">
        <v>8199</v>
      </c>
      <c r="H497" s="34"/>
      <c r="I497" s="34"/>
    </row>
    <row r="498">
      <c r="A498" s="32" t="s">
        <v>1996</v>
      </c>
      <c r="B498" s="32" t="s">
        <v>7644</v>
      </c>
      <c r="C498" s="32" t="s">
        <v>7645</v>
      </c>
      <c r="D498" s="32" t="s">
        <v>7646</v>
      </c>
      <c r="E498" s="32" t="s">
        <v>7647</v>
      </c>
      <c r="F498" s="33" t="s">
        <v>7648</v>
      </c>
      <c r="G498" s="35" t="s">
        <v>8200</v>
      </c>
      <c r="H498" s="34"/>
      <c r="I498" s="34"/>
    </row>
    <row r="499">
      <c r="A499" s="32" t="s">
        <v>1999</v>
      </c>
      <c r="B499" s="32" t="s">
        <v>8022</v>
      </c>
      <c r="C499" s="32" t="s">
        <v>8023</v>
      </c>
      <c r="D499" s="32" t="s">
        <v>8024</v>
      </c>
      <c r="E499" s="32" t="s">
        <v>8025</v>
      </c>
      <c r="F499" s="33" t="s">
        <v>8026</v>
      </c>
      <c r="G499" s="35" t="s">
        <v>8201</v>
      </c>
      <c r="H499" s="34"/>
      <c r="I499" s="34"/>
    </row>
    <row r="500">
      <c r="A500" s="32" t="s">
        <v>2002</v>
      </c>
      <c r="B500" s="32" t="s">
        <v>8202</v>
      </c>
      <c r="C500" s="32" t="s">
        <v>8203</v>
      </c>
      <c r="D500" s="32" t="s">
        <v>8204</v>
      </c>
      <c r="E500" s="32" t="s">
        <v>8205</v>
      </c>
      <c r="F500" s="33" t="s">
        <v>8206</v>
      </c>
      <c r="G500" s="35" t="s">
        <v>8207</v>
      </c>
      <c r="H500" s="34"/>
      <c r="I500" s="34"/>
    </row>
    <row r="501">
      <c r="A501" s="32" t="s">
        <v>2006</v>
      </c>
      <c r="B501" s="32" t="s">
        <v>8208</v>
      </c>
      <c r="C501" s="32" t="s">
        <v>8209</v>
      </c>
      <c r="D501" s="32" t="s">
        <v>8210</v>
      </c>
      <c r="E501" s="32" t="s">
        <v>8211</v>
      </c>
      <c r="F501" s="33" t="s">
        <v>8212</v>
      </c>
      <c r="G501" s="35" t="s">
        <v>8213</v>
      </c>
      <c r="H501" s="34"/>
      <c r="I501" s="34"/>
    </row>
    <row r="502">
      <c r="A502" s="32" t="s">
        <v>2010</v>
      </c>
      <c r="B502" s="32" t="s">
        <v>8022</v>
      </c>
      <c r="C502" s="32" t="s">
        <v>8023</v>
      </c>
      <c r="D502" s="32" t="s">
        <v>8024</v>
      </c>
      <c r="E502" s="32" t="s">
        <v>8025</v>
      </c>
      <c r="F502" s="33" t="s">
        <v>8026</v>
      </c>
      <c r="G502" s="35" t="s">
        <v>8027</v>
      </c>
      <c r="H502" s="34"/>
      <c r="I502" s="34"/>
    </row>
    <row r="503">
      <c r="A503" s="32" t="s">
        <v>2014</v>
      </c>
      <c r="B503" s="32" t="s">
        <v>7953</v>
      </c>
      <c r="C503" s="32" t="s">
        <v>7954</v>
      </c>
      <c r="D503" s="32" t="s">
        <v>7955</v>
      </c>
      <c r="E503" s="32" t="s">
        <v>7956</v>
      </c>
      <c r="F503" s="33" t="s">
        <v>7957</v>
      </c>
      <c r="G503" s="35" t="s">
        <v>8214</v>
      </c>
      <c r="H503" s="34"/>
      <c r="I503" s="34"/>
    </row>
    <row r="504">
      <c r="A504" s="32" t="s">
        <v>2018</v>
      </c>
      <c r="B504" s="32" t="s">
        <v>8215</v>
      </c>
      <c r="C504" s="32" t="s">
        <v>8216</v>
      </c>
      <c r="D504" s="32" t="s">
        <v>8217</v>
      </c>
      <c r="E504" s="32" t="s">
        <v>8218</v>
      </c>
      <c r="F504" s="33" t="s">
        <v>8219</v>
      </c>
      <c r="G504" s="35" t="s">
        <v>8220</v>
      </c>
      <c r="H504" s="34"/>
      <c r="I504" s="34"/>
    </row>
    <row r="505">
      <c r="A505" s="32" t="s">
        <v>149</v>
      </c>
      <c r="B505" s="32" t="s">
        <v>8221</v>
      </c>
      <c r="C505" s="32" t="s">
        <v>8222</v>
      </c>
      <c r="D505" s="32" t="s">
        <v>8223</v>
      </c>
      <c r="E505" s="32" t="s">
        <v>8224</v>
      </c>
      <c r="F505" s="33" t="s">
        <v>8225</v>
      </c>
      <c r="G505" s="35" t="s">
        <v>8226</v>
      </c>
      <c r="H505" s="34"/>
      <c r="I505" s="34"/>
    </row>
    <row r="506">
      <c r="A506" s="32" t="s">
        <v>145</v>
      </c>
      <c r="B506" s="32" t="s">
        <v>6132</v>
      </c>
      <c r="C506" s="32" t="s">
        <v>6133</v>
      </c>
      <c r="D506" s="32" t="s">
        <v>6134</v>
      </c>
      <c r="E506" s="32" t="s">
        <v>6135</v>
      </c>
      <c r="F506" s="33" t="s">
        <v>6136</v>
      </c>
      <c r="G506" s="35" t="s">
        <v>8227</v>
      </c>
      <c r="H506" s="34"/>
      <c r="I506" s="34"/>
    </row>
    <row r="507">
      <c r="A507" s="32" t="s">
        <v>2024</v>
      </c>
      <c r="B507" s="32" t="s">
        <v>8228</v>
      </c>
      <c r="C507" s="32" t="s">
        <v>8229</v>
      </c>
      <c r="D507" s="32" t="s">
        <v>8230</v>
      </c>
      <c r="E507" s="32" t="s">
        <v>8231</v>
      </c>
      <c r="F507" s="33" t="s">
        <v>8232</v>
      </c>
      <c r="G507" s="35" t="s">
        <v>8233</v>
      </c>
      <c r="H507" s="34"/>
      <c r="I507" s="34"/>
    </row>
    <row r="508">
      <c r="A508" s="32" t="s">
        <v>2028</v>
      </c>
      <c r="B508" s="32" t="s">
        <v>8074</v>
      </c>
      <c r="C508" s="32" t="s">
        <v>8075</v>
      </c>
      <c r="D508" s="32" t="s">
        <v>8076</v>
      </c>
      <c r="E508" s="32" t="s">
        <v>8077</v>
      </c>
      <c r="F508" s="33" t="s">
        <v>8078</v>
      </c>
      <c r="G508" s="35" t="s">
        <v>8234</v>
      </c>
      <c r="H508" s="34"/>
      <c r="I508" s="34"/>
    </row>
    <row r="509">
      <c r="A509" s="32" t="s">
        <v>2032</v>
      </c>
      <c r="B509" s="32" t="s">
        <v>7626</v>
      </c>
      <c r="C509" s="32" t="s">
        <v>7627</v>
      </c>
      <c r="D509" s="32" t="s">
        <v>7628</v>
      </c>
      <c r="E509" s="32" t="s">
        <v>7629</v>
      </c>
      <c r="F509" s="33" t="s">
        <v>7630</v>
      </c>
      <c r="G509" s="35" t="s">
        <v>8235</v>
      </c>
      <c r="H509" s="34"/>
      <c r="I509" s="34"/>
    </row>
    <row r="510">
      <c r="A510" s="32" t="s">
        <v>2036</v>
      </c>
      <c r="B510" s="32" t="s">
        <v>7593</v>
      </c>
      <c r="C510" s="32" t="s">
        <v>7594</v>
      </c>
      <c r="D510" s="32" t="s">
        <v>7595</v>
      </c>
      <c r="E510" s="32" t="s">
        <v>7596</v>
      </c>
      <c r="F510" s="33" t="s">
        <v>7597</v>
      </c>
      <c r="G510" s="35" t="s">
        <v>8236</v>
      </c>
      <c r="H510" s="34"/>
      <c r="I510" s="34"/>
    </row>
    <row r="511">
      <c r="A511" s="32" t="s">
        <v>2038</v>
      </c>
      <c r="B511" s="32" t="s">
        <v>7953</v>
      </c>
      <c r="C511" s="32" t="s">
        <v>7954</v>
      </c>
      <c r="D511" s="32" t="s">
        <v>7955</v>
      </c>
      <c r="E511" s="32" t="s">
        <v>7956</v>
      </c>
      <c r="F511" s="33" t="s">
        <v>7957</v>
      </c>
      <c r="G511" s="35" t="s">
        <v>7958</v>
      </c>
      <c r="H511" s="34"/>
      <c r="I511" s="34"/>
    </row>
    <row r="512">
      <c r="A512" s="32" t="s">
        <v>2041</v>
      </c>
      <c r="B512" s="32" t="s">
        <v>8237</v>
      </c>
      <c r="C512" s="32" t="s">
        <v>8238</v>
      </c>
      <c r="D512" s="32" t="s">
        <v>8239</v>
      </c>
      <c r="E512" s="32" t="s">
        <v>8240</v>
      </c>
      <c r="F512" s="33" t="s">
        <v>8241</v>
      </c>
      <c r="G512" s="35" t="s">
        <v>8242</v>
      </c>
      <c r="H512" s="34"/>
      <c r="I512" s="34"/>
    </row>
    <row r="513">
      <c r="A513" s="32" t="s">
        <v>2045</v>
      </c>
      <c r="B513" s="32" t="s">
        <v>8208</v>
      </c>
      <c r="C513" s="32" t="s">
        <v>8209</v>
      </c>
      <c r="D513" s="32" t="s">
        <v>8210</v>
      </c>
      <c r="E513" s="32" t="s">
        <v>8211</v>
      </c>
      <c r="F513" s="33" t="s">
        <v>8212</v>
      </c>
      <c r="G513" s="35" t="s">
        <v>8243</v>
      </c>
      <c r="H513" s="34"/>
      <c r="I513" s="34"/>
    </row>
    <row r="514">
      <c r="A514" s="32" t="s">
        <v>2049</v>
      </c>
      <c r="B514" s="32" t="s">
        <v>8244</v>
      </c>
      <c r="C514" s="32" t="s">
        <v>8245</v>
      </c>
      <c r="D514" s="32" t="s">
        <v>8246</v>
      </c>
      <c r="E514" s="32" t="s">
        <v>8247</v>
      </c>
      <c r="F514" s="33" t="s">
        <v>8248</v>
      </c>
      <c r="G514" s="35" t="s">
        <v>8249</v>
      </c>
      <c r="H514" s="34"/>
      <c r="I514" s="34"/>
    </row>
    <row r="515">
      <c r="A515" s="32" t="s">
        <v>2053</v>
      </c>
      <c r="B515" s="32" t="s">
        <v>8250</v>
      </c>
      <c r="C515" s="32" t="s">
        <v>8251</v>
      </c>
      <c r="D515" s="32" t="s">
        <v>8252</v>
      </c>
      <c r="E515" s="32" t="s">
        <v>8253</v>
      </c>
      <c r="F515" s="33" t="s">
        <v>8254</v>
      </c>
      <c r="G515" s="35" t="s">
        <v>8255</v>
      </c>
      <c r="H515" s="34"/>
      <c r="I515" s="34"/>
    </row>
    <row r="516">
      <c r="A516" s="32" t="s">
        <v>173</v>
      </c>
      <c r="B516" s="32" t="s">
        <v>7868</v>
      </c>
      <c r="C516" s="32" t="s">
        <v>7869</v>
      </c>
      <c r="D516" s="32" t="s">
        <v>7870</v>
      </c>
      <c r="E516" s="32" t="s">
        <v>7871</v>
      </c>
      <c r="F516" s="33" t="s">
        <v>7872</v>
      </c>
      <c r="G516" s="35" t="s">
        <v>8256</v>
      </c>
      <c r="H516" s="34"/>
      <c r="I516" s="34"/>
    </row>
    <row r="517">
      <c r="A517" s="32" t="s">
        <v>2058</v>
      </c>
      <c r="B517" s="32" t="s">
        <v>8257</v>
      </c>
      <c r="C517" s="32" t="s">
        <v>8258</v>
      </c>
      <c r="D517" s="32" t="s">
        <v>8259</v>
      </c>
      <c r="E517" s="32" t="s">
        <v>8260</v>
      </c>
      <c r="F517" s="33" t="s">
        <v>8261</v>
      </c>
      <c r="G517" s="35" t="s">
        <v>8262</v>
      </c>
      <c r="H517" s="34"/>
      <c r="I517" s="34"/>
    </row>
    <row r="518">
      <c r="A518" s="32" t="s">
        <v>2062</v>
      </c>
      <c r="B518" s="32" t="s">
        <v>8041</v>
      </c>
      <c r="C518" s="32" t="s">
        <v>8042</v>
      </c>
      <c r="D518" s="32" t="s">
        <v>8043</v>
      </c>
      <c r="E518" s="32" t="s">
        <v>8044</v>
      </c>
      <c r="F518" s="33" t="s">
        <v>8045</v>
      </c>
      <c r="G518" s="35" t="s">
        <v>8263</v>
      </c>
      <c r="H518" s="34"/>
      <c r="I518" s="34"/>
    </row>
    <row r="519">
      <c r="A519" s="32" t="s">
        <v>2066</v>
      </c>
      <c r="B519" s="32" t="s">
        <v>7713</v>
      </c>
      <c r="C519" s="32" t="s">
        <v>7714</v>
      </c>
      <c r="D519" s="32" t="s">
        <v>7715</v>
      </c>
      <c r="E519" s="32" t="s">
        <v>7716</v>
      </c>
      <c r="F519" s="33" t="s">
        <v>7717</v>
      </c>
      <c r="G519" s="35" t="s">
        <v>8264</v>
      </c>
      <c r="H519" s="34"/>
      <c r="I519" s="34"/>
    </row>
    <row r="520">
      <c r="A520" s="32" t="s">
        <v>177</v>
      </c>
      <c r="B520" s="32" t="s">
        <v>6176</v>
      </c>
      <c r="C520" s="32" t="s">
        <v>6177</v>
      </c>
      <c r="D520" s="32" t="s">
        <v>6178</v>
      </c>
      <c r="E520" s="32" t="s">
        <v>6179</v>
      </c>
      <c r="F520" s="33" t="s">
        <v>6180</v>
      </c>
      <c r="G520" s="35" t="s">
        <v>8265</v>
      </c>
      <c r="H520" s="34"/>
      <c r="I520" s="34"/>
    </row>
    <row r="521">
      <c r="A521" s="32" t="s">
        <v>2071</v>
      </c>
      <c r="B521" s="32" t="s">
        <v>8266</v>
      </c>
      <c r="C521" s="32" t="s">
        <v>8267</v>
      </c>
      <c r="D521" s="32" t="s">
        <v>8268</v>
      </c>
      <c r="E521" s="32" t="s">
        <v>8269</v>
      </c>
      <c r="F521" s="33" t="s">
        <v>8270</v>
      </c>
      <c r="G521" s="35" t="s">
        <v>8271</v>
      </c>
      <c r="H521" s="34"/>
      <c r="I521" s="34"/>
    </row>
    <row r="522">
      <c r="A522" s="32" t="s">
        <v>2075</v>
      </c>
      <c r="B522" s="32" t="s">
        <v>8272</v>
      </c>
      <c r="C522" s="32" t="s">
        <v>8273</v>
      </c>
      <c r="D522" s="32" t="s">
        <v>8274</v>
      </c>
      <c r="E522" s="32" t="s">
        <v>8275</v>
      </c>
      <c r="F522" s="33" t="s">
        <v>8276</v>
      </c>
      <c r="G522" s="35" t="s">
        <v>8277</v>
      </c>
      <c r="H522" s="34"/>
      <c r="I522" s="34"/>
    </row>
    <row r="523">
      <c r="A523" s="32" t="s">
        <v>2079</v>
      </c>
      <c r="B523" s="32" t="s">
        <v>8150</v>
      </c>
      <c r="C523" s="32" t="s">
        <v>8151</v>
      </c>
      <c r="D523" s="32" t="s">
        <v>8152</v>
      </c>
      <c r="E523" s="32" t="s">
        <v>8153</v>
      </c>
      <c r="F523" s="33" t="s">
        <v>8154</v>
      </c>
      <c r="G523" s="35" t="s">
        <v>8278</v>
      </c>
      <c r="H523" s="34"/>
      <c r="I523" s="34"/>
    </row>
    <row r="524">
      <c r="A524" s="32" t="s">
        <v>2083</v>
      </c>
      <c r="B524" s="32" t="s">
        <v>8279</v>
      </c>
      <c r="C524" s="32" t="s">
        <v>8280</v>
      </c>
      <c r="D524" s="32" t="s">
        <v>8281</v>
      </c>
      <c r="E524" s="32" t="s">
        <v>8282</v>
      </c>
      <c r="F524" s="33" t="s">
        <v>8283</v>
      </c>
      <c r="G524" s="35" t="s">
        <v>8284</v>
      </c>
      <c r="H524" s="34"/>
      <c r="I524" s="34"/>
    </row>
    <row r="525">
      <c r="A525" s="32" t="s">
        <v>2086</v>
      </c>
      <c r="B525" s="32" t="s">
        <v>8083</v>
      </c>
      <c r="C525" s="32" t="s">
        <v>8084</v>
      </c>
      <c r="D525" s="32" t="s">
        <v>8085</v>
      </c>
      <c r="E525" s="32" t="s">
        <v>8086</v>
      </c>
      <c r="F525" s="33" t="s">
        <v>8087</v>
      </c>
      <c r="G525" s="35" t="s">
        <v>8285</v>
      </c>
      <c r="H525" s="34"/>
      <c r="I525" s="34"/>
    </row>
    <row r="526">
      <c r="A526" s="32" t="s">
        <v>2090</v>
      </c>
      <c r="B526" s="32" t="s">
        <v>8286</v>
      </c>
      <c r="C526" s="32" t="s">
        <v>8287</v>
      </c>
      <c r="D526" s="32" t="s">
        <v>8288</v>
      </c>
      <c r="E526" s="32" t="s">
        <v>8289</v>
      </c>
      <c r="F526" s="33" t="s">
        <v>8290</v>
      </c>
      <c r="G526" s="35" t="s">
        <v>8291</v>
      </c>
      <c r="H526" s="34"/>
      <c r="I526" s="34"/>
    </row>
    <row r="527">
      <c r="A527" s="32" t="s">
        <v>2094</v>
      </c>
      <c r="B527" s="32" t="s">
        <v>8068</v>
      </c>
      <c r="C527" s="32" t="s">
        <v>8069</v>
      </c>
      <c r="D527" s="32" t="s">
        <v>8070</v>
      </c>
      <c r="E527" s="32" t="s">
        <v>8071</v>
      </c>
      <c r="F527" s="33" t="s">
        <v>8072</v>
      </c>
      <c r="G527" s="35" t="s">
        <v>8292</v>
      </c>
      <c r="H527" s="34"/>
      <c r="I527" s="34"/>
    </row>
    <row r="528">
      <c r="A528" s="32" t="s">
        <v>2098</v>
      </c>
      <c r="B528" s="32" t="s">
        <v>8293</v>
      </c>
      <c r="C528" s="32" t="s">
        <v>8294</v>
      </c>
      <c r="D528" s="32" t="s">
        <v>8295</v>
      </c>
      <c r="E528" s="32" t="s">
        <v>8296</v>
      </c>
      <c r="F528" s="33" t="s">
        <v>8297</v>
      </c>
      <c r="G528" s="35" t="s">
        <v>8298</v>
      </c>
      <c r="H528" s="34"/>
      <c r="I528" s="34"/>
    </row>
    <row r="529">
      <c r="A529" s="32" t="s">
        <v>2104</v>
      </c>
      <c r="B529" s="32" t="s">
        <v>8299</v>
      </c>
      <c r="C529" s="32" t="s">
        <v>8300</v>
      </c>
      <c r="D529" s="32" t="s">
        <v>8301</v>
      </c>
      <c r="E529" s="32" t="s">
        <v>8302</v>
      </c>
      <c r="F529" s="33" t="s">
        <v>8303</v>
      </c>
      <c r="G529" s="35" t="s">
        <v>8304</v>
      </c>
      <c r="H529" s="34"/>
      <c r="I529" s="34"/>
    </row>
    <row r="530">
      <c r="A530" s="32" t="s">
        <v>2108</v>
      </c>
      <c r="B530" s="32" t="s">
        <v>8305</v>
      </c>
      <c r="C530" s="32" t="s">
        <v>8306</v>
      </c>
      <c r="D530" s="32" t="s">
        <v>8307</v>
      </c>
      <c r="E530" s="32" t="s">
        <v>8308</v>
      </c>
      <c r="F530" s="33" t="s">
        <v>8309</v>
      </c>
      <c r="G530" s="35" t="s">
        <v>8310</v>
      </c>
      <c r="H530" s="34"/>
      <c r="I530" s="34"/>
    </row>
    <row r="531">
      <c r="A531" s="32" t="s">
        <v>2112</v>
      </c>
      <c r="B531" s="32" t="s">
        <v>8311</v>
      </c>
      <c r="C531" s="32" t="s">
        <v>8312</v>
      </c>
      <c r="D531" s="32" t="s">
        <v>8313</v>
      </c>
      <c r="E531" s="32" t="s">
        <v>8314</v>
      </c>
      <c r="F531" s="33" t="s">
        <v>8315</v>
      </c>
      <c r="G531" s="35" t="s">
        <v>8316</v>
      </c>
      <c r="H531" s="34"/>
      <c r="I531" s="34"/>
    </row>
    <row r="532">
      <c r="A532" s="32" t="s">
        <v>2116</v>
      </c>
      <c r="B532" s="32" t="s">
        <v>8317</v>
      </c>
      <c r="C532" s="32" t="s">
        <v>8318</v>
      </c>
      <c r="D532" s="32" t="s">
        <v>8319</v>
      </c>
      <c r="E532" s="32" t="s">
        <v>8320</v>
      </c>
      <c r="F532" s="33" t="s">
        <v>8321</v>
      </c>
      <c r="G532" s="35" t="s">
        <v>8322</v>
      </c>
      <c r="H532" s="34"/>
      <c r="I532" s="34"/>
    </row>
    <row r="533">
      <c r="A533" s="32" t="s">
        <v>2120</v>
      </c>
      <c r="B533" s="32" t="s">
        <v>8323</v>
      </c>
      <c r="C533" s="32" t="s">
        <v>8324</v>
      </c>
      <c r="D533" s="32" t="s">
        <v>8325</v>
      </c>
      <c r="E533" s="32" t="s">
        <v>8326</v>
      </c>
      <c r="F533" s="33" t="s">
        <v>8327</v>
      </c>
      <c r="G533" s="35" t="s">
        <v>8328</v>
      </c>
      <c r="H533" s="34"/>
      <c r="I533" s="34"/>
    </row>
    <row r="534">
      <c r="A534" s="32" t="s">
        <v>2124</v>
      </c>
      <c r="B534" s="32" t="s">
        <v>8208</v>
      </c>
      <c r="C534" s="32" t="s">
        <v>8209</v>
      </c>
      <c r="D534" s="32" t="s">
        <v>8210</v>
      </c>
      <c r="E534" s="32" t="s">
        <v>8211</v>
      </c>
      <c r="F534" s="33" t="s">
        <v>8212</v>
      </c>
      <c r="G534" s="35" t="s">
        <v>8329</v>
      </c>
      <c r="H534" s="34"/>
      <c r="I534" s="34"/>
    </row>
    <row r="535">
      <c r="A535" s="32" t="s">
        <v>2128</v>
      </c>
      <c r="B535" s="32" t="s">
        <v>8330</v>
      </c>
      <c r="C535" s="32" t="s">
        <v>8331</v>
      </c>
      <c r="D535" s="32" t="s">
        <v>8332</v>
      </c>
      <c r="E535" s="32" t="s">
        <v>8333</v>
      </c>
      <c r="F535" s="33" t="s">
        <v>8334</v>
      </c>
      <c r="G535" s="35" t="s">
        <v>8335</v>
      </c>
      <c r="H535" s="34"/>
      <c r="I535" s="34"/>
    </row>
    <row r="536">
      <c r="A536" s="32" t="s">
        <v>2132</v>
      </c>
      <c r="B536" s="32" t="s">
        <v>8336</v>
      </c>
      <c r="C536" s="32" t="s">
        <v>8337</v>
      </c>
      <c r="D536" s="32" t="s">
        <v>8338</v>
      </c>
      <c r="E536" s="32" t="s">
        <v>8339</v>
      </c>
      <c r="F536" s="33" t="s">
        <v>8340</v>
      </c>
      <c r="G536" s="35" t="s">
        <v>8341</v>
      </c>
      <c r="H536" s="34"/>
      <c r="I536" s="34"/>
    </row>
    <row r="537">
      <c r="A537" s="32" t="s">
        <v>2136</v>
      </c>
      <c r="B537" s="32" t="s">
        <v>8342</v>
      </c>
      <c r="C537" s="32" t="s">
        <v>8343</v>
      </c>
      <c r="D537" s="32" t="s">
        <v>8344</v>
      </c>
      <c r="E537" s="32" t="s">
        <v>8345</v>
      </c>
      <c r="F537" s="33" t="s">
        <v>8346</v>
      </c>
      <c r="G537" s="35" t="s">
        <v>8347</v>
      </c>
      <c r="H537" s="34"/>
      <c r="I537" s="34"/>
    </row>
    <row r="538">
      <c r="A538" s="32" t="s">
        <v>2140</v>
      </c>
      <c r="B538" s="32" t="s">
        <v>8348</v>
      </c>
      <c r="C538" s="32" t="s">
        <v>8349</v>
      </c>
      <c r="D538" s="32" t="s">
        <v>8350</v>
      </c>
      <c r="E538" s="32" t="s">
        <v>8351</v>
      </c>
      <c r="F538" s="33" t="s">
        <v>8352</v>
      </c>
      <c r="G538" s="35" t="s">
        <v>8353</v>
      </c>
      <c r="H538" s="34"/>
      <c r="I538" s="34"/>
    </row>
    <row r="539">
      <c r="A539" s="32" t="s">
        <v>2146</v>
      </c>
      <c r="B539" s="32" t="s">
        <v>7626</v>
      </c>
      <c r="C539" s="32" t="s">
        <v>7627</v>
      </c>
      <c r="D539" s="32" t="s">
        <v>7628</v>
      </c>
      <c r="E539" s="32" t="s">
        <v>7629</v>
      </c>
      <c r="F539" s="33" t="s">
        <v>7630</v>
      </c>
      <c r="G539" s="35" t="s">
        <v>7631</v>
      </c>
      <c r="H539" s="34"/>
      <c r="I539" s="34"/>
    </row>
    <row r="540">
      <c r="A540" s="32" t="s">
        <v>2150</v>
      </c>
      <c r="B540" s="32" t="s">
        <v>8354</v>
      </c>
      <c r="C540" s="32" t="s">
        <v>8355</v>
      </c>
      <c r="D540" s="32" t="s">
        <v>8356</v>
      </c>
      <c r="E540" s="32" t="s">
        <v>8357</v>
      </c>
      <c r="F540" s="33" t="s">
        <v>8358</v>
      </c>
      <c r="G540" s="35" t="s">
        <v>8359</v>
      </c>
      <c r="H540" s="34"/>
      <c r="I540" s="34"/>
    </row>
    <row r="541">
      <c r="A541" s="32" t="s">
        <v>2154</v>
      </c>
      <c r="B541" s="32" t="s">
        <v>8360</v>
      </c>
      <c r="C541" s="32" t="s">
        <v>8361</v>
      </c>
      <c r="D541" s="32" t="s">
        <v>8362</v>
      </c>
      <c r="E541" s="32" t="s">
        <v>8363</v>
      </c>
      <c r="F541" s="33" t="s">
        <v>8364</v>
      </c>
      <c r="G541" s="35" t="s">
        <v>8365</v>
      </c>
      <c r="H541" s="34"/>
      <c r="I541" s="34"/>
    </row>
    <row r="542">
      <c r="A542" s="32" t="s">
        <v>243</v>
      </c>
      <c r="B542" s="32" t="s">
        <v>6252</v>
      </c>
      <c r="C542" s="32" t="s">
        <v>6253</v>
      </c>
      <c r="D542" s="32" t="s">
        <v>6254</v>
      </c>
      <c r="E542" s="32" t="s">
        <v>6255</v>
      </c>
      <c r="F542" s="33" t="s">
        <v>6256</v>
      </c>
      <c r="G542" s="35" t="s">
        <v>8366</v>
      </c>
      <c r="H542" s="34"/>
      <c r="I542" s="34"/>
    </row>
    <row r="543">
      <c r="A543" s="32" t="s">
        <v>2162</v>
      </c>
      <c r="B543" s="32" t="s">
        <v>8367</v>
      </c>
      <c r="C543" s="32" t="s">
        <v>8368</v>
      </c>
      <c r="D543" s="32" t="s">
        <v>8369</v>
      </c>
      <c r="E543" s="32" t="s">
        <v>8370</v>
      </c>
      <c r="F543" s="33" t="s">
        <v>8371</v>
      </c>
      <c r="G543" s="35" t="s">
        <v>8372</v>
      </c>
      <c r="H543" s="34"/>
      <c r="I543" s="34"/>
    </row>
    <row r="544">
      <c r="A544" s="32" t="s">
        <v>2166</v>
      </c>
      <c r="B544" s="32" t="s">
        <v>8373</v>
      </c>
      <c r="C544" s="32" t="s">
        <v>8374</v>
      </c>
      <c r="D544" s="32" t="s">
        <v>8375</v>
      </c>
      <c r="E544" s="32" t="s">
        <v>8376</v>
      </c>
      <c r="F544" s="33" t="s">
        <v>8377</v>
      </c>
      <c r="G544" s="35" t="s">
        <v>8378</v>
      </c>
      <c r="H544" s="34"/>
      <c r="I544" s="34"/>
    </row>
    <row r="545">
      <c r="A545" s="32" t="s">
        <v>2170</v>
      </c>
      <c r="B545" s="32" t="s">
        <v>8379</v>
      </c>
      <c r="C545" s="32" t="s">
        <v>8380</v>
      </c>
      <c r="D545" s="32" t="s">
        <v>8381</v>
      </c>
      <c r="E545" s="32" t="s">
        <v>8382</v>
      </c>
      <c r="F545" s="33" t="s">
        <v>8383</v>
      </c>
      <c r="G545" s="35" t="s">
        <v>8384</v>
      </c>
      <c r="H545" s="34"/>
      <c r="I545" s="34"/>
    </row>
    <row r="546">
      <c r="A546" s="32" t="s">
        <v>2174</v>
      </c>
      <c r="B546" s="32" t="s">
        <v>8385</v>
      </c>
      <c r="C546" s="32" t="s">
        <v>8386</v>
      </c>
      <c r="D546" s="32" t="s">
        <v>8387</v>
      </c>
      <c r="E546" s="32" t="s">
        <v>8388</v>
      </c>
      <c r="F546" s="33" t="s">
        <v>8389</v>
      </c>
      <c r="G546" s="35" t="s">
        <v>8390</v>
      </c>
      <c r="H546" s="34"/>
      <c r="I546" s="34"/>
    </row>
    <row r="547">
      <c r="A547" s="32" t="s">
        <v>2178</v>
      </c>
      <c r="B547" s="32" t="s">
        <v>8391</v>
      </c>
      <c r="C547" s="32" t="s">
        <v>8392</v>
      </c>
      <c r="D547" s="32" t="s">
        <v>8393</v>
      </c>
      <c r="E547" s="32" t="s">
        <v>8394</v>
      </c>
      <c r="F547" s="33" t="s">
        <v>8395</v>
      </c>
      <c r="G547" s="35" t="s">
        <v>8396</v>
      </c>
      <c r="H547" s="34"/>
      <c r="I547" s="34"/>
    </row>
    <row r="548">
      <c r="A548" s="32" t="s">
        <v>2182</v>
      </c>
      <c r="B548" s="32" t="s">
        <v>8397</v>
      </c>
      <c r="C548" s="32" t="s">
        <v>8398</v>
      </c>
      <c r="D548" s="32" t="s">
        <v>8399</v>
      </c>
      <c r="E548" s="32" t="s">
        <v>8400</v>
      </c>
      <c r="F548" s="33" t="s">
        <v>8401</v>
      </c>
      <c r="G548" s="35" t="s">
        <v>8402</v>
      </c>
      <c r="H548" s="34"/>
      <c r="I548" s="34"/>
    </row>
    <row r="549">
      <c r="A549" s="32" t="s">
        <v>2186</v>
      </c>
      <c r="B549" s="32" t="s">
        <v>8403</v>
      </c>
      <c r="C549" s="32" t="s">
        <v>8404</v>
      </c>
      <c r="D549" s="32" t="s">
        <v>8405</v>
      </c>
      <c r="E549" s="32" t="s">
        <v>8406</v>
      </c>
      <c r="F549" s="33" t="s">
        <v>8407</v>
      </c>
      <c r="G549" s="35" t="s">
        <v>8408</v>
      </c>
      <c r="H549" s="34"/>
      <c r="I549" s="34"/>
    </row>
    <row r="550">
      <c r="A550" s="32" t="s">
        <v>2190</v>
      </c>
      <c r="B550" s="32" t="s">
        <v>8409</v>
      </c>
      <c r="C550" s="32" t="s">
        <v>8410</v>
      </c>
      <c r="D550" s="32" t="s">
        <v>8411</v>
      </c>
      <c r="E550" s="32" t="s">
        <v>8412</v>
      </c>
      <c r="F550" s="33" t="s">
        <v>8413</v>
      </c>
      <c r="G550" s="35" t="s">
        <v>8414</v>
      </c>
      <c r="H550" s="34"/>
      <c r="I550" s="34"/>
    </row>
    <row r="551">
      <c r="A551" s="32" t="s">
        <v>2194</v>
      </c>
      <c r="B551" s="32" t="s">
        <v>8415</v>
      </c>
      <c r="C551" s="32" t="s">
        <v>8416</v>
      </c>
      <c r="D551" s="32" t="s">
        <v>8417</v>
      </c>
      <c r="E551" s="32" t="s">
        <v>8418</v>
      </c>
      <c r="F551" s="33" t="s">
        <v>8419</v>
      </c>
      <c r="G551" s="35" t="s">
        <v>8420</v>
      </c>
      <c r="H551" s="34"/>
      <c r="I551" s="34"/>
    </row>
    <row r="552">
      <c r="A552" s="32" t="s">
        <v>2198</v>
      </c>
      <c r="B552" s="32" t="s">
        <v>8421</v>
      </c>
      <c r="C552" s="32" t="s">
        <v>8422</v>
      </c>
      <c r="D552" s="32" t="s">
        <v>8423</v>
      </c>
      <c r="E552" s="32" t="s">
        <v>8424</v>
      </c>
      <c r="F552" s="33" t="s">
        <v>8425</v>
      </c>
      <c r="G552" s="35" t="s">
        <v>8426</v>
      </c>
      <c r="H552" s="34"/>
      <c r="I552" s="34"/>
    </row>
    <row r="553">
      <c r="A553" s="32" t="s">
        <v>2202</v>
      </c>
      <c r="B553" s="32" t="s">
        <v>8427</v>
      </c>
      <c r="C553" s="32" t="s">
        <v>8428</v>
      </c>
      <c r="D553" s="32" t="s">
        <v>8429</v>
      </c>
      <c r="E553" s="32" t="s">
        <v>8430</v>
      </c>
      <c r="F553" s="33" t="s">
        <v>8431</v>
      </c>
      <c r="G553" s="35" t="s">
        <v>8432</v>
      </c>
      <c r="H553" s="34"/>
      <c r="I553" s="34"/>
    </row>
    <row r="554">
      <c r="A554" s="32" t="s">
        <v>2206</v>
      </c>
      <c r="B554" s="32" t="s">
        <v>8433</v>
      </c>
      <c r="C554" s="32" t="s">
        <v>8434</v>
      </c>
      <c r="D554" s="32" t="s">
        <v>8435</v>
      </c>
      <c r="E554" s="32" t="s">
        <v>8436</v>
      </c>
      <c r="F554" s="33" t="s">
        <v>8437</v>
      </c>
      <c r="G554" s="35" t="s">
        <v>8438</v>
      </c>
      <c r="H554" s="34"/>
      <c r="I554" s="34"/>
    </row>
    <row r="555">
      <c r="A555" s="32" t="s">
        <v>2211</v>
      </c>
      <c r="B555" s="32" t="s">
        <v>8439</v>
      </c>
      <c r="C555" s="32" t="s">
        <v>8440</v>
      </c>
      <c r="D555" s="32" t="s">
        <v>8441</v>
      </c>
      <c r="E555" s="32" t="s">
        <v>8442</v>
      </c>
      <c r="F555" s="33" t="s">
        <v>8443</v>
      </c>
      <c r="G555" s="35" t="s">
        <v>8444</v>
      </c>
      <c r="H555" s="34"/>
      <c r="I555" s="34"/>
    </row>
    <row r="556">
      <c r="A556" s="32" t="s">
        <v>2215</v>
      </c>
      <c r="B556" s="32" t="s">
        <v>7953</v>
      </c>
      <c r="C556" s="32" t="s">
        <v>7954</v>
      </c>
      <c r="D556" s="32" t="s">
        <v>7955</v>
      </c>
      <c r="E556" s="32" t="s">
        <v>7956</v>
      </c>
      <c r="F556" s="33" t="s">
        <v>7957</v>
      </c>
      <c r="G556" s="35" t="s">
        <v>8214</v>
      </c>
      <c r="H556" s="34"/>
      <c r="I556" s="34"/>
    </row>
    <row r="557">
      <c r="A557" s="32" t="s">
        <v>2217</v>
      </c>
      <c r="B557" s="32" t="s">
        <v>8445</v>
      </c>
      <c r="C557" s="32" t="s">
        <v>8446</v>
      </c>
      <c r="D557" s="32" t="s">
        <v>8447</v>
      </c>
      <c r="E557" s="32" t="s">
        <v>8448</v>
      </c>
      <c r="F557" s="33" t="s">
        <v>8449</v>
      </c>
      <c r="G557" s="35" t="s">
        <v>8450</v>
      </c>
      <c r="H557" s="34"/>
      <c r="I557" s="34"/>
    </row>
    <row r="558">
      <c r="A558" s="32" t="s">
        <v>2221</v>
      </c>
      <c r="B558" s="32" t="s">
        <v>7960</v>
      </c>
      <c r="C558" s="32" t="s">
        <v>7961</v>
      </c>
      <c r="D558" s="32" t="s">
        <v>7962</v>
      </c>
      <c r="E558" s="32" t="s">
        <v>7963</v>
      </c>
      <c r="F558" s="33" t="s">
        <v>7964</v>
      </c>
      <c r="G558" s="35" t="s">
        <v>8451</v>
      </c>
      <c r="H558" s="34"/>
      <c r="I558" s="34"/>
    </row>
    <row r="559">
      <c r="A559" s="32" t="s">
        <v>2225</v>
      </c>
      <c r="B559" s="32" t="s">
        <v>8452</v>
      </c>
      <c r="C559" s="32" t="s">
        <v>8453</v>
      </c>
      <c r="D559" s="32" t="s">
        <v>8454</v>
      </c>
      <c r="E559" s="32" t="s">
        <v>8455</v>
      </c>
      <c r="F559" s="33" t="s">
        <v>8456</v>
      </c>
      <c r="G559" s="35" t="s">
        <v>8457</v>
      </c>
      <c r="H559" s="34"/>
      <c r="I559" s="34"/>
    </row>
    <row r="560">
      <c r="A560" s="32" t="s">
        <v>2231</v>
      </c>
      <c r="B560" s="32" t="s">
        <v>8458</v>
      </c>
      <c r="C560" s="32" t="s">
        <v>8459</v>
      </c>
      <c r="D560" s="32" t="s">
        <v>8460</v>
      </c>
      <c r="E560" s="32" t="s">
        <v>8461</v>
      </c>
      <c r="F560" s="33" t="s">
        <v>8462</v>
      </c>
      <c r="G560" s="35" t="s">
        <v>8463</v>
      </c>
      <c r="H560" s="34"/>
      <c r="I560" s="34"/>
    </row>
    <row r="561">
      <c r="A561" s="32" t="s">
        <v>2235</v>
      </c>
      <c r="B561" s="32" t="s">
        <v>7713</v>
      </c>
      <c r="C561" s="32" t="s">
        <v>7714</v>
      </c>
      <c r="D561" s="32" t="s">
        <v>7715</v>
      </c>
      <c r="E561" s="32" t="s">
        <v>7716</v>
      </c>
      <c r="F561" s="33" t="s">
        <v>7717</v>
      </c>
      <c r="G561" s="35" t="s">
        <v>8464</v>
      </c>
      <c r="H561" s="34"/>
      <c r="I561" s="34"/>
    </row>
    <row r="562">
      <c r="A562" s="32" t="s">
        <v>2239</v>
      </c>
      <c r="B562" s="32" t="s">
        <v>8465</v>
      </c>
      <c r="C562" s="32" t="s">
        <v>8466</v>
      </c>
      <c r="D562" s="32" t="s">
        <v>8467</v>
      </c>
      <c r="E562" s="32" t="s">
        <v>8468</v>
      </c>
      <c r="F562" s="33" t="s">
        <v>8469</v>
      </c>
      <c r="G562" s="35" t="s">
        <v>8470</v>
      </c>
      <c r="H562" s="34"/>
      <c r="I562" s="34"/>
    </row>
    <row r="563">
      <c r="A563" s="32" t="s">
        <v>2243</v>
      </c>
      <c r="B563" s="32" t="s">
        <v>8471</v>
      </c>
      <c r="C563" s="32" t="s">
        <v>8472</v>
      </c>
      <c r="D563" s="32" t="s">
        <v>8473</v>
      </c>
      <c r="E563" s="32" t="s">
        <v>8474</v>
      </c>
      <c r="F563" s="33" t="s">
        <v>8475</v>
      </c>
      <c r="G563" s="35" t="s">
        <v>8476</v>
      </c>
      <c r="H563" s="34"/>
      <c r="I563" s="34"/>
    </row>
    <row r="564">
      <c r="A564" s="32" t="s">
        <v>316</v>
      </c>
      <c r="B564" s="32" t="s">
        <v>6339</v>
      </c>
      <c r="C564" s="32" t="s">
        <v>6340</v>
      </c>
      <c r="D564" s="32" t="s">
        <v>6341</v>
      </c>
      <c r="E564" s="32" t="s">
        <v>6342</v>
      </c>
      <c r="F564" s="33" t="s">
        <v>6343</v>
      </c>
      <c r="G564" s="35" t="s">
        <v>8477</v>
      </c>
      <c r="H564" s="34"/>
      <c r="I564" s="34"/>
    </row>
    <row r="565">
      <c r="A565" s="32" t="s">
        <v>2248</v>
      </c>
      <c r="B565" s="32" t="s">
        <v>8478</v>
      </c>
      <c r="C565" s="32" t="s">
        <v>8479</v>
      </c>
      <c r="D565" s="32" t="s">
        <v>8480</v>
      </c>
      <c r="E565" s="32" t="s">
        <v>8481</v>
      </c>
      <c r="F565" s="33" t="s">
        <v>8482</v>
      </c>
      <c r="G565" s="35" t="s">
        <v>8483</v>
      </c>
      <c r="H565" s="34"/>
      <c r="I565" s="34"/>
    </row>
    <row r="566">
      <c r="A566" s="32" t="s">
        <v>332</v>
      </c>
      <c r="B566" s="32" t="s">
        <v>6358</v>
      </c>
      <c r="C566" s="32" t="s">
        <v>6359</v>
      </c>
      <c r="D566" s="32" t="s">
        <v>6360</v>
      </c>
      <c r="E566" s="32" t="s">
        <v>6361</v>
      </c>
      <c r="F566" s="33" t="s">
        <v>6362</v>
      </c>
      <c r="G566" s="35" t="s">
        <v>8484</v>
      </c>
      <c r="H566" s="34"/>
      <c r="I566" s="34"/>
    </row>
    <row r="567">
      <c r="A567" s="32" t="s">
        <v>2253</v>
      </c>
      <c r="B567" s="32" t="s">
        <v>8266</v>
      </c>
      <c r="C567" s="32" t="s">
        <v>8267</v>
      </c>
      <c r="D567" s="32" t="s">
        <v>8268</v>
      </c>
      <c r="E567" s="32" t="s">
        <v>8269</v>
      </c>
      <c r="F567" s="33" t="s">
        <v>8270</v>
      </c>
      <c r="G567" s="35" t="s">
        <v>8485</v>
      </c>
      <c r="H567" s="34"/>
      <c r="I567" s="34"/>
    </row>
    <row r="568">
      <c r="A568" s="32" t="s">
        <v>2257</v>
      </c>
      <c r="B568" s="32" t="s">
        <v>7748</v>
      </c>
      <c r="C568" s="32" t="s">
        <v>7749</v>
      </c>
      <c r="D568" s="32" t="s">
        <v>7750</v>
      </c>
      <c r="E568" s="32" t="s">
        <v>7751</v>
      </c>
      <c r="F568" s="33" t="s">
        <v>7752</v>
      </c>
      <c r="G568" s="35" t="s">
        <v>7754</v>
      </c>
      <c r="H568" s="34"/>
      <c r="I568" s="34"/>
    </row>
    <row r="569">
      <c r="A569" s="32" t="s">
        <v>2261</v>
      </c>
      <c r="B569" s="32" t="s">
        <v>8486</v>
      </c>
      <c r="C569" s="32" t="s">
        <v>8487</v>
      </c>
      <c r="D569" s="32" t="s">
        <v>8488</v>
      </c>
      <c r="E569" s="32" t="s">
        <v>8489</v>
      </c>
      <c r="F569" s="33" t="s">
        <v>8490</v>
      </c>
      <c r="G569" s="35" t="s">
        <v>8491</v>
      </c>
      <c r="H569" s="34"/>
      <c r="I569" s="34"/>
    </row>
    <row r="570">
      <c r="A570" s="32" t="s">
        <v>2265</v>
      </c>
      <c r="B570" s="32" t="s">
        <v>8492</v>
      </c>
      <c r="C570" s="32" t="s">
        <v>8493</v>
      </c>
      <c r="D570" s="32" t="s">
        <v>8494</v>
      </c>
      <c r="E570" s="32" t="s">
        <v>8495</v>
      </c>
      <c r="F570" s="33" t="s">
        <v>8496</v>
      </c>
      <c r="G570" s="35" t="s">
        <v>8497</v>
      </c>
      <c r="H570" s="34"/>
      <c r="I570" s="34"/>
    </row>
    <row r="571">
      <c r="A571" s="32" t="s">
        <v>340</v>
      </c>
      <c r="B571" s="32" t="s">
        <v>6370</v>
      </c>
      <c r="C571" s="32" t="s">
        <v>6371</v>
      </c>
      <c r="D571" s="32" t="s">
        <v>6372</v>
      </c>
      <c r="E571" s="32" t="s">
        <v>6373</v>
      </c>
      <c r="F571" s="33" t="s">
        <v>6374</v>
      </c>
      <c r="G571" s="35" t="s">
        <v>8498</v>
      </c>
      <c r="H571" s="34"/>
      <c r="I571" s="34"/>
    </row>
    <row r="572">
      <c r="A572" s="32" t="s">
        <v>344</v>
      </c>
      <c r="B572" s="32" t="s">
        <v>6376</v>
      </c>
      <c r="C572" s="32" t="s">
        <v>6377</v>
      </c>
      <c r="D572" s="32" t="s">
        <v>6378</v>
      </c>
      <c r="E572" s="32" t="s">
        <v>6379</v>
      </c>
      <c r="F572" s="33" t="s">
        <v>6380</v>
      </c>
      <c r="G572" s="35" t="s">
        <v>8499</v>
      </c>
      <c r="H572" s="34"/>
      <c r="I572" s="34"/>
    </row>
    <row r="573">
      <c r="A573" s="32" t="s">
        <v>2271</v>
      </c>
      <c r="B573" s="32" t="s">
        <v>8500</v>
      </c>
      <c r="C573" s="32" t="s">
        <v>8501</v>
      </c>
      <c r="D573" s="32" t="s">
        <v>8502</v>
      </c>
      <c r="E573" s="32" t="s">
        <v>8503</v>
      </c>
      <c r="F573" s="33" t="s">
        <v>8504</v>
      </c>
      <c r="G573" s="35" t="s">
        <v>8505</v>
      </c>
      <c r="H573" s="34"/>
      <c r="I573" s="34"/>
    </row>
    <row r="574">
      <c r="A574" s="32" t="s">
        <v>2275</v>
      </c>
      <c r="B574" s="32" t="s">
        <v>8506</v>
      </c>
      <c r="C574" s="32" t="s">
        <v>8507</v>
      </c>
      <c r="D574" s="32" t="s">
        <v>8508</v>
      </c>
      <c r="E574" s="32" t="s">
        <v>8509</v>
      </c>
      <c r="F574" s="33" t="s">
        <v>8510</v>
      </c>
      <c r="G574" s="35" t="s">
        <v>8511</v>
      </c>
      <c r="H574" s="34"/>
      <c r="I574" s="34"/>
    </row>
    <row r="575">
      <c r="A575" s="32" t="s">
        <v>2279</v>
      </c>
      <c r="B575" s="32" t="s">
        <v>8512</v>
      </c>
      <c r="C575" s="32" t="s">
        <v>8513</v>
      </c>
      <c r="D575" s="32" t="s">
        <v>8514</v>
      </c>
      <c r="E575" s="32" t="s">
        <v>8515</v>
      </c>
      <c r="F575" s="33" t="s">
        <v>8516</v>
      </c>
      <c r="G575" s="35" t="s">
        <v>8517</v>
      </c>
      <c r="H575" s="34"/>
      <c r="I575" s="34"/>
    </row>
    <row r="576">
      <c r="A576" s="32" t="s">
        <v>2283</v>
      </c>
      <c r="B576" s="32" t="s">
        <v>7759</v>
      </c>
      <c r="C576" s="32" t="s">
        <v>7760</v>
      </c>
      <c r="D576" s="32" t="s">
        <v>7761</v>
      </c>
      <c r="E576" s="32" t="s">
        <v>7762</v>
      </c>
      <c r="F576" s="33" t="s">
        <v>7763</v>
      </c>
      <c r="G576" s="35" t="s">
        <v>8518</v>
      </c>
      <c r="H576" s="34"/>
      <c r="I576" s="34"/>
    </row>
    <row r="577">
      <c r="A577" s="32" t="s">
        <v>2286</v>
      </c>
      <c r="B577" s="32" t="s">
        <v>8519</v>
      </c>
      <c r="C577" s="32" t="s">
        <v>8520</v>
      </c>
      <c r="D577" s="32" t="s">
        <v>8521</v>
      </c>
      <c r="E577" s="32" t="s">
        <v>8522</v>
      </c>
      <c r="F577" s="33" t="s">
        <v>8523</v>
      </c>
      <c r="G577" s="35" t="s">
        <v>8524</v>
      </c>
      <c r="H577" s="34"/>
      <c r="I577" s="34"/>
    </row>
    <row r="578">
      <c r="A578" s="32" t="s">
        <v>2290</v>
      </c>
      <c r="B578" s="32" t="s">
        <v>8525</v>
      </c>
      <c r="C578" s="32" t="s">
        <v>8526</v>
      </c>
      <c r="D578" s="32" t="s">
        <v>8527</v>
      </c>
      <c r="E578" s="32" t="s">
        <v>8528</v>
      </c>
      <c r="F578" s="33" t="s">
        <v>8529</v>
      </c>
      <c r="G578" s="35" t="s">
        <v>8530</v>
      </c>
      <c r="H578" s="34"/>
      <c r="I578" s="34"/>
    </row>
    <row r="579">
      <c r="A579" s="32" t="s">
        <v>2294</v>
      </c>
      <c r="B579" s="32" t="s">
        <v>8531</v>
      </c>
      <c r="C579" s="32" t="s">
        <v>8532</v>
      </c>
      <c r="D579" s="32" t="s">
        <v>8533</v>
      </c>
      <c r="E579" s="32" t="s">
        <v>8534</v>
      </c>
      <c r="F579" s="33" t="s">
        <v>8535</v>
      </c>
      <c r="G579" s="35" t="s">
        <v>8536</v>
      </c>
      <c r="H579" s="34"/>
      <c r="I579" s="34"/>
    </row>
    <row r="580">
      <c r="A580" s="32" t="s">
        <v>2298</v>
      </c>
      <c r="B580" s="32" t="s">
        <v>8537</v>
      </c>
      <c r="C580" s="32" t="s">
        <v>8538</v>
      </c>
      <c r="D580" s="32" t="s">
        <v>8539</v>
      </c>
      <c r="E580" s="32" t="s">
        <v>8540</v>
      </c>
      <c r="F580" s="33" t="s">
        <v>8541</v>
      </c>
      <c r="G580" s="35" t="s">
        <v>8542</v>
      </c>
      <c r="H580" s="34"/>
      <c r="I580" s="34"/>
    </row>
    <row r="581">
      <c r="A581" s="32" t="s">
        <v>2304</v>
      </c>
      <c r="B581" s="32" t="s">
        <v>8543</v>
      </c>
      <c r="C581" s="32" t="s">
        <v>8544</v>
      </c>
      <c r="D581" s="32" t="s">
        <v>8545</v>
      </c>
      <c r="E581" s="32" t="s">
        <v>8546</v>
      </c>
      <c r="F581" s="33" t="s">
        <v>8547</v>
      </c>
      <c r="G581" s="35" t="s">
        <v>8548</v>
      </c>
      <c r="H581" s="34"/>
      <c r="I581" s="34"/>
    </row>
    <row r="582">
      <c r="A582" s="32" t="s">
        <v>2308</v>
      </c>
      <c r="B582" s="32" t="s">
        <v>8122</v>
      </c>
      <c r="C582" s="32" t="s">
        <v>8123</v>
      </c>
      <c r="D582" s="32" t="s">
        <v>8124</v>
      </c>
      <c r="E582" s="32" t="s">
        <v>8125</v>
      </c>
      <c r="F582" s="33" t="s">
        <v>8126</v>
      </c>
      <c r="G582" s="35" t="s">
        <v>8549</v>
      </c>
      <c r="H582" s="34"/>
      <c r="I582" s="34"/>
    </row>
    <row r="583">
      <c r="A583" s="32" t="s">
        <v>2312</v>
      </c>
      <c r="B583" s="32" t="s">
        <v>7726</v>
      </c>
      <c r="C583" s="32" t="s">
        <v>7727</v>
      </c>
      <c r="D583" s="32" t="s">
        <v>7728</v>
      </c>
      <c r="E583" s="32" t="s">
        <v>7729</v>
      </c>
      <c r="F583" s="33" t="s">
        <v>7730</v>
      </c>
      <c r="G583" s="35" t="s">
        <v>8550</v>
      </c>
      <c r="H583" s="34"/>
      <c r="I583" s="34"/>
    </row>
    <row r="584">
      <c r="A584" s="32" t="s">
        <v>2315</v>
      </c>
      <c r="B584" s="32" t="s">
        <v>8551</v>
      </c>
      <c r="C584" s="32" t="s">
        <v>8552</v>
      </c>
      <c r="D584" s="32" t="s">
        <v>8553</v>
      </c>
      <c r="E584" s="32" t="s">
        <v>8554</v>
      </c>
      <c r="F584" s="33" t="s">
        <v>8555</v>
      </c>
      <c r="G584" s="35" t="s">
        <v>8556</v>
      </c>
      <c r="H584" s="34"/>
      <c r="I584" s="34"/>
    </row>
    <row r="585">
      <c r="A585" s="32" t="s">
        <v>2319</v>
      </c>
      <c r="B585" s="32" t="s">
        <v>8557</v>
      </c>
      <c r="C585" s="32" t="s">
        <v>8558</v>
      </c>
      <c r="D585" s="32" t="s">
        <v>8559</v>
      </c>
      <c r="E585" s="32" t="s">
        <v>8560</v>
      </c>
      <c r="F585" s="33" t="s">
        <v>8561</v>
      </c>
      <c r="G585" s="35" t="s">
        <v>8562</v>
      </c>
      <c r="H585" s="34"/>
      <c r="I585" s="34"/>
    </row>
    <row r="586">
      <c r="A586" s="32" t="s">
        <v>2323</v>
      </c>
      <c r="B586" s="32" t="s">
        <v>7680</v>
      </c>
      <c r="C586" s="32" t="s">
        <v>7681</v>
      </c>
      <c r="D586" s="32" t="s">
        <v>7682</v>
      </c>
      <c r="E586" s="32" t="s">
        <v>7683</v>
      </c>
      <c r="F586" s="33" t="s">
        <v>7684</v>
      </c>
      <c r="G586" s="35" t="s">
        <v>8563</v>
      </c>
      <c r="H586" s="34"/>
      <c r="I586" s="34"/>
    </row>
    <row r="587">
      <c r="A587" s="32" t="s">
        <v>2326</v>
      </c>
      <c r="B587" s="32" t="s">
        <v>8564</v>
      </c>
      <c r="C587" s="32" t="s">
        <v>8565</v>
      </c>
      <c r="D587" s="32" t="s">
        <v>8566</v>
      </c>
      <c r="E587" s="32" t="s">
        <v>8567</v>
      </c>
      <c r="F587" s="33" t="s">
        <v>8568</v>
      </c>
      <c r="G587" s="35" t="s">
        <v>8569</v>
      </c>
      <c r="H587" s="34"/>
      <c r="I587" s="34"/>
    </row>
    <row r="588">
      <c r="A588" s="32" t="s">
        <v>1393</v>
      </c>
      <c r="B588" s="32" t="s">
        <v>7593</v>
      </c>
      <c r="C588" s="32" t="s">
        <v>7594</v>
      </c>
      <c r="D588" s="32" t="s">
        <v>7595</v>
      </c>
      <c r="E588" s="32" t="s">
        <v>7596</v>
      </c>
      <c r="F588" s="33" t="s">
        <v>7597</v>
      </c>
      <c r="G588" s="35" t="s">
        <v>8570</v>
      </c>
      <c r="H588" s="34"/>
      <c r="I588" s="34"/>
    </row>
    <row r="589">
      <c r="A589" s="32" t="s">
        <v>1397</v>
      </c>
      <c r="B589" s="32" t="s">
        <v>7599</v>
      </c>
      <c r="C589" s="32" t="s">
        <v>7600</v>
      </c>
      <c r="D589" s="32" t="s">
        <v>7601</v>
      </c>
      <c r="E589" s="32" t="s">
        <v>7602</v>
      </c>
      <c r="F589" s="33" t="s">
        <v>7603</v>
      </c>
      <c r="G589" s="35" t="s">
        <v>8571</v>
      </c>
      <c r="H589" s="34"/>
      <c r="I589" s="34"/>
    </row>
    <row r="590">
      <c r="A590" s="32" t="s">
        <v>2332</v>
      </c>
      <c r="B590" s="32" t="s">
        <v>8572</v>
      </c>
      <c r="C590" s="32" t="s">
        <v>8573</v>
      </c>
      <c r="D590" s="32" t="s">
        <v>8574</v>
      </c>
      <c r="E590" s="32" t="s">
        <v>8575</v>
      </c>
      <c r="F590" s="33" t="s">
        <v>8576</v>
      </c>
      <c r="G590" s="35" t="s">
        <v>8577</v>
      </c>
      <c r="H590" s="34"/>
      <c r="I590" s="34"/>
    </row>
    <row r="591">
      <c r="A591" s="32" t="s">
        <v>2339</v>
      </c>
      <c r="B591" s="32" t="s">
        <v>8578</v>
      </c>
      <c r="C591" s="32" t="s">
        <v>8579</v>
      </c>
      <c r="D591" s="32" t="s">
        <v>8580</v>
      </c>
      <c r="E591" s="32" t="s">
        <v>8581</v>
      </c>
      <c r="F591" s="33" t="s">
        <v>8582</v>
      </c>
      <c r="G591" s="35" t="s">
        <v>8583</v>
      </c>
      <c r="H591" s="34"/>
      <c r="I591" s="34"/>
    </row>
    <row r="592">
      <c r="A592" s="32" t="s">
        <v>2346</v>
      </c>
      <c r="B592" s="32" t="s">
        <v>8584</v>
      </c>
      <c r="C592" s="32" t="s">
        <v>8585</v>
      </c>
      <c r="D592" s="32" t="s">
        <v>8586</v>
      </c>
      <c r="E592" s="32" t="s">
        <v>8587</v>
      </c>
      <c r="F592" s="33" t="s">
        <v>8588</v>
      </c>
      <c r="G592" s="35" t="s">
        <v>8589</v>
      </c>
      <c r="H592" s="34"/>
      <c r="I592" s="34"/>
    </row>
    <row r="593">
      <c r="A593" s="32" t="s">
        <v>2352</v>
      </c>
      <c r="B593" s="32" t="s">
        <v>8590</v>
      </c>
      <c r="C593" s="32" t="s">
        <v>8591</v>
      </c>
      <c r="D593" s="32" t="s">
        <v>8592</v>
      </c>
      <c r="E593" s="32" t="s">
        <v>8593</v>
      </c>
      <c r="F593" s="33" t="s">
        <v>8594</v>
      </c>
      <c r="G593" s="35" t="s">
        <v>8595</v>
      </c>
      <c r="H593" s="34"/>
      <c r="I593" s="34"/>
    </row>
    <row r="594">
      <c r="A594" s="32" t="s">
        <v>2356</v>
      </c>
      <c r="B594" s="32" t="s">
        <v>8596</v>
      </c>
      <c r="C594" s="32" t="s">
        <v>8597</v>
      </c>
      <c r="D594" s="32" t="s">
        <v>8598</v>
      </c>
      <c r="E594" s="32" t="s">
        <v>8599</v>
      </c>
      <c r="F594" s="33" t="s">
        <v>8600</v>
      </c>
      <c r="G594" s="35" t="s">
        <v>8601</v>
      </c>
      <c r="H594" s="34"/>
      <c r="I594" s="34"/>
    </row>
    <row r="595">
      <c r="A595" s="32" t="s">
        <v>1431</v>
      </c>
      <c r="B595" s="32" t="s">
        <v>7626</v>
      </c>
      <c r="C595" s="32" t="s">
        <v>7627</v>
      </c>
      <c r="D595" s="32" t="s">
        <v>7628</v>
      </c>
      <c r="E595" s="32" t="s">
        <v>7629</v>
      </c>
      <c r="F595" s="33" t="s">
        <v>7630</v>
      </c>
      <c r="G595" s="35" t="s">
        <v>8602</v>
      </c>
      <c r="H595" s="34"/>
      <c r="I595" s="34"/>
    </row>
    <row r="596">
      <c r="A596" s="32" t="s">
        <v>1438</v>
      </c>
      <c r="B596" s="32" t="s">
        <v>7632</v>
      </c>
      <c r="C596" s="32" t="s">
        <v>7633</v>
      </c>
      <c r="D596" s="32" t="s">
        <v>7634</v>
      </c>
      <c r="E596" s="32" t="s">
        <v>7635</v>
      </c>
      <c r="F596" s="33" t="s">
        <v>7636</v>
      </c>
      <c r="G596" s="35" t="s">
        <v>8603</v>
      </c>
      <c r="H596" s="34"/>
      <c r="I596" s="34"/>
    </row>
    <row r="597">
      <c r="A597" s="32" t="s">
        <v>2364</v>
      </c>
      <c r="B597" s="32" t="s">
        <v>8604</v>
      </c>
      <c r="C597" s="32" t="s">
        <v>8605</v>
      </c>
      <c r="D597" s="32" t="s">
        <v>8606</v>
      </c>
      <c r="E597" s="32" t="s">
        <v>8607</v>
      </c>
      <c r="F597" s="33" t="s">
        <v>8608</v>
      </c>
      <c r="G597" s="35" t="s">
        <v>8609</v>
      </c>
      <c r="H597" s="34"/>
      <c r="I597" s="34"/>
    </row>
    <row r="598">
      <c r="A598" s="32" t="s">
        <v>2368</v>
      </c>
      <c r="B598" s="32" t="s">
        <v>8610</v>
      </c>
      <c r="C598" s="32" t="s">
        <v>8611</v>
      </c>
      <c r="D598" s="32" t="s">
        <v>8612</v>
      </c>
      <c r="E598" s="32" t="s">
        <v>8613</v>
      </c>
      <c r="F598" s="33" t="s">
        <v>8614</v>
      </c>
      <c r="G598" s="35" t="s">
        <v>8615</v>
      </c>
      <c r="H598" s="34"/>
      <c r="I598" s="34"/>
    </row>
    <row r="599">
      <c r="A599" s="32" t="s">
        <v>2374</v>
      </c>
      <c r="B599" s="32" t="s">
        <v>8616</v>
      </c>
      <c r="C599" s="32" t="s">
        <v>8617</v>
      </c>
      <c r="D599" s="32" t="s">
        <v>8618</v>
      </c>
      <c r="E599" s="32" t="s">
        <v>8619</v>
      </c>
      <c r="F599" s="33" t="s">
        <v>8620</v>
      </c>
      <c r="G599" s="35" t="s">
        <v>8621</v>
      </c>
      <c r="H599" s="34"/>
      <c r="I599" s="34"/>
    </row>
    <row r="600">
      <c r="A600" s="32" t="s">
        <v>1452</v>
      </c>
      <c r="B600" s="32" t="s">
        <v>7650</v>
      </c>
      <c r="C600" s="32" t="s">
        <v>7651</v>
      </c>
      <c r="D600" s="32" t="s">
        <v>7652</v>
      </c>
      <c r="E600" s="32" t="s">
        <v>7653</v>
      </c>
      <c r="F600" s="33" t="s">
        <v>7654</v>
      </c>
      <c r="G600" s="35" t="s">
        <v>8622</v>
      </c>
      <c r="H600" s="34"/>
      <c r="I600" s="34"/>
    </row>
    <row r="601">
      <c r="A601" s="32" t="s">
        <v>2379</v>
      </c>
      <c r="B601" s="32" t="s">
        <v>8623</v>
      </c>
      <c r="C601" s="32" t="s">
        <v>8624</v>
      </c>
      <c r="D601" s="32" t="s">
        <v>8625</v>
      </c>
      <c r="E601" s="32" t="s">
        <v>8626</v>
      </c>
      <c r="F601" s="33" t="s">
        <v>8627</v>
      </c>
      <c r="G601" s="35" t="s">
        <v>8628</v>
      </c>
      <c r="H601" s="34"/>
      <c r="I601" s="34"/>
    </row>
    <row r="602">
      <c r="A602" s="32" t="s">
        <v>1448</v>
      </c>
      <c r="B602" s="32" t="s">
        <v>8629</v>
      </c>
      <c r="C602" s="32" t="s">
        <v>8630</v>
      </c>
      <c r="D602" s="32" t="s">
        <v>8631</v>
      </c>
      <c r="E602" s="32" t="s">
        <v>8632</v>
      </c>
      <c r="F602" s="33" t="s">
        <v>8633</v>
      </c>
      <c r="G602" s="35" t="s">
        <v>8634</v>
      </c>
      <c r="H602" s="34"/>
      <c r="I602" s="34"/>
    </row>
    <row r="603">
      <c r="A603" s="32" t="s">
        <v>2384</v>
      </c>
      <c r="B603" s="32" t="s">
        <v>8635</v>
      </c>
      <c r="C603" s="32" t="s">
        <v>8636</v>
      </c>
      <c r="D603" s="32" t="s">
        <v>8637</v>
      </c>
      <c r="E603" s="32" t="s">
        <v>8638</v>
      </c>
      <c r="F603" s="33" t="s">
        <v>8639</v>
      </c>
      <c r="G603" s="35" t="s">
        <v>8640</v>
      </c>
      <c r="H603" s="34"/>
      <c r="I603" s="34"/>
    </row>
    <row r="604">
      <c r="A604" s="32" t="s">
        <v>2388</v>
      </c>
      <c r="B604" s="32" t="s">
        <v>8641</v>
      </c>
      <c r="C604" s="32" t="s">
        <v>8642</v>
      </c>
      <c r="D604" s="32" t="s">
        <v>8643</v>
      </c>
      <c r="E604" s="32" t="s">
        <v>8644</v>
      </c>
      <c r="F604" s="33" t="s">
        <v>8645</v>
      </c>
      <c r="G604" s="35" t="s">
        <v>8646</v>
      </c>
      <c r="H604" s="34"/>
      <c r="I604" s="34"/>
    </row>
    <row r="605">
      <c r="A605" s="32" t="s">
        <v>1472</v>
      </c>
      <c r="B605" s="32" t="s">
        <v>7674</v>
      </c>
      <c r="C605" s="32" t="s">
        <v>7675</v>
      </c>
      <c r="D605" s="32" t="s">
        <v>7676</v>
      </c>
      <c r="E605" s="32" t="s">
        <v>7677</v>
      </c>
      <c r="F605" s="33" t="s">
        <v>7678</v>
      </c>
      <c r="G605" s="35" t="s">
        <v>8647</v>
      </c>
      <c r="H605" s="34"/>
      <c r="I605" s="34"/>
    </row>
    <row r="606">
      <c r="A606" s="32" t="s">
        <v>2392</v>
      </c>
      <c r="B606" s="32" t="s">
        <v>8648</v>
      </c>
      <c r="C606" s="32" t="s">
        <v>8649</v>
      </c>
      <c r="D606" s="32" t="s">
        <v>8650</v>
      </c>
      <c r="E606" s="32" t="s">
        <v>8651</v>
      </c>
      <c r="F606" s="33" t="s">
        <v>8652</v>
      </c>
      <c r="G606" s="35" t="s">
        <v>8653</v>
      </c>
      <c r="H606" s="34"/>
      <c r="I606" s="34"/>
    </row>
    <row r="607">
      <c r="A607" s="32" t="s">
        <v>2396</v>
      </c>
      <c r="B607" s="32" t="s">
        <v>8654</v>
      </c>
      <c r="C607" s="32" t="s">
        <v>8655</v>
      </c>
      <c r="D607" s="32" t="s">
        <v>8656</v>
      </c>
      <c r="E607" s="32" t="s">
        <v>8657</v>
      </c>
      <c r="F607" s="33" t="s">
        <v>8658</v>
      </c>
      <c r="G607" s="35" t="s">
        <v>8659</v>
      </c>
      <c r="H607" s="34"/>
      <c r="I607" s="34"/>
    </row>
    <row r="608">
      <c r="A608" s="32" t="s">
        <v>2400</v>
      </c>
      <c r="B608" s="32" t="s">
        <v>8660</v>
      </c>
      <c r="C608" s="32" t="s">
        <v>8661</v>
      </c>
      <c r="D608" s="32" t="s">
        <v>8662</v>
      </c>
      <c r="E608" s="32" t="s">
        <v>8663</v>
      </c>
      <c r="F608" s="33" t="s">
        <v>8664</v>
      </c>
      <c r="G608" s="35" t="s">
        <v>8665</v>
      </c>
      <c r="H608" s="34"/>
      <c r="I608" s="34"/>
    </row>
    <row r="609">
      <c r="A609" s="32" t="s">
        <v>1509</v>
      </c>
      <c r="B609" s="32" t="s">
        <v>8512</v>
      </c>
      <c r="C609" s="32" t="s">
        <v>8513</v>
      </c>
      <c r="D609" s="32" t="s">
        <v>8514</v>
      </c>
      <c r="E609" s="32" t="s">
        <v>8515</v>
      </c>
      <c r="F609" s="33" t="s">
        <v>8516</v>
      </c>
      <c r="G609" s="35" t="s">
        <v>8666</v>
      </c>
      <c r="H609" s="34"/>
      <c r="I609" s="34"/>
    </row>
    <row r="610">
      <c r="A610" s="32" t="s">
        <v>1513</v>
      </c>
      <c r="B610" s="32" t="s">
        <v>7713</v>
      </c>
      <c r="C610" s="32" t="s">
        <v>7714</v>
      </c>
      <c r="D610" s="32" t="s">
        <v>7715</v>
      </c>
      <c r="E610" s="32" t="s">
        <v>7716</v>
      </c>
      <c r="F610" s="33" t="s">
        <v>7717</v>
      </c>
      <c r="G610" s="35" t="s">
        <v>8667</v>
      </c>
      <c r="H610" s="34"/>
      <c r="I610" s="34"/>
    </row>
    <row r="611">
      <c r="A611" s="32" t="s">
        <v>2406</v>
      </c>
      <c r="B611" s="32" t="s">
        <v>8668</v>
      </c>
      <c r="C611" s="32" t="s">
        <v>8669</v>
      </c>
      <c r="D611" s="32" t="s">
        <v>8670</v>
      </c>
      <c r="E611" s="32" t="s">
        <v>8671</v>
      </c>
      <c r="F611" s="33" t="s">
        <v>8672</v>
      </c>
      <c r="G611" s="35" t="s">
        <v>8673</v>
      </c>
      <c r="H611" s="34"/>
      <c r="I611" s="34"/>
    </row>
    <row r="612">
      <c r="A612" s="32" t="s">
        <v>2410</v>
      </c>
      <c r="B612" s="32" t="s">
        <v>8674</v>
      </c>
      <c r="C612" s="32" t="s">
        <v>8675</v>
      </c>
      <c r="D612" s="32" t="s">
        <v>8676</v>
      </c>
      <c r="E612" s="32" t="s">
        <v>8677</v>
      </c>
      <c r="F612" s="33" t="s">
        <v>8678</v>
      </c>
      <c r="G612" s="35" t="s">
        <v>8679</v>
      </c>
      <c r="H612" s="34"/>
      <c r="I612" s="34"/>
    </row>
    <row r="613">
      <c r="A613" s="32" t="s">
        <v>1532</v>
      </c>
      <c r="B613" s="32" t="s">
        <v>8680</v>
      </c>
      <c r="C613" s="32" t="s">
        <v>8681</v>
      </c>
      <c r="D613" s="32" t="s">
        <v>8682</v>
      </c>
      <c r="E613" s="32" t="s">
        <v>8683</v>
      </c>
      <c r="F613" s="33" t="s">
        <v>8684</v>
      </c>
      <c r="G613" s="35" t="s">
        <v>8685</v>
      </c>
      <c r="H613" s="34"/>
      <c r="I613" s="34"/>
    </row>
    <row r="614">
      <c r="A614" s="32" t="s">
        <v>2417</v>
      </c>
      <c r="B614" s="32" t="s">
        <v>8686</v>
      </c>
      <c r="C614" s="32" t="s">
        <v>8687</v>
      </c>
      <c r="D614" s="32" t="s">
        <v>8688</v>
      </c>
      <c r="E614" s="32" t="s">
        <v>8689</v>
      </c>
      <c r="F614" s="33" t="s">
        <v>8690</v>
      </c>
      <c r="G614" s="35" t="s">
        <v>8691</v>
      </c>
      <c r="H614" s="34"/>
      <c r="I614" s="34"/>
    </row>
    <row r="615">
      <c r="A615" s="32" t="s">
        <v>2421</v>
      </c>
      <c r="B615" s="32" t="s">
        <v>8692</v>
      </c>
      <c r="C615" s="32" t="s">
        <v>8693</v>
      </c>
      <c r="D615" s="32" t="s">
        <v>8694</v>
      </c>
      <c r="E615" s="32" t="s">
        <v>8695</v>
      </c>
      <c r="F615" s="33" t="s">
        <v>8696</v>
      </c>
      <c r="G615" s="35" t="s">
        <v>8697</v>
      </c>
      <c r="H615" s="34"/>
      <c r="I615" s="34"/>
    </row>
    <row r="616">
      <c r="A616" s="32" t="s">
        <v>16</v>
      </c>
      <c r="B616" s="32" t="s">
        <v>5979</v>
      </c>
      <c r="C616" s="32" t="s">
        <v>5980</v>
      </c>
      <c r="D616" s="32" t="s">
        <v>5981</v>
      </c>
      <c r="E616" s="32" t="s">
        <v>5982</v>
      </c>
      <c r="F616" s="33" t="s">
        <v>6400</v>
      </c>
      <c r="G616" s="35" t="s">
        <v>8698</v>
      </c>
      <c r="H616" s="34"/>
      <c r="I616" s="34"/>
    </row>
    <row r="617">
      <c r="A617" s="32" t="s">
        <v>2430</v>
      </c>
      <c r="B617" s="32" t="s">
        <v>8699</v>
      </c>
      <c r="C617" s="32" t="s">
        <v>8700</v>
      </c>
      <c r="D617" s="32" t="s">
        <v>8701</v>
      </c>
      <c r="E617" s="32" t="s">
        <v>8702</v>
      </c>
      <c r="F617" s="33" t="s">
        <v>8703</v>
      </c>
      <c r="G617" s="35" t="s">
        <v>8704</v>
      </c>
      <c r="H617" s="34"/>
      <c r="I617" s="34"/>
    </row>
    <row r="618">
      <c r="A618" s="32" t="s">
        <v>2437</v>
      </c>
      <c r="B618" s="32" t="s">
        <v>8705</v>
      </c>
      <c r="C618" s="32" t="s">
        <v>8706</v>
      </c>
      <c r="D618" s="32" t="s">
        <v>8707</v>
      </c>
      <c r="E618" s="32" t="s">
        <v>8708</v>
      </c>
      <c r="F618" s="33" t="s">
        <v>8709</v>
      </c>
      <c r="G618" s="35" t="s">
        <v>8710</v>
      </c>
      <c r="H618" s="34"/>
      <c r="I618" s="34"/>
    </row>
    <row r="619">
      <c r="A619" s="32" t="s">
        <v>2447</v>
      </c>
      <c r="B619" s="32" t="s">
        <v>8711</v>
      </c>
      <c r="C619" s="32" t="s">
        <v>8712</v>
      </c>
      <c r="D619" s="32" t="s">
        <v>8713</v>
      </c>
      <c r="E619" s="32" t="s">
        <v>8714</v>
      </c>
      <c r="F619" s="33" t="s">
        <v>8715</v>
      </c>
      <c r="G619" s="35" t="s">
        <v>8716</v>
      </c>
      <c r="H619" s="34"/>
      <c r="I619" s="34"/>
    </row>
    <row r="620">
      <c r="A620" s="32" t="s">
        <v>2456</v>
      </c>
      <c r="B620" s="32" t="s">
        <v>8717</v>
      </c>
      <c r="C620" s="32" t="s">
        <v>8718</v>
      </c>
      <c r="D620" s="32" t="s">
        <v>8719</v>
      </c>
      <c r="E620" s="32" t="s">
        <v>8720</v>
      </c>
      <c r="F620" s="33" t="s">
        <v>8721</v>
      </c>
      <c r="G620" s="35" t="s">
        <v>8722</v>
      </c>
      <c r="H620" s="34"/>
      <c r="I620" s="34"/>
    </row>
    <row r="621">
      <c r="A621" s="32" t="s">
        <v>1568</v>
      </c>
      <c r="B621" s="32" t="s">
        <v>7759</v>
      </c>
      <c r="C621" s="32" t="s">
        <v>7760</v>
      </c>
      <c r="D621" s="32" t="s">
        <v>7761</v>
      </c>
      <c r="E621" s="32" t="s">
        <v>7762</v>
      </c>
      <c r="F621" s="33" t="s">
        <v>7763</v>
      </c>
      <c r="G621" s="35" t="s">
        <v>8723</v>
      </c>
      <c r="H621" s="34"/>
      <c r="I621" s="34"/>
    </row>
    <row r="622">
      <c r="A622" s="32" t="s">
        <v>2461</v>
      </c>
      <c r="B622" s="32" t="s">
        <v>8724</v>
      </c>
      <c r="C622" s="32" t="s">
        <v>8725</v>
      </c>
      <c r="D622" s="32" t="s">
        <v>8726</v>
      </c>
      <c r="E622" s="32" t="s">
        <v>8727</v>
      </c>
      <c r="F622" s="33" t="s">
        <v>8728</v>
      </c>
      <c r="G622" s="35" t="s">
        <v>8729</v>
      </c>
      <c r="H622" s="34"/>
      <c r="I622" s="34"/>
    </row>
    <row r="623">
      <c r="A623" s="32" t="s">
        <v>2465</v>
      </c>
      <c r="B623" s="32" t="s">
        <v>8730</v>
      </c>
      <c r="C623" s="32" t="s">
        <v>8731</v>
      </c>
      <c r="D623" s="32" t="s">
        <v>8732</v>
      </c>
      <c r="E623" s="32" t="s">
        <v>8733</v>
      </c>
      <c r="F623" s="33" t="s">
        <v>8734</v>
      </c>
      <c r="G623" s="35" t="s">
        <v>8735</v>
      </c>
      <c r="H623" s="34"/>
      <c r="I623" s="34"/>
    </row>
    <row r="624">
      <c r="A624" s="32" t="s">
        <v>26</v>
      </c>
      <c r="B624" s="32" t="s">
        <v>5985</v>
      </c>
      <c r="C624" s="32" t="s">
        <v>5986</v>
      </c>
      <c r="D624" s="32" t="s">
        <v>5987</v>
      </c>
      <c r="E624" s="32" t="s">
        <v>5988</v>
      </c>
      <c r="F624" s="33" t="s">
        <v>5989</v>
      </c>
      <c r="G624" s="35" t="s">
        <v>5990</v>
      </c>
      <c r="H624" s="34"/>
      <c r="I624" s="34"/>
    </row>
    <row r="625">
      <c r="A625" s="32" t="s">
        <v>30</v>
      </c>
      <c r="B625" s="32" t="s">
        <v>5991</v>
      </c>
      <c r="C625" s="32" t="s">
        <v>5992</v>
      </c>
      <c r="D625" s="32" t="s">
        <v>5993</v>
      </c>
      <c r="E625" s="32" t="s">
        <v>5994</v>
      </c>
      <c r="F625" s="33" t="s">
        <v>5995</v>
      </c>
      <c r="G625" s="35" t="s">
        <v>5996</v>
      </c>
      <c r="H625" s="34"/>
      <c r="I625" s="34"/>
    </row>
    <row r="626">
      <c r="A626" s="32" t="s">
        <v>1572</v>
      </c>
      <c r="B626" s="32" t="s">
        <v>8736</v>
      </c>
      <c r="C626" s="32" t="s">
        <v>8737</v>
      </c>
      <c r="D626" s="32" t="s">
        <v>8738</v>
      </c>
      <c r="E626" s="32" t="s">
        <v>8739</v>
      </c>
      <c r="F626" s="33" t="s">
        <v>8740</v>
      </c>
      <c r="G626" s="35" t="s">
        <v>8741</v>
      </c>
      <c r="H626" s="34"/>
      <c r="I626" s="34"/>
    </row>
    <row r="627">
      <c r="A627" s="32" t="s">
        <v>2474</v>
      </c>
      <c r="B627" s="32" t="s">
        <v>8742</v>
      </c>
      <c r="C627" s="32" t="s">
        <v>8743</v>
      </c>
      <c r="D627" s="32" t="s">
        <v>8744</v>
      </c>
      <c r="E627" s="32" t="s">
        <v>8745</v>
      </c>
      <c r="F627" s="33" t="s">
        <v>8746</v>
      </c>
      <c r="G627" s="35" t="s">
        <v>8747</v>
      </c>
      <c r="H627" s="34"/>
      <c r="I627" s="34"/>
    </row>
    <row r="628">
      <c r="A628" s="32" t="s">
        <v>2480</v>
      </c>
      <c r="B628" s="32" t="s">
        <v>8748</v>
      </c>
      <c r="C628" s="32" t="s">
        <v>8749</v>
      </c>
      <c r="D628" s="32" t="s">
        <v>8750</v>
      </c>
      <c r="E628" s="32" t="s">
        <v>8751</v>
      </c>
      <c r="F628" s="33" t="s">
        <v>8752</v>
      </c>
      <c r="G628" s="35" t="s">
        <v>8753</v>
      </c>
      <c r="H628" s="34"/>
      <c r="I628" s="34"/>
    </row>
    <row r="629">
      <c r="A629" s="32" t="s">
        <v>2487</v>
      </c>
      <c r="B629" s="32" t="s">
        <v>8754</v>
      </c>
      <c r="C629" s="32" t="s">
        <v>8755</v>
      </c>
      <c r="D629" s="32" t="s">
        <v>8756</v>
      </c>
      <c r="E629" s="32" t="s">
        <v>8757</v>
      </c>
      <c r="F629" s="33" t="s">
        <v>8758</v>
      </c>
      <c r="G629" s="35" t="s">
        <v>8759</v>
      </c>
      <c r="H629" s="34"/>
      <c r="I629" s="34"/>
    </row>
    <row r="630">
      <c r="A630" s="32" t="s">
        <v>34</v>
      </c>
      <c r="B630" s="32" t="s">
        <v>5997</v>
      </c>
      <c r="C630" s="32" t="s">
        <v>5998</v>
      </c>
      <c r="D630" s="32" t="s">
        <v>5999</v>
      </c>
      <c r="E630" s="32" t="s">
        <v>6000</v>
      </c>
      <c r="F630" s="33" t="s">
        <v>6001</v>
      </c>
      <c r="G630" s="35" t="s">
        <v>8760</v>
      </c>
      <c r="H630" s="34"/>
      <c r="I630" s="34"/>
    </row>
    <row r="631">
      <c r="A631" s="32" t="s">
        <v>2492</v>
      </c>
      <c r="B631" s="32" t="s">
        <v>8761</v>
      </c>
      <c r="C631" s="32" t="s">
        <v>8762</v>
      </c>
      <c r="D631" s="32" t="s">
        <v>8763</v>
      </c>
      <c r="E631" s="32" t="s">
        <v>8764</v>
      </c>
      <c r="F631" s="33" t="s">
        <v>8765</v>
      </c>
      <c r="G631" s="35" t="s">
        <v>8766</v>
      </c>
      <c r="H631" s="34"/>
      <c r="I631" s="34"/>
    </row>
    <row r="632">
      <c r="A632" s="32" t="s">
        <v>2496</v>
      </c>
      <c r="B632" s="32" t="s">
        <v>8767</v>
      </c>
      <c r="C632" s="32" t="s">
        <v>8768</v>
      </c>
      <c r="D632" s="32" t="s">
        <v>8769</v>
      </c>
      <c r="E632" s="32" t="s">
        <v>8770</v>
      </c>
      <c r="F632" s="33" t="s">
        <v>8771</v>
      </c>
      <c r="G632" s="35" t="s">
        <v>8772</v>
      </c>
      <c r="H632" s="34"/>
      <c r="I632" s="34"/>
    </row>
    <row r="633">
      <c r="A633" s="32" t="s">
        <v>2503</v>
      </c>
      <c r="B633" s="32" t="s">
        <v>8773</v>
      </c>
      <c r="C633" s="32" t="s">
        <v>8774</v>
      </c>
      <c r="D633" s="32" t="s">
        <v>8775</v>
      </c>
      <c r="E633" s="32" t="s">
        <v>8776</v>
      </c>
      <c r="F633" s="33" t="s">
        <v>8777</v>
      </c>
      <c r="G633" s="35" t="s">
        <v>8778</v>
      </c>
      <c r="H633" s="34"/>
      <c r="I633" s="34"/>
    </row>
    <row r="634">
      <c r="A634" s="32" t="s">
        <v>38</v>
      </c>
      <c r="B634" s="32" t="s">
        <v>6003</v>
      </c>
      <c r="C634" s="32" t="s">
        <v>6004</v>
      </c>
      <c r="D634" s="32" t="s">
        <v>6005</v>
      </c>
      <c r="E634" s="32" t="s">
        <v>6006</v>
      </c>
      <c r="F634" s="33" t="s">
        <v>6007</v>
      </c>
      <c r="G634" s="35" t="s">
        <v>8779</v>
      </c>
      <c r="H634" s="34"/>
      <c r="I634" s="34"/>
    </row>
    <row r="635">
      <c r="A635" s="32" t="s">
        <v>2508</v>
      </c>
      <c r="B635" s="32" t="s">
        <v>8780</v>
      </c>
      <c r="C635" s="32" t="s">
        <v>8781</v>
      </c>
      <c r="D635" s="32" t="s">
        <v>8782</v>
      </c>
      <c r="E635" s="32" t="s">
        <v>8783</v>
      </c>
      <c r="F635" s="33" t="s">
        <v>8784</v>
      </c>
      <c r="G635" s="35" t="s">
        <v>8785</v>
      </c>
      <c r="H635" s="34"/>
      <c r="I635" s="34"/>
    </row>
    <row r="636">
      <c r="A636" s="32" t="s">
        <v>1635</v>
      </c>
      <c r="B636" s="32" t="s">
        <v>7835</v>
      </c>
      <c r="C636" s="32" t="s">
        <v>7836</v>
      </c>
      <c r="D636" s="32" t="s">
        <v>7837</v>
      </c>
      <c r="E636" s="32" t="s">
        <v>7838</v>
      </c>
      <c r="F636" s="33" t="s">
        <v>7839</v>
      </c>
      <c r="G636" s="35" t="s">
        <v>8786</v>
      </c>
      <c r="H636" s="34"/>
      <c r="I636" s="34"/>
    </row>
    <row r="637">
      <c r="A637" s="32" t="s">
        <v>1639</v>
      </c>
      <c r="B637" s="32" t="s">
        <v>7841</v>
      </c>
      <c r="C637" s="32" t="s">
        <v>7842</v>
      </c>
      <c r="D637" s="32" t="s">
        <v>7843</v>
      </c>
      <c r="E637" s="32" t="s">
        <v>7844</v>
      </c>
      <c r="F637" s="33" t="s">
        <v>7845</v>
      </c>
      <c r="G637" s="35" t="s">
        <v>8787</v>
      </c>
      <c r="H637" s="34"/>
      <c r="I637" s="34"/>
    </row>
    <row r="638">
      <c r="A638" s="32" t="s">
        <v>2514</v>
      </c>
      <c r="B638" s="32" t="s">
        <v>8788</v>
      </c>
      <c r="C638" s="32" t="s">
        <v>8789</v>
      </c>
      <c r="D638" s="32" t="s">
        <v>8790</v>
      </c>
      <c r="E638" s="32" t="s">
        <v>8791</v>
      </c>
      <c r="F638" s="33" t="s">
        <v>8792</v>
      </c>
      <c r="G638" s="35" t="s">
        <v>8793</v>
      </c>
      <c r="H638" s="34"/>
      <c r="I638" s="34"/>
    </row>
    <row r="639">
      <c r="A639" s="32" t="s">
        <v>2518</v>
      </c>
      <c r="B639" s="32" t="s">
        <v>8794</v>
      </c>
      <c r="C639" s="32" t="s">
        <v>8795</v>
      </c>
      <c r="D639" s="32" t="s">
        <v>8796</v>
      </c>
      <c r="E639" s="32" t="s">
        <v>8797</v>
      </c>
      <c r="F639" s="33" t="s">
        <v>8798</v>
      </c>
      <c r="G639" s="35" t="s">
        <v>8799</v>
      </c>
      <c r="H639" s="34"/>
      <c r="I639" s="34"/>
    </row>
    <row r="640">
      <c r="A640" s="32" t="s">
        <v>2526</v>
      </c>
      <c r="B640" s="32" t="s">
        <v>8800</v>
      </c>
      <c r="C640" s="32" t="s">
        <v>8801</v>
      </c>
      <c r="D640" s="32" t="s">
        <v>8802</v>
      </c>
      <c r="E640" s="32" t="s">
        <v>8803</v>
      </c>
      <c r="F640" s="33" t="s">
        <v>8804</v>
      </c>
      <c r="G640" s="35" t="s">
        <v>8805</v>
      </c>
      <c r="H640" s="34"/>
      <c r="I640" s="34"/>
    </row>
    <row r="641">
      <c r="A641" s="32" t="s">
        <v>2532</v>
      </c>
      <c r="B641" s="32" t="s">
        <v>8806</v>
      </c>
      <c r="C641" s="32" t="s">
        <v>8807</v>
      </c>
      <c r="D641" s="32" t="s">
        <v>8808</v>
      </c>
      <c r="E641" s="32" t="s">
        <v>8809</v>
      </c>
      <c r="F641" s="33" t="s">
        <v>8810</v>
      </c>
      <c r="G641" s="35" t="s">
        <v>8811</v>
      </c>
      <c r="H641" s="34"/>
      <c r="I641" s="34"/>
    </row>
    <row r="642">
      <c r="A642" s="32" t="s">
        <v>2536</v>
      </c>
      <c r="B642" s="32" t="s">
        <v>8812</v>
      </c>
      <c r="C642" s="32" t="s">
        <v>8813</v>
      </c>
      <c r="D642" s="32" t="s">
        <v>8814</v>
      </c>
      <c r="E642" s="32" t="s">
        <v>8815</v>
      </c>
      <c r="F642" s="33" t="s">
        <v>8816</v>
      </c>
      <c r="G642" s="35" t="s">
        <v>8817</v>
      </c>
      <c r="H642" s="34"/>
      <c r="I642" s="34"/>
    </row>
    <row r="643">
      <c r="A643" s="32" t="s">
        <v>1645</v>
      </c>
      <c r="B643" s="32" t="s">
        <v>8818</v>
      </c>
      <c r="C643" s="32" t="s">
        <v>8819</v>
      </c>
      <c r="D643" s="32" t="s">
        <v>8820</v>
      </c>
      <c r="E643" s="32" t="s">
        <v>8821</v>
      </c>
      <c r="F643" s="33" t="s">
        <v>8822</v>
      </c>
      <c r="G643" s="35" t="s">
        <v>8823</v>
      </c>
      <c r="H643" s="34"/>
      <c r="I643" s="34"/>
    </row>
    <row r="644">
      <c r="A644" s="32" t="s">
        <v>42</v>
      </c>
      <c r="B644" s="32" t="s">
        <v>6009</v>
      </c>
      <c r="C644" s="32" t="s">
        <v>6010</v>
      </c>
      <c r="D644" s="32" t="s">
        <v>6011</v>
      </c>
      <c r="E644" s="32" t="s">
        <v>6012</v>
      </c>
      <c r="F644" s="33" t="s">
        <v>6013</v>
      </c>
      <c r="G644" s="35" t="s">
        <v>6014</v>
      </c>
      <c r="H644" s="34"/>
      <c r="I644" s="34"/>
    </row>
    <row r="645">
      <c r="A645" s="32" t="s">
        <v>2544</v>
      </c>
      <c r="B645" s="32" t="s">
        <v>8824</v>
      </c>
      <c r="C645" s="32" t="s">
        <v>8825</v>
      </c>
      <c r="D645" s="32" t="s">
        <v>8826</v>
      </c>
      <c r="E645" s="32" t="s">
        <v>8827</v>
      </c>
      <c r="F645" s="33" t="s">
        <v>8828</v>
      </c>
      <c r="G645" s="35" t="s">
        <v>8829</v>
      </c>
      <c r="H645" s="34"/>
      <c r="I645" s="34"/>
    </row>
    <row r="646">
      <c r="A646" s="32" t="s">
        <v>1684</v>
      </c>
      <c r="B646" s="32" t="s">
        <v>7886</v>
      </c>
      <c r="C646" s="32" t="s">
        <v>7887</v>
      </c>
      <c r="D646" s="32" t="s">
        <v>7888</v>
      </c>
      <c r="E646" s="32" t="s">
        <v>7889</v>
      </c>
      <c r="F646" s="33" t="s">
        <v>7890</v>
      </c>
      <c r="G646" s="35" t="s">
        <v>8830</v>
      </c>
      <c r="H646" s="34"/>
      <c r="I646" s="34"/>
    </row>
    <row r="647">
      <c r="A647" s="32" t="s">
        <v>2553</v>
      </c>
      <c r="B647" s="32" t="s">
        <v>8831</v>
      </c>
      <c r="C647" s="32" t="s">
        <v>8832</v>
      </c>
      <c r="D647" s="32" t="s">
        <v>8833</v>
      </c>
      <c r="E647" s="32" t="s">
        <v>8834</v>
      </c>
      <c r="F647" s="33" t="s">
        <v>8835</v>
      </c>
      <c r="G647" s="35" t="s">
        <v>8836</v>
      </c>
      <c r="H647" s="34"/>
      <c r="I647" s="34"/>
    </row>
    <row r="648">
      <c r="A648" s="32" t="s">
        <v>2560</v>
      </c>
      <c r="B648" s="32" t="s">
        <v>8837</v>
      </c>
      <c r="C648" s="32" t="s">
        <v>8838</v>
      </c>
      <c r="D648" s="32" t="s">
        <v>8839</v>
      </c>
      <c r="E648" s="32" t="s">
        <v>8840</v>
      </c>
      <c r="F648" s="33" t="s">
        <v>8841</v>
      </c>
      <c r="G648" s="35" t="s">
        <v>8842</v>
      </c>
      <c r="H648" s="34"/>
      <c r="I648" s="34"/>
    </row>
    <row r="649">
      <c r="A649" s="32" t="s">
        <v>2564</v>
      </c>
      <c r="B649" s="32" t="s">
        <v>8843</v>
      </c>
      <c r="C649" s="32" t="s">
        <v>8844</v>
      </c>
      <c r="D649" s="32" t="s">
        <v>8845</v>
      </c>
      <c r="E649" s="32" t="s">
        <v>8846</v>
      </c>
      <c r="F649" s="33" t="s">
        <v>8847</v>
      </c>
      <c r="G649" s="35" t="s">
        <v>8848</v>
      </c>
      <c r="H649" s="34"/>
      <c r="I649" s="34"/>
    </row>
    <row r="650">
      <c r="A650" s="32" t="s">
        <v>2568</v>
      </c>
      <c r="B650" s="32" t="s">
        <v>8849</v>
      </c>
      <c r="C650" s="32" t="s">
        <v>8850</v>
      </c>
      <c r="D650" s="32" t="s">
        <v>8851</v>
      </c>
      <c r="E650" s="32" t="s">
        <v>8852</v>
      </c>
      <c r="F650" s="33" t="s">
        <v>8853</v>
      </c>
      <c r="G650" s="35" t="s">
        <v>8854</v>
      </c>
      <c r="H650" s="34"/>
      <c r="I650" s="34"/>
    </row>
    <row r="651">
      <c r="A651" s="32" t="s">
        <v>2572</v>
      </c>
      <c r="B651" s="32" t="s">
        <v>8855</v>
      </c>
      <c r="C651" s="32" t="s">
        <v>8856</v>
      </c>
      <c r="D651" s="32" t="s">
        <v>8857</v>
      </c>
      <c r="E651" s="32" t="s">
        <v>8858</v>
      </c>
      <c r="F651" s="33" t="s">
        <v>8859</v>
      </c>
      <c r="G651" s="35" t="s">
        <v>8860</v>
      </c>
      <c r="H651" s="34"/>
      <c r="I651" s="34"/>
    </row>
    <row r="652">
      <c r="A652" s="32" t="s">
        <v>2576</v>
      </c>
      <c r="B652" s="32" t="s">
        <v>8861</v>
      </c>
      <c r="C652" s="32" t="s">
        <v>8862</v>
      </c>
      <c r="D652" s="32" t="s">
        <v>8863</v>
      </c>
      <c r="E652" s="32" t="s">
        <v>8864</v>
      </c>
      <c r="F652" s="33" t="s">
        <v>8865</v>
      </c>
      <c r="G652" s="35" t="s">
        <v>8866</v>
      </c>
      <c r="H652" s="34"/>
      <c r="I652" s="34"/>
    </row>
    <row r="653">
      <c r="A653" s="32" t="s">
        <v>2580</v>
      </c>
      <c r="B653" s="32" t="s">
        <v>8867</v>
      </c>
      <c r="C653" s="32" t="s">
        <v>8868</v>
      </c>
      <c r="D653" s="32" t="s">
        <v>8869</v>
      </c>
      <c r="E653" s="32" t="s">
        <v>8870</v>
      </c>
      <c r="F653" s="33" t="s">
        <v>8871</v>
      </c>
      <c r="G653" s="35" t="s">
        <v>8872</v>
      </c>
      <c r="H653" s="34"/>
      <c r="I653" s="34"/>
    </row>
    <row r="654">
      <c r="A654" s="32" t="s">
        <v>2587</v>
      </c>
      <c r="B654" s="32" t="s">
        <v>8873</v>
      </c>
      <c r="C654" s="32" t="s">
        <v>8874</v>
      </c>
      <c r="D654" s="32" t="s">
        <v>8875</v>
      </c>
      <c r="E654" s="32" t="s">
        <v>8876</v>
      </c>
      <c r="F654" s="33" t="s">
        <v>8877</v>
      </c>
      <c r="G654" s="35" t="s">
        <v>8878</v>
      </c>
      <c r="H654" s="34"/>
      <c r="I654" s="34"/>
    </row>
    <row r="655">
      <c r="A655" s="32" t="s">
        <v>2594</v>
      </c>
      <c r="B655" s="32" t="s">
        <v>8879</v>
      </c>
      <c r="C655" s="32" t="s">
        <v>8880</v>
      </c>
      <c r="D655" s="32" t="s">
        <v>8881</v>
      </c>
      <c r="E655" s="32" t="s">
        <v>8882</v>
      </c>
      <c r="F655" s="33" t="s">
        <v>8883</v>
      </c>
      <c r="G655" s="35" t="s">
        <v>8884</v>
      </c>
      <c r="H655" s="34"/>
      <c r="I655" s="34"/>
    </row>
    <row r="656">
      <c r="A656" s="32" t="s">
        <v>2600</v>
      </c>
      <c r="B656" s="32" t="s">
        <v>8885</v>
      </c>
      <c r="C656" s="32" t="s">
        <v>8886</v>
      </c>
      <c r="D656" s="32" t="s">
        <v>8887</v>
      </c>
      <c r="E656" s="32" t="s">
        <v>8888</v>
      </c>
      <c r="F656" s="33" t="s">
        <v>8889</v>
      </c>
      <c r="G656" s="35" t="s">
        <v>8890</v>
      </c>
      <c r="H656" s="34"/>
      <c r="I656" s="34"/>
    </row>
    <row r="657">
      <c r="A657" s="32" t="s">
        <v>2606</v>
      </c>
      <c r="B657" s="32" t="s">
        <v>8891</v>
      </c>
      <c r="C657" s="32" t="s">
        <v>8892</v>
      </c>
      <c r="D657" s="32" t="s">
        <v>8893</v>
      </c>
      <c r="E657" s="32" t="s">
        <v>8894</v>
      </c>
      <c r="F657" s="33" t="s">
        <v>8895</v>
      </c>
      <c r="G657" s="35" t="s">
        <v>8896</v>
      </c>
      <c r="H657" s="34"/>
      <c r="I657" s="34"/>
    </row>
    <row r="658">
      <c r="A658" s="32" t="s">
        <v>2610</v>
      </c>
      <c r="B658" s="32" t="s">
        <v>8897</v>
      </c>
      <c r="C658" s="32" t="s">
        <v>8898</v>
      </c>
      <c r="D658" s="32" t="s">
        <v>8899</v>
      </c>
      <c r="E658" s="32" t="s">
        <v>8900</v>
      </c>
      <c r="F658" s="33" t="s">
        <v>8901</v>
      </c>
      <c r="G658" s="35" t="s">
        <v>8902</v>
      </c>
      <c r="H658" s="34"/>
      <c r="I658" s="34"/>
    </row>
    <row r="659">
      <c r="A659" s="32" t="s">
        <v>1722</v>
      </c>
      <c r="B659" s="32" t="s">
        <v>7924</v>
      </c>
      <c r="C659" s="32" t="s">
        <v>7925</v>
      </c>
      <c r="D659" s="32" t="s">
        <v>7926</v>
      </c>
      <c r="E659" s="32" t="s">
        <v>7927</v>
      </c>
      <c r="F659" s="33" t="s">
        <v>7928</v>
      </c>
      <c r="G659" s="35" t="s">
        <v>8903</v>
      </c>
      <c r="H659" s="34"/>
      <c r="I659" s="34"/>
    </row>
    <row r="660">
      <c r="A660" s="32" t="s">
        <v>46</v>
      </c>
      <c r="B660" s="32" t="s">
        <v>6015</v>
      </c>
      <c r="C660" s="32" t="s">
        <v>6016</v>
      </c>
      <c r="D660" s="32" t="s">
        <v>6017</v>
      </c>
      <c r="E660" s="32" t="s">
        <v>6018</v>
      </c>
      <c r="F660" s="33" t="s">
        <v>6019</v>
      </c>
      <c r="G660" s="35" t="s">
        <v>6020</v>
      </c>
      <c r="H660" s="34"/>
      <c r="I660" s="34"/>
    </row>
    <row r="661">
      <c r="A661" s="32" t="s">
        <v>2616</v>
      </c>
      <c r="B661" s="32" t="s">
        <v>8904</v>
      </c>
      <c r="C661" s="32" t="s">
        <v>8905</v>
      </c>
      <c r="D661" s="32" t="s">
        <v>8906</v>
      </c>
      <c r="E661" s="32" t="s">
        <v>8907</v>
      </c>
      <c r="F661" s="33" t="s">
        <v>8908</v>
      </c>
      <c r="G661" s="35" t="s">
        <v>8909</v>
      </c>
      <c r="H661" s="34"/>
      <c r="I661" s="34"/>
    </row>
    <row r="662">
      <c r="A662" s="32" t="s">
        <v>2620</v>
      </c>
      <c r="B662" s="32" t="s">
        <v>8910</v>
      </c>
      <c r="C662" s="32" t="s">
        <v>8911</v>
      </c>
      <c r="D662" s="32" t="s">
        <v>8912</v>
      </c>
      <c r="E662" s="32" t="s">
        <v>8913</v>
      </c>
      <c r="F662" s="33" t="s">
        <v>8914</v>
      </c>
      <c r="G662" s="35" t="s">
        <v>8915</v>
      </c>
      <c r="H662" s="34"/>
      <c r="I662" s="34"/>
    </row>
    <row r="663">
      <c r="A663" s="32" t="s">
        <v>2627</v>
      </c>
      <c r="B663" s="32" t="s">
        <v>8916</v>
      </c>
      <c r="C663" s="32" t="s">
        <v>8917</v>
      </c>
      <c r="D663" s="32" t="s">
        <v>8918</v>
      </c>
      <c r="E663" s="32" t="s">
        <v>8919</v>
      </c>
      <c r="F663" s="33" t="s">
        <v>8920</v>
      </c>
      <c r="G663" s="35" t="s">
        <v>8921</v>
      </c>
      <c r="H663" s="34"/>
      <c r="I663" s="34"/>
    </row>
    <row r="664">
      <c r="A664" s="32" t="s">
        <v>2631</v>
      </c>
      <c r="B664" s="32" t="s">
        <v>8922</v>
      </c>
      <c r="C664" s="32" t="s">
        <v>8923</v>
      </c>
      <c r="D664" s="32" t="s">
        <v>8924</v>
      </c>
      <c r="E664" s="32" t="s">
        <v>8925</v>
      </c>
      <c r="F664" s="33" t="s">
        <v>8926</v>
      </c>
      <c r="G664" s="35" t="s">
        <v>8927</v>
      </c>
      <c r="H664" s="34"/>
      <c r="I664" s="34"/>
    </row>
    <row r="665">
      <c r="A665" s="32" t="s">
        <v>2636</v>
      </c>
      <c r="B665" s="32" t="s">
        <v>8928</v>
      </c>
      <c r="C665" s="32" t="s">
        <v>8929</v>
      </c>
      <c r="D665" s="32" t="s">
        <v>8930</v>
      </c>
      <c r="E665" s="32" t="s">
        <v>8931</v>
      </c>
      <c r="F665" s="33" t="s">
        <v>8932</v>
      </c>
      <c r="G665" s="35" t="s">
        <v>8933</v>
      </c>
      <c r="H665" s="34"/>
      <c r="I665" s="34"/>
    </row>
    <row r="666">
      <c r="A666" s="32" t="s">
        <v>2642</v>
      </c>
      <c r="B666" s="32" t="s">
        <v>8934</v>
      </c>
      <c r="C666" s="32" t="s">
        <v>8935</v>
      </c>
      <c r="D666" s="32" t="s">
        <v>8936</v>
      </c>
      <c r="E666" s="32" t="s">
        <v>8937</v>
      </c>
      <c r="F666" s="33" t="s">
        <v>8938</v>
      </c>
      <c r="G666" s="35" t="s">
        <v>8939</v>
      </c>
      <c r="H666" s="34"/>
      <c r="I666" s="34"/>
    </row>
    <row r="667">
      <c r="A667" s="32" t="s">
        <v>2648</v>
      </c>
      <c r="B667" s="32" t="s">
        <v>8940</v>
      </c>
      <c r="C667" s="32" t="s">
        <v>8941</v>
      </c>
      <c r="D667" s="32" t="s">
        <v>8942</v>
      </c>
      <c r="E667" s="32" t="s">
        <v>8943</v>
      </c>
      <c r="F667" s="33" t="s">
        <v>8944</v>
      </c>
      <c r="G667" s="35" t="s">
        <v>8945</v>
      </c>
      <c r="H667" s="34"/>
      <c r="I667" s="34"/>
    </row>
    <row r="668">
      <c r="A668" s="32" t="s">
        <v>2652</v>
      </c>
      <c r="B668" s="32" t="s">
        <v>8946</v>
      </c>
      <c r="C668" s="32" t="s">
        <v>8947</v>
      </c>
      <c r="D668" s="32" t="s">
        <v>8948</v>
      </c>
      <c r="E668" s="32" t="s">
        <v>8949</v>
      </c>
      <c r="F668" s="33" t="s">
        <v>8950</v>
      </c>
      <c r="G668" s="35" t="s">
        <v>8951</v>
      </c>
      <c r="H668" s="34"/>
      <c r="I668" s="34"/>
    </row>
    <row r="669">
      <c r="A669" s="32" t="s">
        <v>2656</v>
      </c>
      <c r="B669" s="32" t="s">
        <v>8952</v>
      </c>
      <c r="C669" s="32" t="s">
        <v>8953</v>
      </c>
      <c r="D669" s="32" t="s">
        <v>8954</v>
      </c>
      <c r="E669" s="32" t="s">
        <v>8955</v>
      </c>
      <c r="F669" s="33" t="s">
        <v>8956</v>
      </c>
      <c r="G669" s="35" t="s">
        <v>8957</v>
      </c>
      <c r="H669" s="34"/>
      <c r="I669" s="34"/>
    </row>
    <row r="670">
      <c r="A670" s="32" t="s">
        <v>50</v>
      </c>
      <c r="B670" s="32" t="s">
        <v>6021</v>
      </c>
      <c r="C670" s="32" t="s">
        <v>6022</v>
      </c>
      <c r="D670" s="32" t="s">
        <v>6023</v>
      </c>
      <c r="E670" s="32" t="s">
        <v>6024</v>
      </c>
      <c r="F670" s="33" t="s">
        <v>6025</v>
      </c>
      <c r="G670" s="35" t="s">
        <v>6026</v>
      </c>
      <c r="H670" s="34"/>
      <c r="I670" s="34"/>
    </row>
    <row r="671">
      <c r="A671" s="32" t="s">
        <v>2661</v>
      </c>
      <c r="B671" s="32" t="s">
        <v>8958</v>
      </c>
      <c r="C671" s="32" t="s">
        <v>8959</v>
      </c>
      <c r="D671" s="32" t="s">
        <v>8960</v>
      </c>
      <c r="E671" s="32" t="s">
        <v>8961</v>
      </c>
      <c r="F671" s="33" t="s">
        <v>8962</v>
      </c>
      <c r="G671" s="35" t="s">
        <v>8963</v>
      </c>
      <c r="H671" s="34"/>
      <c r="I671" s="34"/>
    </row>
    <row r="672">
      <c r="A672" s="32" t="s">
        <v>2665</v>
      </c>
      <c r="B672" s="32" t="s">
        <v>8964</v>
      </c>
      <c r="C672" s="32" t="s">
        <v>8965</v>
      </c>
      <c r="D672" s="32" t="s">
        <v>8966</v>
      </c>
      <c r="E672" s="32" t="s">
        <v>8967</v>
      </c>
      <c r="F672" s="33" t="s">
        <v>8968</v>
      </c>
      <c r="G672" s="35" t="s">
        <v>8969</v>
      </c>
      <c r="H672" s="34"/>
      <c r="I672" s="34"/>
    </row>
    <row r="673">
      <c r="A673" s="32" t="s">
        <v>2669</v>
      </c>
      <c r="B673" s="32" t="s">
        <v>8970</v>
      </c>
      <c r="C673" s="32" t="s">
        <v>8971</v>
      </c>
      <c r="D673" s="32" t="s">
        <v>8972</v>
      </c>
      <c r="E673" s="32" t="s">
        <v>8973</v>
      </c>
      <c r="F673" s="33" t="s">
        <v>8974</v>
      </c>
      <c r="G673" s="35" t="s">
        <v>8975</v>
      </c>
      <c r="H673" s="34"/>
      <c r="I673" s="34"/>
    </row>
    <row r="674">
      <c r="A674" s="32" t="s">
        <v>1744</v>
      </c>
      <c r="B674" s="32" t="s">
        <v>7947</v>
      </c>
      <c r="C674" s="32" t="s">
        <v>7948</v>
      </c>
      <c r="D674" s="32" t="s">
        <v>7949</v>
      </c>
      <c r="E674" s="32" t="s">
        <v>7950</v>
      </c>
      <c r="F674" s="33" t="s">
        <v>8976</v>
      </c>
      <c r="G674" s="35" t="s">
        <v>8977</v>
      </c>
      <c r="H674" s="34"/>
      <c r="I674" s="34"/>
    </row>
    <row r="675">
      <c r="A675" s="32" t="s">
        <v>66</v>
      </c>
      <c r="B675" s="32" t="s">
        <v>6034</v>
      </c>
      <c r="C675" s="32" t="s">
        <v>6035</v>
      </c>
      <c r="D675" s="32" t="s">
        <v>6036</v>
      </c>
      <c r="E675" s="32" t="s">
        <v>6037</v>
      </c>
      <c r="F675" s="33" t="s">
        <v>6038</v>
      </c>
      <c r="G675" s="35" t="s">
        <v>8978</v>
      </c>
      <c r="H675" s="34"/>
      <c r="I675" s="34"/>
    </row>
    <row r="676">
      <c r="A676" s="32" t="s">
        <v>2677</v>
      </c>
      <c r="B676" s="32" t="s">
        <v>8979</v>
      </c>
      <c r="C676" s="32" t="s">
        <v>8980</v>
      </c>
      <c r="D676" s="32" t="s">
        <v>8981</v>
      </c>
      <c r="E676" s="32" t="s">
        <v>8982</v>
      </c>
      <c r="F676" s="33" t="s">
        <v>8983</v>
      </c>
      <c r="G676" s="35" t="s">
        <v>8984</v>
      </c>
      <c r="H676" s="34"/>
      <c r="I676" s="34"/>
    </row>
    <row r="677">
      <c r="A677" s="32" t="s">
        <v>2682</v>
      </c>
      <c r="B677" s="32" t="s">
        <v>8985</v>
      </c>
      <c r="C677" s="32" t="s">
        <v>8986</v>
      </c>
      <c r="D677" s="32" t="s">
        <v>8987</v>
      </c>
      <c r="E677" s="32" t="s">
        <v>8988</v>
      </c>
      <c r="F677" s="33" t="s">
        <v>8989</v>
      </c>
      <c r="G677" s="35" t="s">
        <v>8990</v>
      </c>
      <c r="H677" s="34"/>
      <c r="I677" s="34"/>
    </row>
    <row r="678">
      <c r="A678" s="32" t="s">
        <v>2686</v>
      </c>
      <c r="B678" s="32" t="s">
        <v>8991</v>
      </c>
      <c r="C678" s="32" t="s">
        <v>8992</v>
      </c>
      <c r="D678" s="32" t="s">
        <v>8993</v>
      </c>
      <c r="E678" s="32" t="s">
        <v>8994</v>
      </c>
      <c r="F678" s="33" t="s">
        <v>8995</v>
      </c>
      <c r="G678" s="35" t="s">
        <v>8996</v>
      </c>
      <c r="H678" s="34"/>
      <c r="I678" s="34"/>
    </row>
    <row r="679">
      <c r="A679" s="32" t="s">
        <v>1730</v>
      </c>
      <c r="B679" s="32" t="s">
        <v>7932</v>
      </c>
      <c r="C679" s="32" t="s">
        <v>7933</v>
      </c>
      <c r="D679" s="32" t="s">
        <v>7934</v>
      </c>
      <c r="E679" s="32" t="s">
        <v>7935</v>
      </c>
      <c r="F679" s="33" t="s">
        <v>7936</v>
      </c>
      <c r="G679" s="35" t="s">
        <v>8997</v>
      </c>
      <c r="H679" s="34"/>
      <c r="I679" s="34"/>
    </row>
    <row r="680">
      <c r="A680" s="32" t="s">
        <v>2691</v>
      </c>
      <c r="B680" s="32" t="s">
        <v>8998</v>
      </c>
      <c r="C680" s="32" t="s">
        <v>8999</v>
      </c>
      <c r="D680" s="32" t="s">
        <v>9000</v>
      </c>
      <c r="E680" s="32" t="s">
        <v>9001</v>
      </c>
      <c r="F680" s="33" t="s">
        <v>9002</v>
      </c>
      <c r="G680" s="35" t="s">
        <v>9003</v>
      </c>
      <c r="H680" s="34"/>
      <c r="I680" s="34"/>
    </row>
    <row r="681">
      <c r="A681" s="32" t="s">
        <v>2695</v>
      </c>
      <c r="B681" s="32" t="s">
        <v>9004</v>
      </c>
      <c r="C681" s="32" t="s">
        <v>9005</v>
      </c>
      <c r="D681" s="32" t="s">
        <v>9006</v>
      </c>
      <c r="E681" s="32" t="s">
        <v>9007</v>
      </c>
      <c r="F681" s="33" t="s">
        <v>9008</v>
      </c>
      <c r="G681" s="35" t="s">
        <v>9009</v>
      </c>
      <c r="H681" s="34"/>
      <c r="I681" s="34"/>
    </row>
    <row r="682">
      <c r="A682" s="32" t="s">
        <v>2699</v>
      </c>
      <c r="B682" s="32" t="s">
        <v>9010</v>
      </c>
      <c r="C682" s="32" t="s">
        <v>9011</v>
      </c>
      <c r="D682" s="32" t="s">
        <v>9012</v>
      </c>
      <c r="E682" s="32" t="s">
        <v>9013</v>
      </c>
      <c r="F682" s="33" t="s">
        <v>9014</v>
      </c>
      <c r="G682" s="35" t="s">
        <v>9015</v>
      </c>
      <c r="H682" s="34"/>
      <c r="I682" s="34"/>
    </row>
    <row r="683">
      <c r="A683" s="32" t="s">
        <v>2703</v>
      </c>
      <c r="B683" s="32" t="s">
        <v>9016</v>
      </c>
      <c r="C683" s="32" t="s">
        <v>9017</v>
      </c>
      <c r="D683" s="32" t="s">
        <v>9018</v>
      </c>
      <c r="E683" s="32" t="s">
        <v>9019</v>
      </c>
      <c r="F683" s="33" t="s">
        <v>9020</v>
      </c>
      <c r="G683" s="35" t="s">
        <v>9021</v>
      </c>
      <c r="H683" s="34"/>
      <c r="I683" s="34"/>
    </row>
    <row r="684">
      <c r="A684" s="32" t="s">
        <v>2707</v>
      </c>
      <c r="B684" s="32" t="s">
        <v>9022</v>
      </c>
      <c r="C684" s="32" t="s">
        <v>9023</v>
      </c>
      <c r="D684" s="32" t="s">
        <v>9024</v>
      </c>
      <c r="E684" s="32" t="s">
        <v>9025</v>
      </c>
      <c r="F684" s="33" t="s">
        <v>9026</v>
      </c>
      <c r="G684" s="35" t="s">
        <v>9027</v>
      </c>
      <c r="H684" s="34"/>
      <c r="I684" s="34"/>
    </row>
    <row r="685">
      <c r="A685" s="32" t="s">
        <v>2711</v>
      </c>
      <c r="B685" s="32" t="s">
        <v>9028</v>
      </c>
      <c r="C685" s="32" t="s">
        <v>9029</v>
      </c>
      <c r="D685" s="32" t="s">
        <v>9030</v>
      </c>
      <c r="E685" s="32" t="s">
        <v>9031</v>
      </c>
      <c r="F685" s="33" t="s">
        <v>9032</v>
      </c>
      <c r="G685" s="35" t="s">
        <v>9033</v>
      </c>
      <c r="H685" s="34"/>
      <c r="I685" s="34"/>
    </row>
    <row r="686">
      <c r="A686" s="32" t="s">
        <v>74</v>
      </c>
      <c r="B686" s="32" t="s">
        <v>6041</v>
      </c>
      <c r="C686" s="32" t="s">
        <v>6042</v>
      </c>
      <c r="D686" s="32" t="s">
        <v>6043</v>
      </c>
      <c r="E686" s="32" t="s">
        <v>6044</v>
      </c>
      <c r="F686" s="33" t="s">
        <v>6045</v>
      </c>
      <c r="G686" s="35" t="s">
        <v>6046</v>
      </c>
      <c r="H686" s="34"/>
      <c r="I686" s="34"/>
    </row>
    <row r="687">
      <c r="A687" s="32" t="s">
        <v>2716</v>
      </c>
      <c r="B687" s="32" t="s">
        <v>9034</v>
      </c>
      <c r="C687" s="32" t="s">
        <v>9035</v>
      </c>
      <c r="D687" s="32" t="s">
        <v>9036</v>
      </c>
      <c r="E687" s="32" t="s">
        <v>9037</v>
      </c>
      <c r="F687" s="33" t="s">
        <v>9038</v>
      </c>
      <c r="G687" s="35" t="s">
        <v>9039</v>
      </c>
      <c r="H687" s="34"/>
      <c r="I687" s="34"/>
    </row>
    <row r="688">
      <c r="A688" s="32" t="s">
        <v>1771</v>
      </c>
      <c r="B688" s="32" t="s">
        <v>7978</v>
      </c>
      <c r="C688" s="32" t="s">
        <v>7979</v>
      </c>
      <c r="D688" s="32" t="s">
        <v>7980</v>
      </c>
      <c r="E688" s="32" t="s">
        <v>7981</v>
      </c>
      <c r="F688" s="33" t="s">
        <v>7982</v>
      </c>
      <c r="G688" s="35" t="s">
        <v>9040</v>
      </c>
      <c r="H688" s="34"/>
      <c r="I688" s="34"/>
    </row>
    <row r="689">
      <c r="A689" s="32" t="s">
        <v>2724</v>
      </c>
      <c r="B689" s="32" t="s">
        <v>9041</v>
      </c>
      <c r="C689" s="32" t="s">
        <v>9042</v>
      </c>
      <c r="D689" s="32" t="s">
        <v>9043</v>
      </c>
      <c r="E689" s="32" t="s">
        <v>9044</v>
      </c>
      <c r="F689" s="33" t="s">
        <v>9045</v>
      </c>
      <c r="G689" s="35" t="s">
        <v>9046</v>
      </c>
      <c r="H689" s="34"/>
      <c r="I689" s="34"/>
    </row>
    <row r="690">
      <c r="A690" s="32" t="s">
        <v>2728</v>
      </c>
      <c r="B690" s="32" t="s">
        <v>9047</v>
      </c>
      <c r="C690" s="32" t="s">
        <v>9048</v>
      </c>
      <c r="D690" s="32" t="s">
        <v>9049</v>
      </c>
      <c r="E690" s="32" t="s">
        <v>9050</v>
      </c>
      <c r="F690" s="33" t="s">
        <v>9051</v>
      </c>
      <c r="G690" s="35" t="s">
        <v>9052</v>
      </c>
      <c r="H690" s="34"/>
      <c r="I690" s="34"/>
    </row>
    <row r="691">
      <c r="A691" s="32" t="s">
        <v>83</v>
      </c>
      <c r="B691" s="32" t="s">
        <v>6047</v>
      </c>
      <c r="C691" s="32" t="s">
        <v>6048</v>
      </c>
      <c r="D691" s="32" t="s">
        <v>6049</v>
      </c>
      <c r="E691" s="32" t="s">
        <v>6050</v>
      </c>
      <c r="F691" s="33" t="s">
        <v>6051</v>
      </c>
      <c r="G691" s="35" t="s">
        <v>6052</v>
      </c>
      <c r="H691" s="34"/>
      <c r="I691" s="34"/>
    </row>
    <row r="692">
      <c r="A692" s="32" t="s">
        <v>2735</v>
      </c>
      <c r="B692" s="32" t="s">
        <v>9053</v>
      </c>
      <c r="C692" s="32" t="s">
        <v>9054</v>
      </c>
      <c r="D692" s="32" t="s">
        <v>9055</v>
      </c>
      <c r="E692" s="32" t="s">
        <v>9056</v>
      </c>
      <c r="F692" s="33" t="s">
        <v>9057</v>
      </c>
      <c r="G692" s="35" t="s">
        <v>9058</v>
      </c>
      <c r="H692" s="34"/>
      <c r="I692" s="34"/>
    </row>
    <row r="693">
      <c r="A693" s="32" t="s">
        <v>2739</v>
      </c>
      <c r="B693" s="32" t="s">
        <v>9059</v>
      </c>
      <c r="C693" s="32" t="s">
        <v>9060</v>
      </c>
      <c r="D693" s="32" t="s">
        <v>9061</v>
      </c>
      <c r="E693" s="32" t="s">
        <v>9062</v>
      </c>
      <c r="F693" s="33" t="s">
        <v>9063</v>
      </c>
      <c r="G693" s="35" t="s">
        <v>9064</v>
      </c>
      <c r="H693" s="34"/>
      <c r="I693" s="34"/>
    </row>
    <row r="694">
      <c r="A694" s="32" t="s">
        <v>87</v>
      </c>
      <c r="B694" s="32" t="s">
        <v>6053</v>
      </c>
      <c r="C694" s="32" t="s">
        <v>6054</v>
      </c>
      <c r="D694" s="32" t="s">
        <v>6055</v>
      </c>
      <c r="E694" s="32" t="s">
        <v>6056</v>
      </c>
      <c r="F694" s="33" t="s">
        <v>6057</v>
      </c>
      <c r="G694" s="35" t="s">
        <v>6058</v>
      </c>
      <c r="H694" s="34"/>
      <c r="I694" s="34"/>
    </row>
    <row r="695">
      <c r="A695" s="32" t="s">
        <v>2746</v>
      </c>
      <c r="B695" s="32" t="s">
        <v>9065</v>
      </c>
      <c r="C695" s="32" t="s">
        <v>9066</v>
      </c>
      <c r="D695" s="32" t="s">
        <v>9067</v>
      </c>
      <c r="E695" s="32" t="s">
        <v>9068</v>
      </c>
      <c r="F695" s="33" t="s">
        <v>9069</v>
      </c>
      <c r="G695" s="35" t="s">
        <v>9070</v>
      </c>
      <c r="H695" s="34"/>
      <c r="I695" s="34"/>
    </row>
    <row r="696">
      <c r="A696" s="32" t="s">
        <v>1828</v>
      </c>
      <c r="B696" s="32" t="s">
        <v>9071</v>
      </c>
      <c r="C696" s="32" t="s">
        <v>9072</v>
      </c>
      <c r="D696" s="32" t="s">
        <v>9073</v>
      </c>
      <c r="E696" s="32" t="s">
        <v>9074</v>
      </c>
      <c r="F696" s="33" t="s">
        <v>9075</v>
      </c>
      <c r="G696" s="35" t="s">
        <v>9076</v>
      </c>
      <c r="H696" s="34"/>
      <c r="I696" s="34"/>
    </row>
    <row r="697">
      <c r="A697" s="32" t="s">
        <v>2751</v>
      </c>
      <c r="B697" s="32" t="s">
        <v>9077</v>
      </c>
      <c r="C697" s="32" t="s">
        <v>9078</v>
      </c>
      <c r="D697" s="32" t="s">
        <v>9079</v>
      </c>
      <c r="E697" s="32" t="s">
        <v>9080</v>
      </c>
      <c r="F697" s="33" t="s">
        <v>9081</v>
      </c>
      <c r="G697" s="35" t="s">
        <v>9082</v>
      </c>
      <c r="H697" s="34"/>
      <c r="I697" s="34"/>
    </row>
    <row r="698">
      <c r="A698" s="32" t="s">
        <v>2757</v>
      </c>
      <c r="B698" s="32" t="s">
        <v>9083</v>
      </c>
      <c r="C698" s="32" t="s">
        <v>9084</v>
      </c>
      <c r="D698" s="32" t="s">
        <v>9085</v>
      </c>
      <c r="E698" s="32" t="s">
        <v>9086</v>
      </c>
      <c r="F698" s="33" t="s">
        <v>9087</v>
      </c>
      <c r="G698" s="35" t="s">
        <v>9088</v>
      </c>
      <c r="H698" s="34"/>
      <c r="I698" s="34"/>
    </row>
    <row r="699">
      <c r="A699" s="32" t="s">
        <v>2761</v>
      </c>
      <c r="B699" s="32" t="s">
        <v>9089</v>
      </c>
      <c r="C699" s="32" t="s">
        <v>9090</v>
      </c>
      <c r="D699" s="32" t="s">
        <v>9091</v>
      </c>
      <c r="E699" s="32" t="s">
        <v>9092</v>
      </c>
      <c r="F699" s="33" t="s">
        <v>9093</v>
      </c>
      <c r="G699" s="35" t="s">
        <v>9094</v>
      </c>
      <c r="H699" s="34"/>
      <c r="I699" s="34"/>
    </row>
    <row r="700">
      <c r="A700" s="32" t="s">
        <v>2765</v>
      </c>
      <c r="B700" s="32" t="s">
        <v>9095</v>
      </c>
      <c r="C700" s="32" t="s">
        <v>9096</v>
      </c>
      <c r="D700" s="32" t="s">
        <v>9097</v>
      </c>
      <c r="E700" s="32" t="s">
        <v>9098</v>
      </c>
      <c r="F700" s="33" t="s">
        <v>9099</v>
      </c>
      <c r="G700" s="35" t="s">
        <v>9100</v>
      </c>
      <c r="H700" s="34"/>
      <c r="I700" s="34"/>
    </row>
    <row r="701">
      <c r="A701" s="32" t="s">
        <v>90</v>
      </c>
      <c r="B701" s="32" t="s">
        <v>6059</v>
      </c>
      <c r="C701" s="32" t="s">
        <v>6060</v>
      </c>
      <c r="D701" s="32" t="s">
        <v>6061</v>
      </c>
      <c r="E701" s="32" t="s">
        <v>6062</v>
      </c>
      <c r="F701" s="33" t="s">
        <v>8080</v>
      </c>
      <c r="G701" s="35" t="s">
        <v>9101</v>
      </c>
      <c r="H701" s="34"/>
      <c r="I701" s="34"/>
    </row>
    <row r="702">
      <c r="A702" s="32" t="s">
        <v>113</v>
      </c>
      <c r="B702" s="32" t="s">
        <v>6084</v>
      </c>
      <c r="C702" s="32" t="s">
        <v>6085</v>
      </c>
      <c r="D702" s="32" t="s">
        <v>6086</v>
      </c>
      <c r="E702" s="32" t="s">
        <v>6087</v>
      </c>
      <c r="F702" s="33" t="s">
        <v>6088</v>
      </c>
      <c r="G702" s="35" t="s">
        <v>9102</v>
      </c>
      <c r="H702" s="34"/>
      <c r="I702" s="34"/>
    </row>
    <row r="703">
      <c r="A703" s="32" t="s">
        <v>2774</v>
      </c>
      <c r="B703" s="32" t="s">
        <v>9103</v>
      </c>
      <c r="C703" s="32" t="s">
        <v>9104</v>
      </c>
      <c r="D703" s="32" t="s">
        <v>9105</v>
      </c>
      <c r="E703" s="32" t="s">
        <v>9106</v>
      </c>
      <c r="F703" s="33" t="s">
        <v>9107</v>
      </c>
      <c r="G703" s="35" t="s">
        <v>9108</v>
      </c>
      <c r="H703" s="34"/>
      <c r="I703" s="34"/>
    </row>
    <row r="704">
      <c r="A704" s="32" t="s">
        <v>2778</v>
      </c>
      <c r="B704" s="32" t="s">
        <v>9109</v>
      </c>
      <c r="C704" s="32" t="s">
        <v>9110</v>
      </c>
      <c r="D704" s="32" t="s">
        <v>9111</v>
      </c>
      <c r="E704" s="32" t="s">
        <v>9112</v>
      </c>
      <c r="F704" s="33" t="s">
        <v>9113</v>
      </c>
      <c r="G704" s="35" t="s">
        <v>9114</v>
      </c>
      <c r="H704" s="34"/>
      <c r="I704" s="34"/>
    </row>
    <row r="705">
      <c r="A705" s="32" t="s">
        <v>2783</v>
      </c>
      <c r="B705" s="32" t="s">
        <v>9115</v>
      </c>
      <c r="C705" s="32" t="s">
        <v>9116</v>
      </c>
      <c r="D705" s="32" t="s">
        <v>9117</v>
      </c>
      <c r="E705" s="32" t="s">
        <v>9118</v>
      </c>
      <c r="F705" s="33" t="s">
        <v>9119</v>
      </c>
      <c r="G705" s="35" t="s">
        <v>9120</v>
      </c>
      <c r="H705" s="34"/>
      <c r="I705" s="34"/>
    </row>
    <row r="706">
      <c r="A706" s="32" t="s">
        <v>1913</v>
      </c>
      <c r="B706" s="32" t="s">
        <v>8110</v>
      </c>
      <c r="C706" s="32" t="s">
        <v>8111</v>
      </c>
      <c r="D706" s="32" t="s">
        <v>8112</v>
      </c>
      <c r="E706" s="32" t="s">
        <v>8113</v>
      </c>
      <c r="F706" s="33" t="s">
        <v>8114</v>
      </c>
      <c r="G706" s="35" t="s">
        <v>9121</v>
      </c>
      <c r="H706" s="34"/>
      <c r="I706" s="34"/>
    </row>
    <row r="707">
      <c r="A707" s="32" t="s">
        <v>2790</v>
      </c>
      <c r="B707" s="32" t="s">
        <v>9122</v>
      </c>
      <c r="C707" s="32" t="s">
        <v>9123</v>
      </c>
      <c r="D707" s="32" t="s">
        <v>9124</v>
      </c>
      <c r="E707" s="32" t="s">
        <v>9125</v>
      </c>
      <c r="F707" s="33" t="s">
        <v>9126</v>
      </c>
      <c r="G707" s="35" t="s">
        <v>9127</v>
      </c>
      <c r="H707" s="34"/>
      <c r="I707" s="34"/>
    </row>
    <row r="708">
      <c r="A708" s="32" t="s">
        <v>2794</v>
      </c>
      <c r="B708" s="32" t="s">
        <v>9128</v>
      </c>
      <c r="C708" s="32" t="s">
        <v>9129</v>
      </c>
      <c r="D708" s="32" t="s">
        <v>9130</v>
      </c>
      <c r="E708" s="32" t="s">
        <v>9131</v>
      </c>
      <c r="F708" s="33" t="s">
        <v>9132</v>
      </c>
      <c r="G708" s="35" t="s">
        <v>9133</v>
      </c>
      <c r="H708" s="34"/>
      <c r="I708" s="34"/>
    </row>
    <row r="709">
      <c r="A709" s="32" t="s">
        <v>2798</v>
      </c>
      <c r="B709" s="32" t="s">
        <v>9134</v>
      </c>
      <c r="C709" s="32" t="s">
        <v>9135</v>
      </c>
      <c r="D709" s="32" t="s">
        <v>9136</v>
      </c>
      <c r="E709" s="32" t="s">
        <v>9137</v>
      </c>
      <c r="F709" s="33" t="s">
        <v>9138</v>
      </c>
      <c r="G709" s="35" t="s">
        <v>9139</v>
      </c>
      <c r="H709" s="34"/>
      <c r="I709" s="34"/>
    </row>
    <row r="710">
      <c r="A710" s="32" t="s">
        <v>2802</v>
      </c>
      <c r="B710" s="32" t="s">
        <v>9140</v>
      </c>
      <c r="C710" s="32" t="s">
        <v>9141</v>
      </c>
      <c r="D710" s="32" t="s">
        <v>9142</v>
      </c>
      <c r="E710" s="32" t="s">
        <v>9143</v>
      </c>
      <c r="F710" s="33" t="s">
        <v>9144</v>
      </c>
      <c r="G710" s="35" t="s">
        <v>9145</v>
      </c>
      <c r="H710" s="34"/>
      <c r="I710" s="34"/>
    </row>
    <row r="711">
      <c r="A711" s="32" t="s">
        <v>2806</v>
      </c>
      <c r="B711" s="32" t="s">
        <v>9146</v>
      </c>
      <c r="C711" s="32" t="s">
        <v>9147</v>
      </c>
      <c r="D711" s="32" t="s">
        <v>9148</v>
      </c>
      <c r="E711" s="32" t="s">
        <v>9149</v>
      </c>
      <c r="F711" s="33" t="s">
        <v>9150</v>
      </c>
      <c r="G711" s="35" t="s">
        <v>9151</v>
      </c>
      <c r="H711" s="34"/>
      <c r="I711" s="34"/>
    </row>
    <row r="712">
      <c r="A712" s="32" t="s">
        <v>2812</v>
      </c>
      <c r="B712" s="32" t="s">
        <v>9152</v>
      </c>
      <c r="C712" s="32" t="s">
        <v>9153</v>
      </c>
      <c r="D712" s="32" t="s">
        <v>9154</v>
      </c>
      <c r="E712" s="32" t="s">
        <v>9155</v>
      </c>
      <c r="F712" s="33" t="s">
        <v>9156</v>
      </c>
      <c r="G712" s="35" t="s">
        <v>9157</v>
      </c>
      <c r="H712" s="34"/>
      <c r="I712" s="34"/>
    </row>
    <row r="713">
      <c r="A713" s="32" t="s">
        <v>2819</v>
      </c>
      <c r="B713" s="32" t="s">
        <v>9158</v>
      </c>
      <c r="C713" s="32" t="s">
        <v>9159</v>
      </c>
      <c r="D713" s="32" t="s">
        <v>9160</v>
      </c>
      <c r="E713" s="32" t="s">
        <v>9161</v>
      </c>
      <c r="F713" s="33" t="s">
        <v>9162</v>
      </c>
      <c r="G713" s="35" t="s">
        <v>9163</v>
      </c>
      <c r="H713" s="34"/>
      <c r="I713" s="34"/>
    </row>
    <row r="714">
      <c r="A714" s="32" t="s">
        <v>2823</v>
      </c>
      <c r="B714" s="32" t="s">
        <v>9164</v>
      </c>
      <c r="C714" s="32" t="s">
        <v>9165</v>
      </c>
      <c r="D714" s="32" t="s">
        <v>9166</v>
      </c>
      <c r="E714" s="32" t="s">
        <v>9167</v>
      </c>
      <c r="F714" s="33" t="s">
        <v>9168</v>
      </c>
      <c r="G714" s="35" t="s">
        <v>9169</v>
      </c>
      <c r="H714" s="34"/>
      <c r="I714" s="34"/>
    </row>
    <row r="715">
      <c r="A715" s="32" t="s">
        <v>1867</v>
      </c>
      <c r="B715" s="32" t="s">
        <v>8056</v>
      </c>
      <c r="C715" s="32" t="s">
        <v>8057</v>
      </c>
      <c r="D715" s="32" t="s">
        <v>8058</v>
      </c>
      <c r="E715" s="32" t="s">
        <v>8059</v>
      </c>
      <c r="F715" s="33" t="s">
        <v>8060</v>
      </c>
      <c r="G715" s="35" t="s">
        <v>9170</v>
      </c>
      <c r="H715" s="34"/>
      <c r="I715" s="34"/>
    </row>
    <row r="716">
      <c r="A716" s="32" t="s">
        <v>109</v>
      </c>
      <c r="B716" s="32" t="s">
        <v>6078</v>
      </c>
      <c r="C716" s="32" t="s">
        <v>6079</v>
      </c>
      <c r="D716" s="32" t="s">
        <v>6080</v>
      </c>
      <c r="E716" s="32" t="s">
        <v>6081</v>
      </c>
      <c r="F716" s="33" t="s">
        <v>6082</v>
      </c>
      <c r="G716" s="35" t="s">
        <v>6083</v>
      </c>
      <c r="H716" s="34"/>
      <c r="I716" s="34"/>
    </row>
    <row r="717">
      <c r="A717" s="32" t="s">
        <v>2829</v>
      </c>
      <c r="B717" s="32" t="s">
        <v>9171</v>
      </c>
      <c r="C717" s="32" t="s">
        <v>9172</v>
      </c>
      <c r="D717" s="32" t="s">
        <v>9173</v>
      </c>
      <c r="E717" s="32" t="s">
        <v>9174</v>
      </c>
      <c r="F717" s="33" t="s">
        <v>9175</v>
      </c>
      <c r="G717" s="35" t="s">
        <v>9176</v>
      </c>
      <c r="H717" s="34"/>
      <c r="I717" s="34"/>
    </row>
    <row r="718">
      <c r="A718" s="32" t="s">
        <v>2833</v>
      </c>
      <c r="B718" s="32" t="s">
        <v>9177</v>
      </c>
      <c r="C718" s="32" t="s">
        <v>9178</v>
      </c>
      <c r="D718" s="32" t="s">
        <v>9179</v>
      </c>
      <c r="E718" s="32" t="s">
        <v>9180</v>
      </c>
      <c r="F718" s="33" t="s">
        <v>9181</v>
      </c>
      <c r="G718" s="35" t="s">
        <v>9182</v>
      </c>
      <c r="H718" s="34"/>
      <c r="I718" s="34"/>
    </row>
    <row r="719">
      <c r="A719" s="32" t="s">
        <v>2837</v>
      </c>
      <c r="B719" s="32" t="s">
        <v>9183</v>
      </c>
      <c r="C719" s="32" t="s">
        <v>9184</v>
      </c>
      <c r="D719" s="32" t="s">
        <v>9185</v>
      </c>
      <c r="E719" s="32" t="s">
        <v>9186</v>
      </c>
      <c r="F719" s="33" t="s">
        <v>9187</v>
      </c>
      <c r="G719" s="35" t="s">
        <v>9188</v>
      </c>
      <c r="H719" s="34"/>
      <c r="I719" s="34"/>
    </row>
    <row r="720">
      <c r="A720" s="32" t="s">
        <v>2844</v>
      </c>
      <c r="B720" s="32" t="s">
        <v>9189</v>
      </c>
      <c r="C720" s="32" t="s">
        <v>9190</v>
      </c>
      <c r="D720" s="32" t="s">
        <v>9191</v>
      </c>
      <c r="E720" s="32" t="s">
        <v>9192</v>
      </c>
      <c r="F720" s="33" t="s">
        <v>9193</v>
      </c>
      <c r="G720" s="35" t="s">
        <v>9194</v>
      </c>
      <c r="H720" s="34"/>
      <c r="I720" s="34"/>
    </row>
    <row r="721">
      <c r="A721" s="32" t="s">
        <v>2848</v>
      </c>
      <c r="B721" s="32" t="s">
        <v>9195</v>
      </c>
      <c r="C721" s="32" t="s">
        <v>9196</v>
      </c>
      <c r="D721" s="32" t="s">
        <v>9197</v>
      </c>
      <c r="E721" s="32" t="s">
        <v>9198</v>
      </c>
      <c r="F721" s="33" t="s">
        <v>9199</v>
      </c>
      <c r="G721" s="35" t="s">
        <v>9200</v>
      </c>
      <c r="H721" s="34"/>
      <c r="I721" s="34"/>
    </row>
    <row r="722">
      <c r="A722" s="32" t="s">
        <v>2855</v>
      </c>
      <c r="B722" s="32" t="s">
        <v>9201</v>
      </c>
      <c r="C722" s="32" t="s">
        <v>9202</v>
      </c>
      <c r="D722" s="32" t="s">
        <v>9203</v>
      </c>
      <c r="E722" s="32" t="s">
        <v>9204</v>
      </c>
      <c r="F722" s="33" t="s">
        <v>9205</v>
      </c>
      <c r="G722" s="35" t="s">
        <v>9206</v>
      </c>
      <c r="H722" s="34"/>
      <c r="I722" s="34"/>
    </row>
    <row r="723">
      <c r="A723" s="32" t="s">
        <v>2859</v>
      </c>
      <c r="B723" s="32" t="s">
        <v>9207</v>
      </c>
      <c r="C723" s="32" t="s">
        <v>9208</v>
      </c>
      <c r="D723" s="32" t="s">
        <v>9209</v>
      </c>
      <c r="E723" s="32" t="s">
        <v>9210</v>
      </c>
      <c r="F723" s="33" t="s">
        <v>9211</v>
      </c>
      <c r="G723" s="35" t="s">
        <v>9212</v>
      </c>
      <c r="H723" s="34"/>
      <c r="I723" s="34"/>
    </row>
    <row r="724">
      <c r="A724" s="32" t="s">
        <v>117</v>
      </c>
      <c r="B724" s="32" t="s">
        <v>6090</v>
      </c>
      <c r="C724" s="32" t="s">
        <v>6091</v>
      </c>
      <c r="D724" s="32" t="s">
        <v>6092</v>
      </c>
      <c r="E724" s="32" t="s">
        <v>6093</v>
      </c>
      <c r="F724" s="33" t="s">
        <v>6094</v>
      </c>
      <c r="G724" s="35" t="s">
        <v>9213</v>
      </c>
      <c r="H724" s="34"/>
      <c r="I724" s="34"/>
    </row>
    <row r="725">
      <c r="A725" s="32" t="s">
        <v>121</v>
      </c>
      <c r="B725" s="32" t="s">
        <v>6096</v>
      </c>
      <c r="C725" s="32" t="s">
        <v>6097</v>
      </c>
      <c r="D725" s="32" t="s">
        <v>6098</v>
      </c>
      <c r="E725" s="32" t="s">
        <v>6099</v>
      </c>
      <c r="F725" s="33" t="s">
        <v>6100</v>
      </c>
      <c r="G725" s="35" t="s">
        <v>9214</v>
      </c>
      <c r="H725" s="34"/>
      <c r="I725" s="34"/>
    </row>
    <row r="726">
      <c r="A726" s="32" t="s">
        <v>2865</v>
      </c>
      <c r="B726" s="32" t="s">
        <v>9215</v>
      </c>
      <c r="C726" s="32" t="s">
        <v>9216</v>
      </c>
      <c r="D726" s="32" t="s">
        <v>9217</v>
      </c>
      <c r="E726" s="32" t="s">
        <v>9218</v>
      </c>
      <c r="F726" s="33" t="s">
        <v>9219</v>
      </c>
      <c r="G726" s="35" t="s">
        <v>9220</v>
      </c>
      <c r="H726" s="34"/>
      <c r="I726" s="34"/>
    </row>
    <row r="727">
      <c r="A727" s="32" t="s">
        <v>2869</v>
      </c>
      <c r="B727" s="32" t="s">
        <v>8175</v>
      </c>
      <c r="C727" s="32" t="s">
        <v>8176</v>
      </c>
      <c r="D727" s="32" t="s">
        <v>8177</v>
      </c>
      <c r="E727" s="32" t="s">
        <v>8178</v>
      </c>
      <c r="F727" s="33" t="s">
        <v>8179</v>
      </c>
      <c r="G727" s="35" t="s">
        <v>9221</v>
      </c>
      <c r="H727" s="34"/>
      <c r="I727" s="34"/>
    </row>
    <row r="728">
      <c r="A728" s="32" t="s">
        <v>2873</v>
      </c>
      <c r="B728" s="32" t="s">
        <v>9222</v>
      </c>
      <c r="C728" s="32" t="s">
        <v>9223</v>
      </c>
      <c r="D728" s="32" t="s">
        <v>9224</v>
      </c>
      <c r="E728" s="32" t="s">
        <v>9225</v>
      </c>
      <c r="F728" s="33" t="s">
        <v>9226</v>
      </c>
      <c r="G728" s="35" t="s">
        <v>9227</v>
      </c>
      <c r="H728" s="34"/>
      <c r="I728" s="34"/>
    </row>
    <row r="729">
      <c r="A729" s="32" t="s">
        <v>125</v>
      </c>
      <c r="B729" s="32" t="s">
        <v>6102</v>
      </c>
      <c r="C729" s="32" t="s">
        <v>6103</v>
      </c>
      <c r="D729" s="32" t="s">
        <v>6104</v>
      </c>
      <c r="E729" s="32" t="s">
        <v>6105</v>
      </c>
      <c r="F729" s="33" t="s">
        <v>6106</v>
      </c>
      <c r="G729" s="35" t="s">
        <v>6107</v>
      </c>
      <c r="H729" s="34"/>
      <c r="I729" s="34"/>
    </row>
    <row r="730">
      <c r="A730" s="32" t="s">
        <v>2878</v>
      </c>
      <c r="B730" s="32" t="s">
        <v>9228</v>
      </c>
      <c r="C730" s="32" t="s">
        <v>9229</v>
      </c>
      <c r="D730" s="32" t="s">
        <v>9230</v>
      </c>
      <c r="E730" s="32" t="s">
        <v>9231</v>
      </c>
      <c r="F730" s="33" t="s">
        <v>9232</v>
      </c>
      <c r="G730" s="35" t="s">
        <v>9233</v>
      </c>
      <c r="H730" s="34"/>
      <c r="I730" s="34"/>
    </row>
    <row r="731">
      <c r="A731" s="32" t="s">
        <v>2882</v>
      </c>
      <c r="B731" s="32" t="s">
        <v>9234</v>
      </c>
      <c r="C731" s="32" t="s">
        <v>9235</v>
      </c>
      <c r="D731" s="32" t="s">
        <v>9236</v>
      </c>
      <c r="E731" s="32" t="s">
        <v>9237</v>
      </c>
      <c r="F731" s="33" t="s">
        <v>9238</v>
      </c>
      <c r="G731" s="35" t="s">
        <v>9239</v>
      </c>
      <c r="H731" s="34"/>
      <c r="I731" s="34"/>
    </row>
    <row r="732">
      <c r="A732" s="32" t="s">
        <v>2886</v>
      </c>
      <c r="B732" s="32" t="s">
        <v>9240</v>
      </c>
      <c r="C732" s="32" t="s">
        <v>9241</v>
      </c>
      <c r="D732" s="32" t="s">
        <v>9242</v>
      </c>
      <c r="E732" s="32" t="s">
        <v>9243</v>
      </c>
      <c r="F732" s="33" t="s">
        <v>9244</v>
      </c>
      <c r="G732" s="35" t="s">
        <v>9245</v>
      </c>
      <c r="H732" s="34"/>
      <c r="I732" s="34"/>
    </row>
    <row r="733">
      <c r="A733" s="32" t="s">
        <v>133</v>
      </c>
      <c r="B733" s="32" t="s">
        <v>6114</v>
      </c>
      <c r="C733" s="32" t="s">
        <v>6115</v>
      </c>
      <c r="D733" s="32" t="s">
        <v>6116</v>
      </c>
      <c r="E733" s="32" t="s">
        <v>6117</v>
      </c>
      <c r="F733" s="33" t="s">
        <v>6118</v>
      </c>
      <c r="G733" s="35" t="s">
        <v>6119</v>
      </c>
      <c r="H733" s="34"/>
      <c r="I733" s="34"/>
    </row>
    <row r="734">
      <c r="A734" s="32" t="s">
        <v>2891</v>
      </c>
      <c r="B734" s="32" t="s">
        <v>9246</v>
      </c>
      <c r="C734" s="32" t="s">
        <v>9247</v>
      </c>
      <c r="D734" s="32" t="s">
        <v>9248</v>
      </c>
      <c r="E734" s="32" t="s">
        <v>9249</v>
      </c>
      <c r="F734" s="33" t="s">
        <v>9250</v>
      </c>
      <c r="G734" s="35" t="s">
        <v>9251</v>
      </c>
      <c r="H734" s="34"/>
      <c r="I734" s="34"/>
    </row>
    <row r="735">
      <c r="A735" s="32" t="s">
        <v>2897</v>
      </c>
      <c r="B735" s="32" t="s">
        <v>9252</v>
      </c>
      <c r="C735" s="32" t="s">
        <v>9253</v>
      </c>
      <c r="D735" s="32" t="s">
        <v>9254</v>
      </c>
      <c r="E735" s="32" t="s">
        <v>9255</v>
      </c>
      <c r="F735" s="33" t="s">
        <v>9256</v>
      </c>
      <c r="G735" s="35" t="s">
        <v>9257</v>
      </c>
      <c r="H735" s="34"/>
      <c r="I735" s="34"/>
    </row>
    <row r="736">
      <c r="A736" s="32" t="s">
        <v>2903</v>
      </c>
      <c r="B736" s="32" t="s">
        <v>9258</v>
      </c>
      <c r="C736" s="32" t="s">
        <v>9259</v>
      </c>
      <c r="D736" s="32" t="s">
        <v>9260</v>
      </c>
      <c r="E736" s="32" t="s">
        <v>9261</v>
      </c>
      <c r="F736" s="33" t="s">
        <v>9262</v>
      </c>
      <c r="G736" s="35" t="s">
        <v>9263</v>
      </c>
      <c r="H736" s="34"/>
      <c r="I736" s="34"/>
    </row>
    <row r="737">
      <c r="A737" s="32" t="s">
        <v>1954</v>
      </c>
      <c r="B737" s="32" t="s">
        <v>8150</v>
      </c>
      <c r="C737" s="32" t="s">
        <v>8151</v>
      </c>
      <c r="D737" s="32" t="s">
        <v>8152</v>
      </c>
      <c r="E737" s="32" t="s">
        <v>8153</v>
      </c>
      <c r="F737" s="33" t="s">
        <v>8154</v>
      </c>
      <c r="G737" s="35" t="s">
        <v>9264</v>
      </c>
      <c r="H737" s="34"/>
      <c r="I737" s="34"/>
    </row>
    <row r="738">
      <c r="A738" s="32" t="s">
        <v>2908</v>
      </c>
      <c r="B738" s="32" t="s">
        <v>9265</v>
      </c>
      <c r="C738" s="32" t="s">
        <v>9266</v>
      </c>
      <c r="D738" s="32" t="s">
        <v>9267</v>
      </c>
      <c r="E738" s="32" t="s">
        <v>9268</v>
      </c>
      <c r="F738" s="33" t="s">
        <v>9269</v>
      </c>
      <c r="G738" s="35" t="s">
        <v>9270</v>
      </c>
      <c r="H738" s="34"/>
      <c r="I738" s="34"/>
    </row>
    <row r="739">
      <c r="A739" s="32" t="s">
        <v>2912</v>
      </c>
      <c r="B739" s="32" t="s">
        <v>9271</v>
      </c>
      <c r="C739" s="32" t="s">
        <v>9272</v>
      </c>
      <c r="D739" s="32" t="s">
        <v>9273</v>
      </c>
      <c r="E739" s="32" t="s">
        <v>9274</v>
      </c>
      <c r="F739" s="33" t="s">
        <v>9275</v>
      </c>
      <c r="G739" s="35" t="s">
        <v>9276</v>
      </c>
      <c r="H739" s="34"/>
      <c r="I739" s="34"/>
    </row>
    <row r="740">
      <c r="A740" s="32" t="s">
        <v>2916</v>
      </c>
      <c r="B740" s="32" t="s">
        <v>9277</v>
      </c>
      <c r="C740" s="32" t="s">
        <v>9278</v>
      </c>
      <c r="D740" s="32" t="s">
        <v>9279</v>
      </c>
      <c r="E740" s="32" t="s">
        <v>9280</v>
      </c>
      <c r="F740" s="33" t="s">
        <v>9281</v>
      </c>
      <c r="G740" s="35" t="s">
        <v>9282</v>
      </c>
      <c r="H740" s="34"/>
      <c r="I740" s="34"/>
    </row>
    <row r="741">
      <c r="A741" s="32" t="s">
        <v>2920</v>
      </c>
      <c r="B741" s="32" t="s">
        <v>9283</v>
      </c>
      <c r="C741" s="32" t="s">
        <v>9284</v>
      </c>
      <c r="D741" s="32" t="s">
        <v>9285</v>
      </c>
      <c r="E741" s="32" t="s">
        <v>9286</v>
      </c>
      <c r="F741" s="33" t="s">
        <v>9287</v>
      </c>
      <c r="G741" s="35" t="s">
        <v>9288</v>
      </c>
      <c r="H741" s="34"/>
      <c r="I741" s="34"/>
    </row>
    <row r="742">
      <c r="A742" s="32" t="s">
        <v>1937</v>
      </c>
      <c r="B742" s="32" t="s">
        <v>8136</v>
      </c>
      <c r="C742" s="32" t="s">
        <v>8137</v>
      </c>
      <c r="D742" s="32" t="s">
        <v>8138</v>
      </c>
      <c r="E742" s="32" t="s">
        <v>8139</v>
      </c>
      <c r="F742" s="33" t="s">
        <v>8140</v>
      </c>
      <c r="G742" s="35" t="s">
        <v>9289</v>
      </c>
      <c r="H742" s="34"/>
      <c r="I742" s="34"/>
    </row>
    <row r="743">
      <c r="A743" s="32" t="s">
        <v>2927</v>
      </c>
      <c r="B743" s="32" t="s">
        <v>9290</v>
      </c>
      <c r="C743" s="32" t="s">
        <v>9291</v>
      </c>
      <c r="D743" s="32" t="s">
        <v>9292</v>
      </c>
      <c r="E743" s="32" t="s">
        <v>9293</v>
      </c>
      <c r="F743" s="33" t="s">
        <v>9294</v>
      </c>
      <c r="G743" s="35" t="s">
        <v>9295</v>
      </c>
      <c r="H743" s="34"/>
      <c r="I743" s="34"/>
    </row>
    <row r="744">
      <c r="A744" s="32" t="s">
        <v>2931</v>
      </c>
      <c r="B744" s="32" t="s">
        <v>9296</v>
      </c>
      <c r="C744" s="32" t="s">
        <v>9297</v>
      </c>
      <c r="D744" s="32" t="s">
        <v>9298</v>
      </c>
      <c r="E744" s="32" t="s">
        <v>9299</v>
      </c>
      <c r="F744" s="33" t="s">
        <v>9300</v>
      </c>
      <c r="G744" s="35" t="s">
        <v>9301</v>
      </c>
      <c r="H744" s="34"/>
      <c r="I744" s="34"/>
    </row>
    <row r="745">
      <c r="A745" s="32" t="s">
        <v>2935</v>
      </c>
      <c r="B745" s="32" t="s">
        <v>9302</v>
      </c>
      <c r="C745" s="32" t="s">
        <v>9303</v>
      </c>
      <c r="D745" s="32" t="s">
        <v>9304</v>
      </c>
      <c r="E745" s="32" t="s">
        <v>9305</v>
      </c>
      <c r="F745" s="33" t="s">
        <v>9306</v>
      </c>
      <c r="G745" s="35" t="s">
        <v>9307</v>
      </c>
      <c r="H745" s="34"/>
      <c r="I745" s="34"/>
    </row>
    <row r="746">
      <c r="A746" s="32" t="s">
        <v>2939</v>
      </c>
      <c r="B746" s="32" t="s">
        <v>9308</v>
      </c>
      <c r="C746" s="32" t="s">
        <v>9309</v>
      </c>
      <c r="D746" s="32" t="s">
        <v>9310</v>
      </c>
      <c r="E746" s="32" t="s">
        <v>9311</v>
      </c>
      <c r="F746" s="33" t="s">
        <v>9312</v>
      </c>
      <c r="G746" s="35" t="s">
        <v>9313</v>
      </c>
      <c r="H746" s="34"/>
      <c r="I746" s="34"/>
    </row>
    <row r="747">
      <c r="A747" s="32" t="s">
        <v>2945</v>
      </c>
      <c r="B747" s="32" t="s">
        <v>8237</v>
      </c>
      <c r="C747" s="32" t="s">
        <v>8238</v>
      </c>
      <c r="D747" s="32" t="s">
        <v>8239</v>
      </c>
      <c r="E747" s="32" t="s">
        <v>8240</v>
      </c>
      <c r="F747" s="33" t="s">
        <v>8241</v>
      </c>
      <c r="G747" s="35" t="s">
        <v>9314</v>
      </c>
      <c r="H747" s="34"/>
      <c r="I747" s="34"/>
    </row>
    <row r="748">
      <c r="A748" s="32" t="s">
        <v>2949</v>
      </c>
      <c r="B748" s="32" t="s">
        <v>9315</v>
      </c>
      <c r="C748" s="32" t="s">
        <v>9316</v>
      </c>
      <c r="D748" s="32" t="s">
        <v>9317</v>
      </c>
      <c r="E748" s="32" t="s">
        <v>9318</v>
      </c>
      <c r="F748" s="33" t="s">
        <v>9319</v>
      </c>
      <c r="G748" s="35" t="s">
        <v>9320</v>
      </c>
      <c r="H748" s="34"/>
      <c r="I748" s="34"/>
    </row>
    <row r="749">
      <c r="A749" s="32" t="s">
        <v>2953</v>
      </c>
      <c r="B749" s="32" t="s">
        <v>9321</v>
      </c>
      <c r="C749" s="32" t="s">
        <v>9322</v>
      </c>
      <c r="D749" s="32" t="s">
        <v>9323</v>
      </c>
      <c r="E749" s="32" t="s">
        <v>9324</v>
      </c>
      <c r="F749" s="33" t="s">
        <v>9325</v>
      </c>
      <c r="G749" s="35" t="s">
        <v>9326</v>
      </c>
      <c r="H749" s="34"/>
      <c r="I749" s="34"/>
    </row>
    <row r="750">
      <c r="A750" s="32" t="s">
        <v>2957</v>
      </c>
      <c r="B750" s="32" t="s">
        <v>9327</v>
      </c>
      <c r="C750" s="32" t="s">
        <v>9328</v>
      </c>
      <c r="D750" s="32" t="s">
        <v>9329</v>
      </c>
      <c r="E750" s="32" t="s">
        <v>9330</v>
      </c>
      <c r="F750" s="33" t="s">
        <v>9331</v>
      </c>
      <c r="G750" s="35" t="s">
        <v>9332</v>
      </c>
      <c r="H750" s="34"/>
      <c r="I750" s="34"/>
    </row>
    <row r="751">
      <c r="A751" s="32" t="s">
        <v>2964</v>
      </c>
      <c r="B751" s="32" t="s">
        <v>9333</v>
      </c>
      <c r="C751" s="32" t="s">
        <v>9334</v>
      </c>
      <c r="D751" s="32" t="s">
        <v>9335</v>
      </c>
      <c r="E751" s="32" t="s">
        <v>9336</v>
      </c>
      <c r="F751" s="33" t="s">
        <v>9337</v>
      </c>
      <c r="G751" s="35" t="s">
        <v>9338</v>
      </c>
      <c r="H751" s="34"/>
      <c r="I751" s="34"/>
    </row>
    <row r="752">
      <c r="A752" s="32" t="s">
        <v>2968</v>
      </c>
      <c r="B752" s="32" t="s">
        <v>9339</v>
      </c>
      <c r="C752" s="32" t="s">
        <v>9340</v>
      </c>
      <c r="D752" s="32" t="s">
        <v>9341</v>
      </c>
      <c r="E752" s="32" t="s">
        <v>9342</v>
      </c>
      <c r="F752" s="33" t="s">
        <v>9343</v>
      </c>
      <c r="G752" s="35" t="s">
        <v>9344</v>
      </c>
      <c r="H752" s="34"/>
      <c r="I752" s="34"/>
    </row>
    <row r="753">
      <c r="A753" s="32" t="s">
        <v>2972</v>
      </c>
      <c r="B753" s="32" t="s">
        <v>9345</v>
      </c>
      <c r="C753" s="32" t="s">
        <v>9346</v>
      </c>
      <c r="D753" s="32" t="s">
        <v>9347</v>
      </c>
      <c r="E753" s="32" t="s">
        <v>9348</v>
      </c>
      <c r="F753" s="33" t="s">
        <v>9349</v>
      </c>
      <c r="G753" s="35" t="s">
        <v>9350</v>
      </c>
      <c r="H753" s="34"/>
      <c r="I753" s="34"/>
    </row>
    <row r="754">
      <c r="A754" s="32" t="s">
        <v>2976</v>
      </c>
      <c r="B754" s="32" t="s">
        <v>9351</v>
      </c>
      <c r="C754" s="32" t="s">
        <v>9352</v>
      </c>
      <c r="D754" s="32" t="s">
        <v>9353</v>
      </c>
      <c r="E754" s="32" t="s">
        <v>9354</v>
      </c>
      <c r="F754" s="33" t="s">
        <v>9355</v>
      </c>
      <c r="G754" s="35" t="s">
        <v>9356</v>
      </c>
      <c r="H754" s="34"/>
      <c r="I754" s="34"/>
    </row>
    <row r="755">
      <c r="A755" s="32" t="s">
        <v>2980</v>
      </c>
      <c r="B755" s="32" t="s">
        <v>9357</v>
      </c>
      <c r="C755" s="32" t="s">
        <v>9358</v>
      </c>
      <c r="D755" s="32" t="s">
        <v>9359</v>
      </c>
      <c r="E755" s="32" t="s">
        <v>9360</v>
      </c>
      <c r="F755" s="33" t="s">
        <v>9361</v>
      </c>
      <c r="G755" s="35" t="s">
        <v>9362</v>
      </c>
      <c r="H755" s="34"/>
      <c r="I755" s="34"/>
    </row>
    <row r="756">
      <c r="A756" s="32" t="s">
        <v>2986</v>
      </c>
      <c r="B756" s="32" t="s">
        <v>9363</v>
      </c>
      <c r="C756" s="32" t="s">
        <v>9364</v>
      </c>
      <c r="D756" s="32" t="s">
        <v>9365</v>
      </c>
      <c r="E756" s="32" t="s">
        <v>9366</v>
      </c>
      <c r="F756" s="33" t="s">
        <v>9367</v>
      </c>
      <c r="G756" s="35" t="s">
        <v>9368</v>
      </c>
      <c r="H756" s="34"/>
      <c r="I756" s="34"/>
    </row>
    <row r="757">
      <c r="A757" s="32" t="s">
        <v>2993</v>
      </c>
      <c r="B757" s="32" t="s">
        <v>9369</v>
      </c>
      <c r="C757" s="32" t="s">
        <v>9370</v>
      </c>
      <c r="D757" s="32" t="s">
        <v>9371</v>
      </c>
      <c r="E757" s="32" t="s">
        <v>9372</v>
      </c>
      <c r="F757" s="33" t="s">
        <v>9373</v>
      </c>
      <c r="G757" s="35" t="s">
        <v>9374</v>
      </c>
      <c r="H757" s="34"/>
      <c r="I757" s="34"/>
    </row>
    <row r="758">
      <c r="A758" s="32" t="s">
        <v>2999</v>
      </c>
      <c r="B758" s="32" t="s">
        <v>9375</v>
      </c>
      <c r="C758" s="32" t="s">
        <v>9376</v>
      </c>
      <c r="D758" s="32" t="s">
        <v>9377</v>
      </c>
      <c r="E758" s="32" t="s">
        <v>9378</v>
      </c>
      <c r="F758" s="33" t="s">
        <v>9379</v>
      </c>
      <c r="G758" s="35" t="s">
        <v>9380</v>
      </c>
      <c r="H758" s="34"/>
      <c r="I758" s="34"/>
    </row>
    <row r="759">
      <c r="A759" s="32" t="s">
        <v>3003</v>
      </c>
      <c r="B759" s="32" t="s">
        <v>9381</v>
      </c>
      <c r="C759" s="32" t="s">
        <v>9382</v>
      </c>
      <c r="D759" s="32" t="s">
        <v>9383</v>
      </c>
      <c r="E759" s="32" t="s">
        <v>9384</v>
      </c>
      <c r="F759" s="33" t="s">
        <v>9385</v>
      </c>
      <c r="G759" s="35" t="s">
        <v>9386</v>
      </c>
      <c r="H759" s="34"/>
      <c r="I759" s="34"/>
    </row>
    <row r="760">
      <c r="A760" s="32" t="s">
        <v>3008</v>
      </c>
      <c r="B760" s="32" t="s">
        <v>9387</v>
      </c>
      <c r="C760" s="32" t="s">
        <v>9388</v>
      </c>
      <c r="D760" s="32" t="s">
        <v>9389</v>
      </c>
      <c r="E760" s="32" t="s">
        <v>9390</v>
      </c>
      <c r="F760" s="33" t="s">
        <v>9391</v>
      </c>
      <c r="G760" s="35" t="s">
        <v>9392</v>
      </c>
      <c r="H760" s="34"/>
      <c r="I760" s="34"/>
    </row>
    <row r="761">
      <c r="A761" s="32" t="s">
        <v>3012</v>
      </c>
      <c r="B761" s="32" t="s">
        <v>9393</v>
      </c>
      <c r="C761" s="32" t="s">
        <v>9394</v>
      </c>
      <c r="D761" s="32" t="s">
        <v>9395</v>
      </c>
      <c r="E761" s="32" t="s">
        <v>9396</v>
      </c>
      <c r="F761" s="33" t="s">
        <v>9397</v>
      </c>
      <c r="G761" s="35" t="s">
        <v>9398</v>
      </c>
      <c r="H761" s="34"/>
      <c r="I761" s="34"/>
    </row>
    <row r="762">
      <c r="A762" s="32" t="s">
        <v>3016</v>
      </c>
      <c r="B762" s="32" t="s">
        <v>9399</v>
      </c>
      <c r="C762" s="32" t="s">
        <v>9400</v>
      </c>
      <c r="D762" s="32" t="s">
        <v>9401</v>
      </c>
      <c r="E762" s="32" t="s">
        <v>9402</v>
      </c>
      <c r="F762" s="33" t="s">
        <v>9403</v>
      </c>
      <c r="G762" s="35" t="s">
        <v>9404</v>
      </c>
      <c r="H762" s="34"/>
      <c r="I762" s="34"/>
    </row>
    <row r="763">
      <c r="A763" s="32" t="s">
        <v>3020</v>
      </c>
      <c r="B763" s="32" t="s">
        <v>9405</v>
      </c>
      <c r="C763" s="32" t="s">
        <v>9406</v>
      </c>
      <c r="D763" s="32" t="s">
        <v>9407</v>
      </c>
      <c r="E763" s="32" t="s">
        <v>9408</v>
      </c>
      <c r="F763" s="33" t="s">
        <v>9409</v>
      </c>
      <c r="G763" s="35" t="s">
        <v>9410</v>
      </c>
      <c r="H763" s="34"/>
      <c r="I763" s="34"/>
    </row>
    <row r="764">
      <c r="A764" s="32" t="s">
        <v>3025</v>
      </c>
      <c r="B764" s="32" t="s">
        <v>9411</v>
      </c>
      <c r="C764" s="32" t="s">
        <v>9412</v>
      </c>
      <c r="D764" s="32" t="s">
        <v>9413</v>
      </c>
      <c r="E764" s="32" t="s">
        <v>9414</v>
      </c>
      <c r="F764" s="33" t="s">
        <v>9415</v>
      </c>
      <c r="G764" s="35" t="s">
        <v>9416</v>
      </c>
      <c r="H764" s="34"/>
      <c r="I764" s="34"/>
    </row>
    <row r="765">
      <c r="A765" s="32" t="s">
        <v>3029</v>
      </c>
      <c r="B765" s="32" t="s">
        <v>9417</v>
      </c>
      <c r="C765" s="32" t="s">
        <v>9418</v>
      </c>
      <c r="D765" s="32" t="s">
        <v>9419</v>
      </c>
      <c r="E765" s="32" t="s">
        <v>9420</v>
      </c>
      <c r="F765" s="33" t="s">
        <v>9421</v>
      </c>
      <c r="G765" s="35" t="s">
        <v>9422</v>
      </c>
      <c r="H765" s="34"/>
      <c r="I765" s="34"/>
    </row>
    <row r="766">
      <c r="A766" s="32" t="s">
        <v>3033</v>
      </c>
      <c r="B766" s="32" t="s">
        <v>9423</v>
      </c>
      <c r="C766" s="32" t="s">
        <v>9424</v>
      </c>
      <c r="D766" s="32" t="s">
        <v>9425</v>
      </c>
      <c r="E766" s="32" t="s">
        <v>9426</v>
      </c>
      <c r="F766" s="33" t="s">
        <v>9427</v>
      </c>
      <c r="G766" s="35" t="s">
        <v>9428</v>
      </c>
      <c r="H766" s="34"/>
      <c r="I766" s="34"/>
    </row>
    <row r="767">
      <c r="A767" s="32" t="s">
        <v>3037</v>
      </c>
      <c r="B767" s="32" t="s">
        <v>9429</v>
      </c>
      <c r="C767" s="32" t="s">
        <v>9430</v>
      </c>
      <c r="D767" s="32" t="s">
        <v>9431</v>
      </c>
      <c r="E767" s="32" t="s">
        <v>9432</v>
      </c>
      <c r="F767" s="33" t="s">
        <v>9433</v>
      </c>
      <c r="G767" s="35" t="s">
        <v>9434</v>
      </c>
      <c r="H767" s="34"/>
      <c r="I767" s="34"/>
    </row>
    <row r="768">
      <c r="A768" s="32" t="s">
        <v>1992</v>
      </c>
      <c r="B768" s="32" t="s">
        <v>8194</v>
      </c>
      <c r="C768" s="32" t="s">
        <v>8195</v>
      </c>
      <c r="D768" s="32" t="s">
        <v>8196</v>
      </c>
      <c r="E768" s="32" t="s">
        <v>8197</v>
      </c>
      <c r="F768" s="33" t="s">
        <v>9435</v>
      </c>
      <c r="G768" s="35" t="s">
        <v>9436</v>
      </c>
      <c r="H768" s="34"/>
      <c r="I768" s="34"/>
    </row>
    <row r="769">
      <c r="A769" s="32" t="s">
        <v>3043</v>
      </c>
      <c r="B769" s="32" t="s">
        <v>9437</v>
      </c>
      <c r="C769" s="32" t="s">
        <v>9438</v>
      </c>
      <c r="D769" s="32" t="s">
        <v>9439</v>
      </c>
      <c r="E769" s="32" t="s">
        <v>9440</v>
      </c>
      <c r="F769" s="33" t="s">
        <v>9441</v>
      </c>
      <c r="G769" s="35" t="s">
        <v>9442</v>
      </c>
      <c r="H769" s="34"/>
      <c r="I769" s="34"/>
    </row>
    <row r="770">
      <c r="A770" s="32" t="s">
        <v>141</v>
      </c>
      <c r="B770" s="32" t="s">
        <v>6126</v>
      </c>
      <c r="C770" s="32" t="s">
        <v>6127</v>
      </c>
      <c r="D770" s="32" t="s">
        <v>6128</v>
      </c>
      <c r="E770" s="32" t="s">
        <v>6129</v>
      </c>
      <c r="F770" s="33" t="s">
        <v>6130</v>
      </c>
      <c r="G770" s="35" t="s">
        <v>9443</v>
      </c>
      <c r="H770" s="34"/>
      <c r="I770" s="34"/>
    </row>
    <row r="771">
      <c r="A771" s="32" t="s">
        <v>3048</v>
      </c>
      <c r="B771" s="32" t="s">
        <v>9444</v>
      </c>
      <c r="C771" s="32" t="s">
        <v>9445</v>
      </c>
      <c r="D771" s="32" t="s">
        <v>9446</v>
      </c>
      <c r="E771" s="32" t="s">
        <v>9447</v>
      </c>
      <c r="F771" s="33" t="s">
        <v>9448</v>
      </c>
      <c r="G771" s="35" t="s">
        <v>9449</v>
      </c>
      <c r="H771" s="34"/>
      <c r="I771" s="34"/>
    </row>
    <row r="772">
      <c r="A772" s="32" t="s">
        <v>3054</v>
      </c>
      <c r="B772" s="32" t="s">
        <v>9450</v>
      </c>
      <c r="C772" s="32" t="s">
        <v>9451</v>
      </c>
      <c r="D772" s="32" t="s">
        <v>9452</v>
      </c>
      <c r="E772" s="32" t="s">
        <v>9453</v>
      </c>
      <c r="F772" s="33" t="s">
        <v>9454</v>
      </c>
      <c r="G772" s="35" t="s">
        <v>9455</v>
      </c>
      <c r="H772" s="34"/>
      <c r="I772" s="34"/>
    </row>
    <row r="773">
      <c r="A773" s="32" t="s">
        <v>149</v>
      </c>
      <c r="B773" s="32" t="s">
        <v>6138</v>
      </c>
      <c r="C773" s="32" t="s">
        <v>6139</v>
      </c>
      <c r="D773" s="32" t="s">
        <v>6140</v>
      </c>
      <c r="E773" s="32" t="s">
        <v>6141</v>
      </c>
      <c r="F773" s="33" t="s">
        <v>6142</v>
      </c>
      <c r="G773" s="35" t="s">
        <v>6143</v>
      </c>
      <c r="H773" s="34"/>
      <c r="I773" s="34"/>
    </row>
    <row r="774">
      <c r="A774" s="32" t="s">
        <v>3059</v>
      </c>
      <c r="B774" s="32" t="s">
        <v>9456</v>
      </c>
      <c r="C774" s="32" t="s">
        <v>9457</v>
      </c>
      <c r="D774" s="32" t="s">
        <v>9458</v>
      </c>
      <c r="E774" s="32" t="s">
        <v>9459</v>
      </c>
      <c r="F774" s="33" t="s">
        <v>9460</v>
      </c>
      <c r="G774" s="35" t="s">
        <v>9461</v>
      </c>
      <c r="H774" s="34"/>
      <c r="I774" s="34"/>
    </row>
    <row r="775">
      <c r="A775" s="32" t="s">
        <v>3063</v>
      </c>
      <c r="B775" s="32" t="s">
        <v>9462</v>
      </c>
      <c r="C775" s="32" t="s">
        <v>9463</v>
      </c>
      <c r="D775" s="32" t="s">
        <v>9464</v>
      </c>
      <c r="E775" s="32" t="s">
        <v>9465</v>
      </c>
      <c r="F775" s="33" t="s">
        <v>9466</v>
      </c>
      <c r="G775" s="35" t="s">
        <v>9467</v>
      </c>
      <c r="H775" s="34"/>
      <c r="I775" s="34"/>
    </row>
    <row r="776">
      <c r="A776" s="32" t="s">
        <v>3066</v>
      </c>
      <c r="B776" s="32" t="s">
        <v>9468</v>
      </c>
      <c r="C776" s="32" t="s">
        <v>9469</v>
      </c>
      <c r="D776" s="32" t="s">
        <v>9470</v>
      </c>
      <c r="E776" s="32" t="s">
        <v>9471</v>
      </c>
      <c r="F776" s="33" t="s">
        <v>9472</v>
      </c>
      <c r="G776" s="35" t="s">
        <v>9473</v>
      </c>
      <c r="H776" s="34"/>
      <c r="I776" s="34"/>
    </row>
    <row r="777">
      <c r="A777" s="32" t="s">
        <v>3069</v>
      </c>
      <c r="B777" s="32" t="s">
        <v>9474</v>
      </c>
      <c r="C777" s="32" t="s">
        <v>9475</v>
      </c>
      <c r="D777" s="32" t="s">
        <v>9476</v>
      </c>
      <c r="E777" s="32" t="s">
        <v>9477</v>
      </c>
      <c r="F777" s="33" t="s">
        <v>9478</v>
      </c>
      <c r="G777" s="35" t="s">
        <v>9479</v>
      </c>
      <c r="H777" s="34"/>
      <c r="I777" s="34"/>
    </row>
    <row r="778">
      <c r="A778" s="32" t="s">
        <v>3073</v>
      </c>
      <c r="B778" s="32" t="s">
        <v>9480</v>
      </c>
      <c r="C778" s="32" t="s">
        <v>9481</v>
      </c>
      <c r="D778" s="32" t="s">
        <v>9482</v>
      </c>
      <c r="E778" s="32" t="s">
        <v>9483</v>
      </c>
      <c r="F778" s="33" t="s">
        <v>9484</v>
      </c>
      <c r="G778" s="35" t="s">
        <v>9485</v>
      </c>
      <c r="H778" s="34"/>
      <c r="I778" s="34"/>
    </row>
    <row r="779">
      <c r="A779" s="32" t="s">
        <v>3080</v>
      </c>
      <c r="B779" s="32" t="s">
        <v>9486</v>
      </c>
      <c r="C779" s="32" t="s">
        <v>9487</v>
      </c>
      <c r="D779" s="32" t="s">
        <v>9488</v>
      </c>
      <c r="E779" s="32" t="s">
        <v>9489</v>
      </c>
      <c r="F779" s="33" t="s">
        <v>9490</v>
      </c>
      <c r="G779" s="35" t="s">
        <v>9491</v>
      </c>
      <c r="H779" s="34"/>
      <c r="I779" s="34"/>
    </row>
    <row r="780">
      <c r="A780" s="32" t="s">
        <v>3086</v>
      </c>
      <c r="B780" s="32" t="s">
        <v>9492</v>
      </c>
      <c r="C780" s="32" t="s">
        <v>9493</v>
      </c>
      <c r="D780" s="32" t="s">
        <v>9494</v>
      </c>
      <c r="E780" s="32" t="s">
        <v>9495</v>
      </c>
      <c r="F780" s="33" t="s">
        <v>9496</v>
      </c>
      <c r="G780" s="35" t="s">
        <v>9497</v>
      </c>
      <c r="H780" s="34"/>
      <c r="I780" s="34"/>
    </row>
    <row r="781">
      <c r="A781" s="32" t="s">
        <v>3090</v>
      </c>
      <c r="B781" s="32" t="s">
        <v>9498</v>
      </c>
      <c r="C781" s="32" t="s">
        <v>9499</v>
      </c>
      <c r="D781" s="32" t="s">
        <v>9500</v>
      </c>
      <c r="E781" s="32" t="s">
        <v>9501</v>
      </c>
      <c r="F781" s="33" t="s">
        <v>9502</v>
      </c>
      <c r="G781" s="35" t="s">
        <v>9503</v>
      </c>
      <c r="H781" s="34"/>
      <c r="I781" s="34"/>
    </row>
    <row r="782">
      <c r="A782" s="32" t="s">
        <v>3094</v>
      </c>
      <c r="B782" s="32" t="s">
        <v>9504</v>
      </c>
      <c r="C782" s="32" t="s">
        <v>9505</v>
      </c>
      <c r="D782" s="32" t="s">
        <v>9506</v>
      </c>
      <c r="E782" s="32" t="s">
        <v>9507</v>
      </c>
      <c r="F782" s="33" t="s">
        <v>9508</v>
      </c>
      <c r="G782" s="35" t="s">
        <v>9509</v>
      </c>
      <c r="H782" s="34"/>
      <c r="I782" s="34"/>
    </row>
    <row r="783">
      <c r="A783" s="32" t="s">
        <v>3098</v>
      </c>
      <c r="B783" s="32" t="s">
        <v>9510</v>
      </c>
      <c r="C783" s="32" t="s">
        <v>9511</v>
      </c>
      <c r="D783" s="32" t="s">
        <v>9512</v>
      </c>
      <c r="E783" s="32" t="s">
        <v>9513</v>
      </c>
      <c r="F783" s="33" t="s">
        <v>9514</v>
      </c>
      <c r="G783" s="35" t="s">
        <v>9515</v>
      </c>
      <c r="H783" s="34"/>
      <c r="I783" s="34"/>
    </row>
    <row r="784">
      <c r="A784" s="32" t="s">
        <v>3102</v>
      </c>
      <c r="B784" s="32" t="s">
        <v>9516</v>
      </c>
      <c r="C784" s="32" t="s">
        <v>9517</v>
      </c>
      <c r="D784" s="32" t="s">
        <v>9518</v>
      </c>
      <c r="E784" s="32" t="s">
        <v>9519</v>
      </c>
      <c r="F784" s="33" t="s">
        <v>9520</v>
      </c>
      <c r="G784" s="35" t="s">
        <v>9521</v>
      </c>
      <c r="H784" s="34"/>
      <c r="I784" s="34"/>
    </row>
    <row r="785">
      <c r="A785" s="32" t="s">
        <v>3106</v>
      </c>
      <c r="B785" s="32" t="s">
        <v>9522</v>
      </c>
      <c r="C785" s="32" t="s">
        <v>9523</v>
      </c>
      <c r="D785" s="32" t="s">
        <v>9524</v>
      </c>
      <c r="E785" s="32" t="s">
        <v>9525</v>
      </c>
      <c r="F785" s="33" t="s">
        <v>9526</v>
      </c>
      <c r="G785" s="35" t="s">
        <v>9527</v>
      </c>
      <c r="H785" s="34"/>
      <c r="I785" s="34"/>
    </row>
    <row r="786">
      <c r="A786" s="32" t="s">
        <v>145</v>
      </c>
      <c r="B786" s="32" t="s">
        <v>6132</v>
      </c>
      <c r="C786" s="32" t="s">
        <v>6133</v>
      </c>
      <c r="D786" s="32" t="s">
        <v>6134</v>
      </c>
      <c r="E786" s="32" t="s">
        <v>6135</v>
      </c>
      <c r="F786" s="33" t="s">
        <v>6136</v>
      </c>
      <c r="G786" s="35" t="s">
        <v>9528</v>
      </c>
      <c r="H786" s="34"/>
      <c r="I786" s="34"/>
    </row>
    <row r="787">
      <c r="A787" s="32" t="s">
        <v>3111</v>
      </c>
      <c r="B787" s="32" t="s">
        <v>9529</v>
      </c>
      <c r="C787" s="32" t="s">
        <v>9530</v>
      </c>
      <c r="D787" s="32" t="s">
        <v>9531</v>
      </c>
      <c r="E787" s="32" t="s">
        <v>9532</v>
      </c>
      <c r="F787" s="33" t="s">
        <v>9533</v>
      </c>
      <c r="G787" s="35" t="s">
        <v>9534</v>
      </c>
      <c r="H787" s="34"/>
      <c r="I787" s="34"/>
    </row>
    <row r="788">
      <c r="A788" s="32" t="s">
        <v>3115</v>
      </c>
      <c r="B788" s="32" t="s">
        <v>9535</v>
      </c>
      <c r="C788" s="32" t="s">
        <v>9536</v>
      </c>
      <c r="D788" s="32" t="s">
        <v>9537</v>
      </c>
      <c r="E788" s="32" t="s">
        <v>9538</v>
      </c>
      <c r="F788" s="33" t="s">
        <v>9539</v>
      </c>
      <c r="G788" s="35" t="s">
        <v>9540</v>
      </c>
      <c r="H788" s="34"/>
      <c r="I788" s="34"/>
    </row>
    <row r="789">
      <c r="A789" s="32" t="s">
        <v>3119</v>
      </c>
      <c r="B789" s="32" t="s">
        <v>9541</v>
      </c>
      <c r="C789" s="32" t="s">
        <v>9542</v>
      </c>
      <c r="D789" s="32" t="s">
        <v>9543</v>
      </c>
      <c r="E789" s="32" t="s">
        <v>9544</v>
      </c>
      <c r="F789" s="33" t="s">
        <v>9545</v>
      </c>
      <c r="G789" s="35" t="s">
        <v>9546</v>
      </c>
      <c r="H789" s="34"/>
      <c r="I789" s="34"/>
    </row>
    <row r="790">
      <c r="A790" s="32" t="s">
        <v>3125</v>
      </c>
      <c r="B790" s="32" t="s">
        <v>9547</v>
      </c>
      <c r="C790" s="32" t="s">
        <v>9548</v>
      </c>
      <c r="D790" s="32" t="s">
        <v>9549</v>
      </c>
      <c r="E790" s="32" t="s">
        <v>9550</v>
      </c>
      <c r="F790" s="33" t="s">
        <v>9551</v>
      </c>
      <c r="G790" s="35" t="s">
        <v>9552</v>
      </c>
      <c r="H790" s="34"/>
      <c r="I790" s="34"/>
    </row>
    <row r="791">
      <c r="A791" s="32" t="s">
        <v>3131</v>
      </c>
      <c r="B791" s="32" t="s">
        <v>9553</v>
      </c>
      <c r="C791" s="32" t="s">
        <v>9554</v>
      </c>
      <c r="D791" s="32" t="s">
        <v>9555</v>
      </c>
      <c r="E791" s="32" t="s">
        <v>9556</v>
      </c>
      <c r="F791" s="33" t="s">
        <v>9557</v>
      </c>
      <c r="G791" s="35" t="s">
        <v>9558</v>
      </c>
      <c r="H791" s="34"/>
      <c r="I791" s="34"/>
    </row>
    <row r="792">
      <c r="A792" s="32" t="s">
        <v>3137</v>
      </c>
      <c r="B792" s="32" t="s">
        <v>9559</v>
      </c>
      <c r="C792" s="32" t="s">
        <v>9560</v>
      </c>
      <c r="D792" s="32" t="s">
        <v>9561</v>
      </c>
      <c r="E792" s="32" t="s">
        <v>9562</v>
      </c>
      <c r="F792" s="33" t="s">
        <v>9563</v>
      </c>
      <c r="G792" s="35" t="s">
        <v>9564</v>
      </c>
      <c r="H792" s="34"/>
      <c r="I792" s="34"/>
    </row>
    <row r="793">
      <c r="A793" s="32" t="s">
        <v>3141</v>
      </c>
      <c r="B793" s="32" t="s">
        <v>9565</v>
      </c>
      <c r="C793" s="32" t="s">
        <v>9566</v>
      </c>
      <c r="D793" s="32" t="s">
        <v>9567</v>
      </c>
      <c r="E793" s="32" t="s">
        <v>9568</v>
      </c>
      <c r="F793" s="33" t="s">
        <v>9569</v>
      </c>
      <c r="G793" s="35" t="s">
        <v>9570</v>
      </c>
      <c r="H793" s="34"/>
      <c r="I793" s="34"/>
    </row>
    <row r="794">
      <c r="A794" s="32" t="s">
        <v>3145</v>
      </c>
      <c r="B794" s="32" t="s">
        <v>9571</v>
      </c>
      <c r="C794" s="32" t="s">
        <v>9572</v>
      </c>
      <c r="D794" s="32" t="s">
        <v>9573</v>
      </c>
      <c r="E794" s="32" t="s">
        <v>9574</v>
      </c>
      <c r="F794" s="33" t="s">
        <v>9575</v>
      </c>
      <c r="G794" s="35" t="s">
        <v>9576</v>
      </c>
      <c r="H794" s="34"/>
      <c r="I794" s="34"/>
    </row>
    <row r="795">
      <c r="A795" s="32" t="s">
        <v>3149</v>
      </c>
      <c r="B795" s="32" t="s">
        <v>9577</v>
      </c>
      <c r="C795" s="32" t="s">
        <v>9578</v>
      </c>
      <c r="D795" s="32" t="s">
        <v>9579</v>
      </c>
      <c r="E795" s="32" t="s">
        <v>9580</v>
      </c>
      <c r="F795" s="33" t="s">
        <v>9581</v>
      </c>
      <c r="G795" s="35" t="s">
        <v>9582</v>
      </c>
      <c r="H795" s="34"/>
      <c r="I795" s="34"/>
    </row>
    <row r="796">
      <c r="A796" s="32" t="s">
        <v>3153</v>
      </c>
      <c r="B796" s="32" t="s">
        <v>9583</v>
      </c>
      <c r="C796" s="32" t="s">
        <v>9584</v>
      </c>
      <c r="D796" s="32" t="s">
        <v>9585</v>
      </c>
      <c r="E796" s="32" t="s">
        <v>9586</v>
      </c>
      <c r="F796" s="33" t="s">
        <v>9587</v>
      </c>
      <c r="G796" s="35" t="s">
        <v>9588</v>
      </c>
      <c r="H796" s="34"/>
      <c r="I796" s="34"/>
    </row>
    <row r="797">
      <c r="A797" s="32" t="s">
        <v>3160</v>
      </c>
      <c r="B797" s="32" t="s">
        <v>9589</v>
      </c>
      <c r="C797" s="32" t="s">
        <v>9590</v>
      </c>
      <c r="D797" s="32" t="s">
        <v>9591</v>
      </c>
      <c r="E797" s="32" t="s">
        <v>9592</v>
      </c>
      <c r="F797" s="33" t="s">
        <v>9593</v>
      </c>
      <c r="G797" s="35" t="s">
        <v>9594</v>
      </c>
      <c r="H797" s="34"/>
      <c r="I797" s="34"/>
    </row>
    <row r="798">
      <c r="A798" s="32" t="s">
        <v>3164</v>
      </c>
      <c r="B798" s="32" t="s">
        <v>9595</v>
      </c>
      <c r="C798" s="32" t="s">
        <v>9596</v>
      </c>
      <c r="D798" s="32" t="s">
        <v>9597</v>
      </c>
      <c r="E798" s="32" t="s">
        <v>9598</v>
      </c>
      <c r="F798" s="33" t="s">
        <v>9599</v>
      </c>
      <c r="G798" s="35" t="s">
        <v>9368</v>
      </c>
      <c r="H798" s="34"/>
      <c r="I798" s="34"/>
    </row>
    <row r="799">
      <c r="A799" s="32" t="s">
        <v>3168</v>
      </c>
      <c r="B799" s="32" t="s">
        <v>9600</v>
      </c>
      <c r="C799" s="32" t="s">
        <v>9601</v>
      </c>
      <c r="D799" s="32" t="s">
        <v>9602</v>
      </c>
      <c r="E799" s="32" t="s">
        <v>9603</v>
      </c>
      <c r="F799" s="33" t="s">
        <v>9604</v>
      </c>
      <c r="G799" s="35" t="s">
        <v>9605</v>
      </c>
      <c r="H799" s="34"/>
      <c r="I799" s="34"/>
    </row>
    <row r="800">
      <c r="A800" s="32" t="s">
        <v>3174</v>
      </c>
      <c r="B800" s="32" t="s">
        <v>9606</v>
      </c>
      <c r="C800" s="32" t="s">
        <v>9607</v>
      </c>
      <c r="D800" s="32" t="s">
        <v>9608</v>
      </c>
      <c r="E800" s="32" t="s">
        <v>9609</v>
      </c>
      <c r="F800" s="33" t="s">
        <v>9610</v>
      </c>
      <c r="G800" s="35" t="s">
        <v>9611</v>
      </c>
      <c r="H800" s="34"/>
      <c r="I800" s="34"/>
    </row>
    <row r="801">
      <c r="A801" s="32" t="s">
        <v>3178</v>
      </c>
      <c r="B801" s="32" t="s">
        <v>9612</v>
      </c>
      <c r="C801" s="32" t="s">
        <v>9613</v>
      </c>
      <c r="D801" s="32" t="s">
        <v>9614</v>
      </c>
      <c r="E801" s="32" t="s">
        <v>9615</v>
      </c>
      <c r="F801" s="33" t="s">
        <v>9616</v>
      </c>
      <c r="G801" s="35" t="s">
        <v>9617</v>
      </c>
      <c r="H801" s="34"/>
      <c r="I801" s="34"/>
    </row>
    <row r="802">
      <c r="A802" s="32" t="s">
        <v>3182</v>
      </c>
      <c r="B802" s="32" t="s">
        <v>9618</v>
      </c>
      <c r="C802" s="32" t="s">
        <v>9619</v>
      </c>
      <c r="D802" s="32" t="s">
        <v>9620</v>
      </c>
      <c r="E802" s="32" t="s">
        <v>9621</v>
      </c>
      <c r="F802" s="33" t="s">
        <v>9622</v>
      </c>
      <c r="G802" s="35" t="s">
        <v>9623</v>
      </c>
      <c r="H802" s="34"/>
      <c r="I802" s="34"/>
    </row>
    <row r="803">
      <c r="A803" s="32" t="s">
        <v>3186</v>
      </c>
      <c r="B803" s="32" t="s">
        <v>9624</v>
      </c>
      <c r="C803" s="32" t="s">
        <v>9625</v>
      </c>
      <c r="D803" s="32" t="s">
        <v>9626</v>
      </c>
      <c r="E803" s="32" t="s">
        <v>9627</v>
      </c>
      <c r="F803" s="33" t="s">
        <v>9628</v>
      </c>
      <c r="G803" s="35" t="s">
        <v>9629</v>
      </c>
      <c r="H803" s="34"/>
      <c r="I803" s="34"/>
    </row>
    <row r="804">
      <c r="A804" s="32" t="s">
        <v>153</v>
      </c>
      <c r="B804" s="32" t="s">
        <v>6144</v>
      </c>
      <c r="C804" s="32" t="s">
        <v>6145</v>
      </c>
      <c r="D804" s="32" t="s">
        <v>6146</v>
      </c>
      <c r="E804" s="32" t="s">
        <v>6147</v>
      </c>
      <c r="F804" s="33" t="s">
        <v>6148</v>
      </c>
      <c r="G804" s="35" t="s">
        <v>9630</v>
      </c>
      <c r="H804" s="34"/>
      <c r="I804" s="34"/>
    </row>
    <row r="805">
      <c r="A805" s="32" t="s">
        <v>3192</v>
      </c>
      <c r="B805" s="32" t="s">
        <v>9631</v>
      </c>
      <c r="C805" s="32" t="s">
        <v>9632</v>
      </c>
      <c r="D805" s="32" t="s">
        <v>9633</v>
      </c>
      <c r="E805" s="32" t="s">
        <v>9634</v>
      </c>
      <c r="F805" s="33" t="s">
        <v>9635</v>
      </c>
      <c r="G805" s="35" t="s">
        <v>9636</v>
      </c>
      <c r="H805" s="34"/>
      <c r="I805" s="34"/>
    </row>
    <row r="806">
      <c r="A806" s="32" t="s">
        <v>3197</v>
      </c>
      <c r="B806" s="32" t="s">
        <v>9637</v>
      </c>
      <c r="C806" s="32" t="s">
        <v>9638</v>
      </c>
      <c r="D806" s="32" t="s">
        <v>9639</v>
      </c>
      <c r="E806" s="32" t="s">
        <v>9640</v>
      </c>
      <c r="F806" s="33" t="s">
        <v>9641</v>
      </c>
      <c r="G806" s="35" t="s">
        <v>9642</v>
      </c>
      <c r="H806" s="34"/>
      <c r="I806" s="34"/>
    </row>
    <row r="807">
      <c r="A807" s="32" t="s">
        <v>3201</v>
      </c>
      <c r="B807" s="32" t="s">
        <v>9643</v>
      </c>
      <c r="C807" s="32" t="s">
        <v>9644</v>
      </c>
      <c r="D807" s="32" t="s">
        <v>9645</v>
      </c>
      <c r="E807" s="32" t="s">
        <v>9646</v>
      </c>
      <c r="F807" s="33" t="s">
        <v>9647</v>
      </c>
      <c r="G807" s="35" t="s">
        <v>9648</v>
      </c>
      <c r="H807" s="34"/>
      <c r="I807" s="34"/>
    </row>
    <row r="808">
      <c r="A808" s="32" t="s">
        <v>3209</v>
      </c>
      <c r="B808" s="32" t="s">
        <v>9649</v>
      </c>
      <c r="C808" s="32" t="s">
        <v>9650</v>
      </c>
      <c r="D808" s="32" t="s">
        <v>9651</v>
      </c>
      <c r="E808" s="32" t="s">
        <v>9652</v>
      </c>
      <c r="F808" s="33" t="s">
        <v>9653</v>
      </c>
      <c r="G808" s="35" t="s">
        <v>9654</v>
      </c>
      <c r="H808" s="34"/>
      <c r="I808" s="34"/>
    </row>
    <row r="809">
      <c r="A809" s="32" t="s">
        <v>3213</v>
      </c>
      <c r="B809" s="32" t="s">
        <v>9655</v>
      </c>
      <c r="C809" s="32" t="s">
        <v>9656</v>
      </c>
      <c r="D809" s="32" t="s">
        <v>9657</v>
      </c>
      <c r="E809" s="32" t="s">
        <v>9658</v>
      </c>
      <c r="F809" s="33" t="s">
        <v>9659</v>
      </c>
      <c r="G809" s="35" t="s">
        <v>9660</v>
      </c>
      <c r="H809" s="34"/>
      <c r="I809" s="34"/>
    </row>
    <row r="810">
      <c r="A810" s="32" t="s">
        <v>3217</v>
      </c>
      <c r="B810" s="32" t="s">
        <v>9661</v>
      </c>
      <c r="C810" s="32" t="s">
        <v>9662</v>
      </c>
      <c r="D810" s="32" t="s">
        <v>9663</v>
      </c>
      <c r="E810" s="32" t="s">
        <v>9664</v>
      </c>
      <c r="F810" s="33" t="s">
        <v>9665</v>
      </c>
      <c r="G810" s="35" t="s">
        <v>9666</v>
      </c>
      <c r="H810" s="34"/>
      <c r="I810" s="34"/>
    </row>
    <row r="811">
      <c r="A811" s="32" t="s">
        <v>3224</v>
      </c>
      <c r="B811" s="32" t="s">
        <v>9667</v>
      </c>
      <c r="C811" s="32" t="s">
        <v>9668</v>
      </c>
      <c r="D811" s="32" t="s">
        <v>9669</v>
      </c>
      <c r="E811" s="32" t="s">
        <v>9670</v>
      </c>
      <c r="F811" s="33" t="s">
        <v>9671</v>
      </c>
      <c r="G811" s="35" t="s">
        <v>9672</v>
      </c>
      <c r="H811" s="34"/>
      <c r="I811" s="34"/>
    </row>
    <row r="812">
      <c r="A812" s="32" t="s">
        <v>3228</v>
      </c>
      <c r="B812" s="32" t="s">
        <v>9673</v>
      </c>
      <c r="C812" s="32" t="s">
        <v>9674</v>
      </c>
      <c r="D812" s="32" t="s">
        <v>9675</v>
      </c>
      <c r="E812" s="32" t="s">
        <v>9676</v>
      </c>
      <c r="F812" s="33" t="s">
        <v>9677</v>
      </c>
      <c r="G812" s="35" t="s">
        <v>9678</v>
      </c>
      <c r="H812" s="34"/>
      <c r="I812" s="34"/>
    </row>
    <row r="813">
      <c r="A813" s="32" t="s">
        <v>3234</v>
      </c>
      <c r="B813" s="32" t="s">
        <v>9679</v>
      </c>
      <c r="C813" s="32" t="s">
        <v>9680</v>
      </c>
      <c r="D813" s="32" t="s">
        <v>9681</v>
      </c>
      <c r="E813" s="32" t="s">
        <v>9682</v>
      </c>
      <c r="F813" s="33" t="s">
        <v>9683</v>
      </c>
      <c r="G813" s="35" t="s">
        <v>9684</v>
      </c>
      <c r="H813" s="34"/>
      <c r="I813" s="34"/>
    </row>
    <row r="814">
      <c r="A814" s="32" t="s">
        <v>3238</v>
      </c>
      <c r="B814" s="32" t="s">
        <v>9685</v>
      </c>
      <c r="C814" s="32" t="s">
        <v>9686</v>
      </c>
      <c r="D814" s="32" t="s">
        <v>9687</v>
      </c>
      <c r="E814" s="32" t="s">
        <v>9688</v>
      </c>
      <c r="F814" s="33" t="s">
        <v>9689</v>
      </c>
      <c r="G814" s="35" t="s">
        <v>9690</v>
      </c>
      <c r="H814" s="34"/>
      <c r="I814" s="34"/>
    </row>
    <row r="815">
      <c r="A815" s="32" t="s">
        <v>3242</v>
      </c>
      <c r="B815" s="32" t="s">
        <v>9691</v>
      </c>
      <c r="C815" s="32" t="s">
        <v>9692</v>
      </c>
      <c r="D815" s="32" t="s">
        <v>9693</v>
      </c>
      <c r="E815" s="32" t="s">
        <v>9694</v>
      </c>
      <c r="F815" s="33" t="s">
        <v>9695</v>
      </c>
      <c r="G815" s="35" t="s">
        <v>9696</v>
      </c>
      <c r="H815" s="34"/>
      <c r="I815" s="34"/>
    </row>
    <row r="816">
      <c r="A816" s="32" t="s">
        <v>3246</v>
      </c>
      <c r="B816" s="32" t="s">
        <v>9697</v>
      </c>
      <c r="C816" s="32" t="s">
        <v>9698</v>
      </c>
      <c r="D816" s="32" t="s">
        <v>9699</v>
      </c>
      <c r="E816" s="32" t="s">
        <v>9700</v>
      </c>
      <c r="F816" s="33" t="s">
        <v>9701</v>
      </c>
      <c r="G816" s="35" t="s">
        <v>9702</v>
      </c>
      <c r="H816" s="34"/>
      <c r="I816" s="34"/>
    </row>
    <row r="817">
      <c r="A817" s="32" t="s">
        <v>3250</v>
      </c>
      <c r="B817" s="32" t="s">
        <v>9703</v>
      </c>
      <c r="C817" s="32" t="s">
        <v>9704</v>
      </c>
      <c r="D817" s="32" t="s">
        <v>9705</v>
      </c>
      <c r="E817" s="32" t="s">
        <v>9706</v>
      </c>
      <c r="F817" s="33" t="s">
        <v>9707</v>
      </c>
      <c r="G817" s="35" t="s">
        <v>9708</v>
      </c>
      <c r="H817" s="34"/>
      <c r="I817" s="34"/>
    </row>
    <row r="818">
      <c r="A818" s="32" t="s">
        <v>3254</v>
      </c>
      <c r="B818" s="32" t="s">
        <v>9709</v>
      </c>
      <c r="C818" s="32" t="s">
        <v>9710</v>
      </c>
      <c r="D818" s="32" t="s">
        <v>9711</v>
      </c>
      <c r="E818" s="32" t="s">
        <v>9712</v>
      </c>
      <c r="F818" s="33" t="s">
        <v>9713</v>
      </c>
      <c r="G818" s="35" t="s">
        <v>9714</v>
      </c>
      <c r="H818" s="34"/>
      <c r="I818" s="34"/>
    </row>
    <row r="819">
      <c r="A819" s="32" t="s">
        <v>3260</v>
      </c>
      <c r="B819" s="32" t="s">
        <v>9715</v>
      </c>
      <c r="C819" s="32" t="s">
        <v>9716</v>
      </c>
      <c r="D819" s="32" t="s">
        <v>9717</v>
      </c>
      <c r="E819" s="32" t="s">
        <v>9718</v>
      </c>
      <c r="F819" s="33" t="s">
        <v>9719</v>
      </c>
      <c r="G819" s="35" t="s">
        <v>9720</v>
      </c>
      <c r="H819" s="34"/>
      <c r="I819" s="34"/>
    </row>
    <row r="820">
      <c r="A820" s="32" t="s">
        <v>157</v>
      </c>
      <c r="B820" s="32" t="s">
        <v>6150</v>
      </c>
      <c r="C820" s="32" t="s">
        <v>6151</v>
      </c>
      <c r="D820" s="32" t="s">
        <v>6152</v>
      </c>
      <c r="E820" s="32" t="s">
        <v>6153</v>
      </c>
      <c r="F820" s="33" t="s">
        <v>6154</v>
      </c>
      <c r="G820" s="35" t="s">
        <v>6155</v>
      </c>
      <c r="H820" s="34"/>
      <c r="I820" s="34"/>
    </row>
    <row r="821">
      <c r="A821" s="32" t="s">
        <v>3265</v>
      </c>
      <c r="B821" s="32" t="s">
        <v>9721</v>
      </c>
      <c r="C821" s="32" t="s">
        <v>9722</v>
      </c>
      <c r="D821" s="32" t="s">
        <v>9723</v>
      </c>
      <c r="E821" s="32" t="s">
        <v>9724</v>
      </c>
      <c r="F821" s="33" t="s">
        <v>9725</v>
      </c>
      <c r="G821" s="35" t="s">
        <v>9726</v>
      </c>
      <c r="H821" s="34"/>
      <c r="I821" s="34"/>
    </row>
    <row r="822">
      <c r="A822" s="32" t="s">
        <v>3269</v>
      </c>
      <c r="B822" s="32" t="s">
        <v>9727</v>
      </c>
      <c r="C822" s="32" t="s">
        <v>9728</v>
      </c>
      <c r="D822" s="32" t="s">
        <v>9729</v>
      </c>
      <c r="E822" s="32" t="s">
        <v>9730</v>
      </c>
      <c r="F822" s="33" t="s">
        <v>9731</v>
      </c>
      <c r="G822" s="35" t="s">
        <v>9732</v>
      </c>
      <c r="H822" s="34"/>
      <c r="I822" s="34"/>
    </row>
    <row r="823">
      <c r="A823" s="32" t="s">
        <v>3273</v>
      </c>
      <c r="B823" s="32" t="s">
        <v>9733</v>
      </c>
      <c r="C823" s="32" t="s">
        <v>9734</v>
      </c>
      <c r="D823" s="32" t="s">
        <v>9735</v>
      </c>
      <c r="E823" s="32" t="s">
        <v>9736</v>
      </c>
      <c r="F823" s="33" t="s">
        <v>9737</v>
      </c>
      <c r="G823" s="35" t="s">
        <v>9738</v>
      </c>
      <c r="H823" s="34"/>
      <c r="I823" s="34"/>
    </row>
    <row r="824">
      <c r="A824" s="32" t="s">
        <v>3277</v>
      </c>
      <c r="B824" s="32" t="s">
        <v>9739</v>
      </c>
      <c r="C824" s="32" t="s">
        <v>9740</v>
      </c>
      <c r="D824" s="32" t="s">
        <v>9741</v>
      </c>
      <c r="E824" s="32" t="s">
        <v>9742</v>
      </c>
      <c r="F824" s="33" t="s">
        <v>9743</v>
      </c>
      <c r="G824" s="35" t="s">
        <v>9744</v>
      </c>
      <c r="H824" s="34"/>
      <c r="I824" s="34"/>
    </row>
    <row r="825">
      <c r="A825" s="32" t="s">
        <v>161</v>
      </c>
      <c r="B825" s="32" t="s">
        <v>6156</v>
      </c>
      <c r="C825" s="32" t="s">
        <v>6157</v>
      </c>
      <c r="D825" s="32" t="s">
        <v>6158</v>
      </c>
      <c r="E825" s="32" t="s">
        <v>6159</v>
      </c>
      <c r="F825" s="33" t="s">
        <v>6160</v>
      </c>
      <c r="G825" s="35" t="s">
        <v>9745</v>
      </c>
      <c r="H825" s="34"/>
      <c r="I825" s="34"/>
    </row>
    <row r="826">
      <c r="A826" s="32" t="s">
        <v>3282</v>
      </c>
      <c r="B826" s="32" t="s">
        <v>9746</v>
      </c>
      <c r="C826" s="32" t="s">
        <v>9747</v>
      </c>
      <c r="D826" s="32" t="s">
        <v>9748</v>
      </c>
      <c r="E826" s="32" t="s">
        <v>9749</v>
      </c>
      <c r="F826" s="33" t="s">
        <v>9750</v>
      </c>
      <c r="G826" s="35" t="s">
        <v>9751</v>
      </c>
      <c r="H826" s="34"/>
      <c r="I826" s="34"/>
    </row>
    <row r="827">
      <c r="A827" s="32" t="s">
        <v>3286</v>
      </c>
      <c r="B827" s="32" t="s">
        <v>9752</v>
      </c>
      <c r="C827" s="32" t="s">
        <v>9753</v>
      </c>
      <c r="D827" s="32" t="s">
        <v>9754</v>
      </c>
      <c r="E827" s="32" t="s">
        <v>9755</v>
      </c>
      <c r="F827" s="33" t="s">
        <v>9756</v>
      </c>
      <c r="G827" s="35" t="s">
        <v>9757</v>
      </c>
      <c r="H827" s="34"/>
      <c r="I827" s="34"/>
    </row>
    <row r="828">
      <c r="A828" s="32" t="s">
        <v>3290</v>
      </c>
      <c r="B828" s="32" t="s">
        <v>9758</v>
      </c>
      <c r="C828" s="32" t="s">
        <v>9759</v>
      </c>
      <c r="D828" s="32" t="s">
        <v>9760</v>
      </c>
      <c r="E828" s="32" t="s">
        <v>9761</v>
      </c>
      <c r="F828" s="33" t="s">
        <v>9762</v>
      </c>
      <c r="G828" s="35" t="s">
        <v>9763</v>
      </c>
      <c r="H828" s="34"/>
      <c r="I828" s="34"/>
    </row>
    <row r="829">
      <c r="A829" s="32" t="s">
        <v>3294</v>
      </c>
      <c r="B829" s="32" t="s">
        <v>9764</v>
      </c>
      <c r="C829" s="32" t="s">
        <v>9765</v>
      </c>
      <c r="D829" s="32" t="s">
        <v>9766</v>
      </c>
      <c r="E829" s="32" t="s">
        <v>9767</v>
      </c>
      <c r="F829" s="33" t="s">
        <v>9768</v>
      </c>
      <c r="G829" s="35" t="s">
        <v>9769</v>
      </c>
      <c r="H829" s="34"/>
      <c r="I829" s="34"/>
    </row>
    <row r="830">
      <c r="A830" s="32" t="s">
        <v>3298</v>
      </c>
      <c r="B830" s="32" t="s">
        <v>9770</v>
      </c>
      <c r="C830" s="32" t="s">
        <v>9771</v>
      </c>
      <c r="D830" s="32" t="s">
        <v>9772</v>
      </c>
      <c r="E830" s="32" t="s">
        <v>9773</v>
      </c>
      <c r="F830" s="33" t="s">
        <v>9774</v>
      </c>
      <c r="G830" s="35" t="s">
        <v>9775</v>
      </c>
      <c r="H830" s="34"/>
      <c r="I830" s="34"/>
    </row>
    <row r="831">
      <c r="A831" s="32" t="s">
        <v>3304</v>
      </c>
      <c r="B831" s="32" t="s">
        <v>9776</v>
      </c>
      <c r="C831" s="32" t="s">
        <v>9777</v>
      </c>
      <c r="D831" s="32" t="s">
        <v>9778</v>
      </c>
      <c r="E831" s="32" t="s">
        <v>9779</v>
      </c>
      <c r="F831" s="33" t="s">
        <v>9780</v>
      </c>
      <c r="G831" s="35" t="s">
        <v>9781</v>
      </c>
      <c r="H831" s="34"/>
      <c r="I831" s="34"/>
    </row>
    <row r="832">
      <c r="A832" s="32" t="s">
        <v>3310</v>
      </c>
      <c r="B832" s="32" t="s">
        <v>9782</v>
      </c>
      <c r="C832" s="32" t="s">
        <v>9783</v>
      </c>
      <c r="D832" s="32" t="s">
        <v>9784</v>
      </c>
      <c r="E832" s="32" t="s">
        <v>9785</v>
      </c>
      <c r="F832" s="33" t="s">
        <v>9786</v>
      </c>
      <c r="G832" s="35" t="s">
        <v>9787</v>
      </c>
      <c r="H832" s="34"/>
      <c r="I832" s="34"/>
    </row>
    <row r="833">
      <c r="A833" s="32" t="s">
        <v>3314</v>
      </c>
      <c r="B833" s="32" t="s">
        <v>9788</v>
      </c>
      <c r="C833" s="32" t="s">
        <v>9789</v>
      </c>
      <c r="D833" s="32" t="s">
        <v>9790</v>
      </c>
      <c r="E833" s="32" t="s">
        <v>9791</v>
      </c>
      <c r="F833" s="33" t="s">
        <v>9792</v>
      </c>
      <c r="G833" s="35" t="s">
        <v>9793</v>
      </c>
      <c r="H833" s="34"/>
      <c r="I833" s="34"/>
    </row>
    <row r="834">
      <c r="A834" s="32" t="s">
        <v>3318</v>
      </c>
      <c r="B834" s="32" t="s">
        <v>9794</v>
      </c>
      <c r="C834" s="32" t="s">
        <v>9795</v>
      </c>
      <c r="D834" s="32" t="s">
        <v>9796</v>
      </c>
      <c r="E834" s="32" t="s">
        <v>9797</v>
      </c>
      <c r="F834" s="33" t="s">
        <v>9798</v>
      </c>
      <c r="G834" s="35" t="s">
        <v>9799</v>
      </c>
      <c r="H834" s="34"/>
      <c r="I834" s="34"/>
    </row>
    <row r="835">
      <c r="A835" s="32" t="s">
        <v>165</v>
      </c>
      <c r="B835" s="32" t="s">
        <v>6162</v>
      </c>
      <c r="C835" s="32" t="s">
        <v>6163</v>
      </c>
      <c r="D835" s="32" t="s">
        <v>6164</v>
      </c>
      <c r="E835" s="32" t="s">
        <v>6165</v>
      </c>
      <c r="F835" s="33" t="s">
        <v>9800</v>
      </c>
      <c r="G835" s="35" t="s">
        <v>9801</v>
      </c>
      <c r="H835" s="34"/>
      <c r="I835" s="34"/>
    </row>
    <row r="836">
      <c r="A836" s="32" t="s">
        <v>3323</v>
      </c>
      <c r="B836" s="32" t="s">
        <v>9802</v>
      </c>
      <c r="C836" s="32" t="s">
        <v>9803</v>
      </c>
      <c r="D836" s="32" t="s">
        <v>9804</v>
      </c>
      <c r="E836" s="32" t="s">
        <v>9805</v>
      </c>
      <c r="F836" s="33" t="s">
        <v>9806</v>
      </c>
      <c r="G836" s="35" t="s">
        <v>9807</v>
      </c>
      <c r="H836" s="34"/>
      <c r="I836" s="34"/>
    </row>
    <row r="837">
      <c r="A837" s="32" t="s">
        <v>3327</v>
      </c>
      <c r="B837" s="32" t="s">
        <v>9808</v>
      </c>
      <c r="C837" s="32" t="s">
        <v>9809</v>
      </c>
      <c r="D837" s="32" t="s">
        <v>9810</v>
      </c>
      <c r="E837" s="32" t="s">
        <v>9811</v>
      </c>
      <c r="F837" s="33" t="s">
        <v>9812</v>
      </c>
      <c r="G837" s="35" t="s">
        <v>9813</v>
      </c>
      <c r="H837" s="34"/>
      <c r="I837" s="34"/>
    </row>
    <row r="838">
      <c r="A838" s="32" t="s">
        <v>169</v>
      </c>
      <c r="B838" s="32" t="s">
        <v>6168</v>
      </c>
      <c r="C838" s="32" t="s">
        <v>6169</v>
      </c>
      <c r="D838" s="32" t="s">
        <v>6170</v>
      </c>
      <c r="E838" s="32" t="s">
        <v>6171</v>
      </c>
      <c r="F838" s="33" t="s">
        <v>6172</v>
      </c>
      <c r="G838" s="35" t="s">
        <v>6173</v>
      </c>
      <c r="H838" s="34"/>
      <c r="I838" s="34"/>
    </row>
    <row r="839">
      <c r="A839" s="32" t="s">
        <v>3332</v>
      </c>
      <c r="B839" s="32" t="s">
        <v>9814</v>
      </c>
      <c r="C839" s="32" t="s">
        <v>9815</v>
      </c>
      <c r="D839" s="32" t="s">
        <v>9816</v>
      </c>
      <c r="E839" s="32" t="s">
        <v>9817</v>
      </c>
      <c r="F839" s="33" t="s">
        <v>9818</v>
      </c>
      <c r="G839" s="35" t="s">
        <v>9819</v>
      </c>
      <c r="H839" s="34"/>
      <c r="I839" s="34"/>
    </row>
    <row r="840">
      <c r="A840" s="32" t="s">
        <v>3336</v>
      </c>
      <c r="B840" s="32" t="s">
        <v>9820</v>
      </c>
      <c r="C840" s="32" t="s">
        <v>9821</v>
      </c>
      <c r="D840" s="32" t="s">
        <v>9822</v>
      </c>
      <c r="E840" s="32" t="s">
        <v>9823</v>
      </c>
      <c r="F840" s="33" t="s">
        <v>9824</v>
      </c>
      <c r="G840" s="35" t="s">
        <v>9825</v>
      </c>
      <c r="H840" s="34"/>
      <c r="I840" s="34"/>
    </row>
    <row r="841">
      <c r="A841" s="32" t="s">
        <v>177</v>
      </c>
      <c r="B841" s="32" t="s">
        <v>6176</v>
      </c>
      <c r="C841" s="32" t="s">
        <v>6177</v>
      </c>
      <c r="D841" s="32" t="s">
        <v>6178</v>
      </c>
      <c r="E841" s="32" t="s">
        <v>6179</v>
      </c>
      <c r="F841" s="33" t="s">
        <v>6180</v>
      </c>
      <c r="G841" s="35" t="s">
        <v>9826</v>
      </c>
      <c r="H841" s="34"/>
      <c r="I841" s="34"/>
    </row>
    <row r="842">
      <c r="A842" s="32" t="s">
        <v>181</v>
      </c>
      <c r="B842" s="32" t="s">
        <v>6182</v>
      </c>
      <c r="C842" s="32" t="s">
        <v>6183</v>
      </c>
      <c r="D842" s="32" t="s">
        <v>6184</v>
      </c>
      <c r="E842" s="32" t="s">
        <v>6185</v>
      </c>
      <c r="F842" s="33" t="s">
        <v>6186</v>
      </c>
      <c r="G842" s="35" t="s">
        <v>9827</v>
      </c>
      <c r="H842" s="34"/>
      <c r="I842" s="34"/>
    </row>
    <row r="843">
      <c r="A843" s="32" t="s">
        <v>3342</v>
      </c>
      <c r="B843" s="32" t="s">
        <v>9828</v>
      </c>
      <c r="C843" s="32" t="s">
        <v>9829</v>
      </c>
      <c r="D843" s="32" t="s">
        <v>9830</v>
      </c>
      <c r="E843" s="32" t="s">
        <v>9831</v>
      </c>
      <c r="F843" s="33" t="s">
        <v>9832</v>
      </c>
      <c r="G843" s="35" t="s">
        <v>9833</v>
      </c>
      <c r="H843" s="34"/>
      <c r="I843" s="34"/>
    </row>
    <row r="844">
      <c r="A844" s="32" t="s">
        <v>3346</v>
      </c>
      <c r="B844" s="32" t="s">
        <v>9834</v>
      </c>
      <c r="C844" s="32" t="s">
        <v>9835</v>
      </c>
      <c r="D844" s="32" t="s">
        <v>9836</v>
      </c>
      <c r="E844" s="32" t="s">
        <v>9837</v>
      </c>
      <c r="F844" s="33" t="s">
        <v>9838</v>
      </c>
      <c r="G844" s="35" t="s">
        <v>9839</v>
      </c>
      <c r="H844" s="34"/>
      <c r="I844" s="34"/>
    </row>
    <row r="845">
      <c r="A845" s="32" t="s">
        <v>3350</v>
      </c>
      <c r="B845" s="32" t="s">
        <v>9840</v>
      </c>
      <c r="C845" s="32" t="s">
        <v>9841</v>
      </c>
      <c r="D845" s="32" t="s">
        <v>9842</v>
      </c>
      <c r="E845" s="32" t="s">
        <v>9843</v>
      </c>
      <c r="F845" s="33" t="s">
        <v>9844</v>
      </c>
      <c r="G845" s="35" t="s">
        <v>9845</v>
      </c>
      <c r="H845" s="34"/>
      <c r="I845" s="34"/>
    </row>
    <row r="846">
      <c r="A846" s="32" t="s">
        <v>3354</v>
      </c>
      <c r="B846" s="32" t="s">
        <v>9846</v>
      </c>
      <c r="C846" s="32" t="s">
        <v>9847</v>
      </c>
      <c r="D846" s="32" t="s">
        <v>9848</v>
      </c>
      <c r="E846" s="32" t="s">
        <v>9849</v>
      </c>
      <c r="F846" s="33" t="s">
        <v>9850</v>
      </c>
      <c r="G846" s="35" t="s">
        <v>9851</v>
      </c>
      <c r="H846" s="34"/>
      <c r="I846" s="34"/>
    </row>
    <row r="847">
      <c r="A847" s="32" t="s">
        <v>3360</v>
      </c>
      <c r="B847" s="32" t="s">
        <v>9852</v>
      </c>
      <c r="C847" s="32" t="s">
        <v>9853</v>
      </c>
      <c r="D847" s="32" t="s">
        <v>9854</v>
      </c>
      <c r="E847" s="32" t="s">
        <v>9855</v>
      </c>
      <c r="F847" s="33" t="s">
        <v>9856</v>
      </c>
      <c r="G847" s="35" t="s">
        <v>9857</v>
      </c>
      <c r="H847" s="34"/>
      <c r="I847" s="34"/>
    </row>
    <row r="848">
      <c r="A848" s="32" t="s">
        <v>3364</v>
      </c>
      <c r="B848" s="32" t="s">
        <v>9858</v>
      </c>
      <c r="C848" s="32" t="s">
        <v>9859</v>
      </c>
      <c r="D848" s="32" t="s">
        <v>9860</v>
      </c>
      <c r="E848" s="32" t="s">
        <v>9861</v>
      </c>
      <c r="F848" s="33" t="s">
        <v>9862</v>
      </c>
      <c r="G848" s="35" t="s">
        <v>9863</v>
      </c>
      <c r="H848" s="34"/>
      <c r="I848" s="34"/>
    </row>
    <row r="849">
      <c r="A849" s="32" t="s">
        <v>3368</v>
      </c>
      <c r="B849" s="32" t="s">
        <v>9864</v>
      </c>
      <c r="C849" s="32" t="s">
        <v>9865</v>
      </c>
      <c r="D849" s="32" t="s">
        <v>9866</v>
      </c>
      <c r="E849" s="32" t="s">
        <v>9867</v>
      </c>
      <c r="F849" s="33" t="s">
        <v>9868</v>
      </c>
      <c r="G849" s="35" t="s">
        <v>9869</v>
      </c>
      <c r="H849" s="34"/>
      <c r="I849" s="34"/>
    </row>
    <row r="850">
      <c r="A850" s="32" t="s">
        <v>3375</v>
      </c>
      <c r="B850" s="32" t="s">
        <v>9870</v>
      </c>
      <c r="C850" s="32" t="s">
        <v>9871</v>
      </c>
      <c r="D850" s="32" t="s">
        <v>9872</v>
      </c>
      <c r="E850" s="32" t="s">
        <v>9873</v>
      </c>
      <c r="F850" s="33" t="s">
        <v>9874</v>
      </c>
      <c r="G850" s="35" t="s">
        <v>9875</v>
      </c>
      <c r="H850" s="34"/>
      <c r="I850" s="34"/>
    </row>
    <row r="851">
      <c r="A851" s="32" t="s">
        <v>3381</v>
      </c>
      <c r="B851" s="32" t="s">
        <v>9876</v>
      </c>
      <c r="C851" s="32" t="s">
        <v>9877</v>
      </c>
      <c r="D851" s="32" t="s">
        <v>9878</v>
      </c>
      <c r="E851" s="32" t="s">
        <v>9879</v>
      </c>
      <c r="F851" s="33" t="s">
        <v>9880</v>
      </c>
      <c r="G851" s="35" t="s">
        <v>9881</v>
      </c>
      <c r="H851" s="34"/>
      <c r="I851" s="34"/>
    </row>
    <row r="852">
      <c r="A852" s="32" t="s">
        <v>3385</v>
      </c>
      <c r="B852" s="32" t="s">
        <v>9882</v>
      </c>
      <c r="C852" s="32" t="s">
        <v>9883</v>
      </c>
      <c r="D852" s="32" t="s">
        <v>9884</v>
      </c>
      <c r="E852" s="32" t="s">
        <v>9885</v>
      </c>
      <c r="F852" s="33" t="s">
        <v>9886</v>
      </c>
      <c r="G852" s="35" t="s">
        <v>9887</v>
      </c>
      <c r="H852" s="34"/>
      <c r="I852" s="34"/>
    </row>
    <row r="853">
      <c r="A853" s="32" t="s">
        <v>189</v>
      </c>
      <c r="B853" s="32" t="s">
        <v>6194</v>
      </c>
      <c r="C853" s="32" t="s">
        <v>6195</v>
      </c>
      <c r="D853" s="32" t="s">
        <v>6196</v>
      </c>
      <c r="E853" s="32" t="s">
        <v>6197</v>
      </c>
      <c r="F853" s="33" t="s">
        <v>6198</v>
      </c>
      <c r="G853" s="35" t="s">
        <v>9888</v>
      </c>
      <c r="H853" s="34"/>
      <c r="I853" s="34"/>
    </row>
    <row r="854">
      <c r="A854" s="32" t="s">
        <v>193</v>
      </c>
      <c r="B854" s="32" t="s">
        <v>6200</v>
      </c>
      <c r="C854" s="32" t="s">
        <v>6201</v>
      </c>
      <c r="D854" s="32" t="s">
        <v>6202</v>
      </c>
      <c r="E854" s="32" t="s">
        <v>6203</v>
      </c>
      <c r="F854" s="33" t="s">
        <v>6204</v>
      </c>
      <c r="G854" s="35" t="s">
        <v>6205</v>
      </c>
      <c r="H854" s="34"/>
      <c r="I854" s="34"/>
    </row>
    <row r="855">
      <c r="A855" s="32" t="s">
        <v>3392</v>
      </c>
      <c r="B855" s="32" t="s">
        <v>9889</v>
      </c>
      <c r="C855" s="32" t="s">
        <v>9890</v>
      </c>
      <c r="D855" s="32" t="s">
        <v>9891</v>
      </c>
      <c r="E855" s="32" t="s">
        <v>9892</v>
      </c>
      <c r="F855" s="33" t="s">
        <v>9893</v>
      </c>
      <c r="G855" s="35" t="s">
        <v>9894</v>
      </c>
      <c r="H855" s="34"/>
      <c r="I855" s="34"/>
    </row>
    <row r="856">
      <c r="A856" s="32" t="s">
        <v>3396</v>
      </c>
      <c r="B856" s="32" t="s">
        <v>9895</v>
      </c>
      <c r="C856" s="32" t="s">
        <v>9896</v>
      </c>
      <c r="D856" s="32" t="s">
        <v>9897</v>
      </c>
      <c r="E856" s="32" t="s">
        <v>9898</v>
      </c>
      <c r="F856" s="33" t="s">
        <v>9899</v>
      </c>
      <c r="G856" s="35" t="s">
        <v>9900</v>
      </c>
      <c r="H856" s="34"/>
      <c r="I856" s="34"/>
    </row>
    <row r="857">
      <c r="A857" s="32" t="s">
        <v>3404</v>
      </c>
      <c r="B857" s="32" t="s">
        <v>9901</v>
      </c>
      <c r="C857" s="32" t="s">
        <v>9902</v>
      </c>
      <c r="D857" s="32" t="s">
        <v>9903</v>
      </c>
      <c r="E857" s="32" t="s">
        <v>9904</v>
      </c>
      <c r="F857" s="33" t="s">
        <v>9905</v>
      </c>
      <c r="G857" s="35" t="s">
        <v>9906</v>
      </c>
      <c r="H857" s="34"/>
      <c r="I857" s="34"/>
    </row>
    <row r="858">
      <c r="A858" s="32" t="s">
        <v>3408</v>
      </c>
      <c r="B858" s="32" t="s">
        <v>9907</v>
      </c>
      <c r="C858" s="32" t="s">
        <v>9908</v>
      </c>
      <c r="D858" s="32" t="s">
        <v>9909</v>
      </c>
      <c r="E858" s="32" t="s">
        <v>9910</v>
      </c>
      <c r="F858" s="33" t="s">
        <v>9911</v>
      </c>
      <c r="G858" s="35" t="s">
        <v>9912</v>
      </c>
      <c r="H858" s="34"/>
      <c r="I858" s="34"/>
    </row>
    <row r="859">
      <c r="A859" s="32" t="s">
        <v>213</v>
      </c>
      <c r="B859" s="32" t="s">
        <v>6220</v>
      </c>
      <c r="C859" s="32" t="s">
        <v>6221</v>
      </c>
      <c r="D859" s="32" t="s">
        <v>6222</v>
      </c>
      <c r="E859" s="32" t="s">
        <v>6223</v>
      </c>
      <c r="F859" s="33" t="s">
        <v>6224</v>
      </c>
      <c r="G859" s="35" t="s">
        <v>6225</v>
      </c>
      <c r="H859" s="34"/>
      <c r="I859" s="34"/>
    </row>
    <row r="860">
      <c r="A860" s="32" t="s">
        <v>3413</v>
      </c>
      <c r="B860" s="32" t="s">
        <v>9913</v>
      </c>
      <c r="C860" s="32" t="s">
        <v>9914</v>
      </c>
      <c r="D860" s="32" t="s">
        <v>9915</v>
      </c>
      <c r="E860" s="32" t="s">
        <v>9916</v>
      </c>
      <c r="F860" s="33" t="s">
        <v>9917</v>
      </c>
      <c r="G860" s="35" t="s">
        <v>9918</v>
      </c>
      <c r="H860" s="34"/>
      <c r="I860" s="34"/>
    </row>
    <row r="861">
      <c r="A861" s="32" t="s">
        <v>3417</v>
      </c>
      <c r="B861" s="32" t="s">
        <v>9919</v>
      </c>
      <c r="C861" s="32" t="s">
        <v>9920</v>
      </c>
      <c r="D861" s="32" t="s">
        <v>9921</v>
      </c>
      <c r="E861" s="32" t="s">
        <v>9922</v>
      </c>
      <c r="F861" s="33" t="s">
        <v>9923</v>
      </c>
      <c r="G861" s="35" t="s">
        <v>9924</v>
      </c>
      <c r="H861" s="34"/>
      <c r="I861" s="34"/>
    </row>
    <row r="862">
      <c r="A862" s="32" t="s">
        <v>3421</v>
      </c>
      <c r="B862" s="32" t="s">
        <v>9925</v>
      </c>
      <c r="C862" s="32" t="s">
        <v>9926</v>
      </c>
      <c r="D862" s="32" t="s">
        <v>9927</v>
      </c>
      <c r="E862" s="32" t="s">
        <v>9928</v>
      </c>
      <c r="F862" s="33" t="s">
        <v>9929</v>
      </c>
      <c r="G862" s="35" t="s">
        <v>9930</v>
      </c>
      <c r="H862" s="34"/>
      <c r="I862" s="34"/>
    </row>
    <row r="863">
      <c r="A863" s="32" t="s">
        <v>3425</v>
      </c>
      <c r="B863" s="32" t="s">
        <v>9931</v>
      </c>
      <c r="C863" s="32" t="s">
        <v>9932</v>
      </c>
      <c r="D863" s="32" t="s">
        <v>9933</v>
      </c>
      <c r="E863" s="32" t="s">
        <v>9934</v>
      </c>
      <c r="F863" s="33" t="s">
        <v>9935</v>
      </c>
      <c r="G863" s="35" t="s">
        <v>9936</v>
      </c>
      <c r="H863" s="34"/>
      <c r="I863" s="34"/>
    </row>
    <row r="864">
      <c r="A864" s="32" t="s">
        <v>3429</v>
      </c>
      <c r="B864" s="32" t="s">
        <v>9937</v>
      </c>
      <c r="C864" s="32" t="s">
        <v>9938</v>
      </c>
      <c r="D864" s="32" t="s">
        <v>9939</v>
      </c>
      <c r="E864" s="32" t="s">
        <v>9940</v>
      </c>
      <c r="F864" s="33" t="s">
        <v>9941</v>
      </c>
      <c r="G864" s="35" t="s">
        <v>9942</v>
      </c>
      <c r="H864" s="34"/>
      <c r="I864" s="34"/>
    </row>
    <row r="865">
      <c r="A865" s="32" t="s">
        <v>3433</v>
      </c>
      <c r="B865" s="32" t="s">
        <v>9943</v>
      </c>
      <c r="C865" s="32" t="s">
        <v>9944</v>
      </c>
      <c r="D865" s="32" t="s">
        <v>9945</v>
      </c>
      <c r="E865" s="32" t="s">
        <v>9946</v>
      </c>
      <c r="F865" s="33" t="s">
        <v>9947</v>
      </c>
      <c r="G865" s="35" t="s">
        <v>9948</v>
      </c>
      <c r="H865" s="34"/>
      <c r="I865" s="34"/>
    </row>
    <row r="866">
      <c r="A866" s="32" t="s">
        <v>3439</v>
      </c>
      <c r="B866" s="32" t="s">
        <v>9949</v>
      </c>
      <c r="C866" s="32" t="s">
        <v>9950</v>
      </c>
      <c r="D866" s="32" t="s">
        <v>9951</v>
      </c>
      <c r="E866" s="32" t="s">
        <v>9952</v>
      </c>
      <c r="F866" s="33" t="s">
        <v>9953</v>
      </c>
      <c r="G866" s="35" t="s">
        <v>9954</v>
      </c>
      <c r="H866" s="34"/>
      <c r="I866" s="34"/>
    </row>
    <row r="867">
      <c r="A867" s="32" t="s">
        <v>3443</v>
      </c>
      <c r="B867" s="32" t="s">
        <v>9955</v>
      </c>
      <c r="C867" s="32" t="s">
        <v>9956</v>
      </c>
      <c r="D867" s="32" t="s">
        <v>9957</v>
      </c>
      <c r="E867" s="32" t="s">
        <v>9958</v>
      </c>
      <c r="F867" s="33" t="s">
        <v>9959</v>
      </c>
      <c r="G867" s="35" t="s">
        <v>9960</v>
      </c>
      <c r="H867" s="34"/>
      <c r="I867" s="34"/>
    </row>
    <row r="868">
      <c r="A868" s="32" t="s">
        <v>3447</v>
      </c>
      <c r="B868" s="32" t="s">
        <v>9961</v>
      </c>
      <c r="C868" s="32" t="s">
        <v>9962</v>
      </c>
      <c r="D868" s="32" t="s">
        <v>9963</v>
      </c>
      <c r="E868" s="32" t="s">
        <v>9964</v>
      </c>
      <c r="F868" s="33" t="s">
        <v>9965</v>
      </c>
      <c r="G868" s="35" t="s">
        <v>9966</v>
      </c>
      <c r="H868" s="34"/>
      <c r="I868" s="34"/>
    </row>
    <row r="869">
      <c r="A869" s="32" t="s">
        <v>3451</v>
      </c>
      <c r="B869" s="32" t="s">
        <v>9967</v>
      </c>
      <c r="C869" s="32" t="s">
        <v>9968</v>
      </c>
      <c r="D869" s="32" t="s">
        <v>9969</v>
      </c>
      <c r="E869" s="32" t="s">
        <v>9970</v>
      </c>
      <c r="F869" s="33" t="s">
        <v>9971</v>
      </c>
      <c r="G869" s="35" t="s">
        <v>9972</v>
      </c>
      <c r="H869" s="34"/>
      <c r="I869" s="34"/>
    </row>
    <row r="870">
      <c r="A870" s="32" t="s">
        <v>3454</v>
      </c>
      <c r="B870" s="32" t="s">
        <v>9973</v>
      </c>
      <c r="C870" s="32" t="s">
        <v>9974</v>
      </c>
      <c r="D870" s="32" t="s">
        <v>9975</v>
      </c>
      <c r="E870" s="32" t="s">
        <v>9976</v>
      </c>
      <c r="F870" s="33" t="s">
        <v>9977</v>
      </c>
      <c r="G870" s="35" t="s">
        <v>9978</v>
      </c>
      <c r="H870" s="34"/>
      <c r="I870" s="34"/>
    </row>
    <row r="871">
      <c r="A871" s="32" t="s">
        <v>205</v>
      </c>
      <c r="B871" s="32" t="s">
        <v>6213</v>
      </c>
      <c r="C871" s="32" t="s">
        <v>6214</v>
      </c>
      <c r="D871" s="32" t="s">
        <v>6215</v>
      </c>
      <c r="E871" s="32" t="s">
        <v>6216</v>
      </c>
      <c r="F871" s="33" t="s">
        <v>6217</v>
      </c>
      <c r="G871" s="35" t="s">
        <v>9979</v>
      </c>
      <c r="H871" s="34"/>
      <c r="I871" s="34"/>
    </row>
    <row r="872">
      <c r="A872" s="32" t="s">
        <v>3459</v>
      </c>
      <c r="B872" s="32" t="s">
        <v>9980</v>
      </c>
      <c r="C872" s="32" t="s">
        <v>9981</v>
      </c>
      <c r="D872" s="32" t="s">
        <v>9982</v>
      </c>
      <c r="E872" s="32" t="s">
        <v>9983</v>
      </c>
      <c r="F872" s="33" t="s">
        <v>9984</v>
      </c>
      <c r="G872" s="35" t="s">
        <v>9985</v>
      </c>
      <c r="H872" s="34"/>
      <c r="I872" s="34"/>
    </row>
    <row r="873">
      <c r="A873" s="32" t="s">
        <v>3463</v>
      </c>
      <c r="B873" s="32" t="s">
        <v>9986</v>
      </c>
      <c r="C873" s="32" t="s">
        <v>9987</v>
      </c>
      <c r="D873" s="32" t="s">
        <v>9988</v>
      </c>
      <c r="E873" s="32" t="s">
        <v>9989</v>
      </c>
      <c r="F873" s="33" t="s">
        <v>9990</v>
      </c>
      <c r="G873" s="35" t="s">
        <v>9991</v>
      </c>
      <c r="H873" s="34"/>
      <c r="I873" s="34"/>
    </row>
    <row r="874">
      <c r="A874" s="32" t="s">
        <v>3467</v>
      </c>
      <c r="B874" s="32" t="s">
        <v>9992</v>
      </c>
      <c r="C874" s="32" t="s">
        <v>9993</v>
      </c>
      <c r="D874" s="32" t="s">
        <v>9994</v>
      </c>
      <c r="E874" s="32" t="s">
        <v>9995</v>
      </c>
      <c r="F874" s="33" t="s">
        <v>9996</v>
      </c>
      <c r="G874" s="35" t="s">
        <v>9997</v>
      </c>
      <c r="H874" s="34"/>
      <c r="I874" s="34"/>
    </row>
    <row r="875">
      <c r="A875" s="32" t="s">
        <v>3471</v>
      </c>
      <c r="B875" s="32" t="s">
        <v>9998</v>
      </c>
      <c r="C875" s="32" t="s">
        <v>9999</v>
      </c>
      <c r="D875" s="32" t="s">
        <v>10000</v>
      </c>
      <c r="E875" s="32" t="s">
        <v>10001</v>
      </c>
      <c r="F875" s="33" t="s">
        <v>10002</v>
      </c>
      <c r="G875" s="35" t="s">
        <v>10003</v>
      </c>
      <c r="H875" s="34"/>
      <c r="I875" s="34"/>
    </row>
    <row r="876">
      <c r="A876" s="32" t="s">
        <v>3477</v>
      </c>
      <c r="B876" s="32" t="s">
        <v>10004</v>
      </c>
      <c r="C876" s="32" t="s">
        <v>10005</v>
      </c>
      <c r="D876" s="32" t="s">
        <v>10006</v>
      </c>
      <c r="E876" s="32" t="s">
        <v>10007</v>
      </c>
      <c r="F876" s="33" t="s">
        <v>10008</v>
      </c>
      <c r="G876" s="35" t="s">
        <v>10009</v>
      </c>
      <c r="H876" s="34"/>
      <c r="I876" s="34"/>
    </row>
    <row r="877">
      <c r="A877" s="32" t="s">
        <v>3481</v>
      </c>
      <c r="B877" s="32" t="s">
        <v>10010</v>
      </c>
      <c r="C877" s="32" t="s">
        <v>10011</v>
      </c>
      <c r="D877" s="32" t="s">
        <v>10012</v>
      </c>
      <c r="E877" s="32" t="s">
        <v>10013</v>
      </c>
      <c r="F877" s="33" t="s">
        <v>10014</v>
      </c>
      <c r="G877" s="35" t="s">
        <v>10015</v>
      </c>
      <c r="H877" s="34"/>
      <c r="I877" s="34"/>
    </row>
    <row r="878">
      <c r="A878" s="32" t="s">
        <v>3485</v>
      </c>
      <c r="B878" s="32" t="s">
        <v>10016</v>
      </c>
      <c r="C878" s="32" t="s">
        <v>10017</v>
      </c>
      <c r="D878" s="32" t="s">
        <v>10018</v>
      </c>
      <c r="E878" s="32" t="s">
        <v>10019</v>
      </c>
      <c r="F878" s="33" t="s">
        <v>10020</v>
      </c>
      <c r="G878" s="35" t="s">
        <v>10021</v>
      </c>
      <c r="H878" s="34"/>
      <c r="I878" s="34"/>
    </row>
    <row r="879">
      <c r="A879" s="32" t="s">
        <v>3489</v>
      </c>
      <c r="B879" s="32" t="s">
        <v>10022</v>
      </c>
      <c r="C879" s="32" t="s">
        <v>10023</v>
      </c>
      <c r="D879" s="32" t="s">
        <v>10024</v>
      </c>
      <c r="E879" s="32" t="s">
        <v>10025</v>
      </c>
      <c r="F879" s="33" t="s">
        <v>10026</v>
      </c>
      <c r="G879" s="35" t="s">
        <v>10027</v>
      </c>
      <c r="H879" s="34"/>
      <c r="I879" s="34"/>
    </row>
    <row r="880">
      <c r="A880" s="32" t="s">
        <v>3493</v>
      </c>
      <c r="B880" s="32" t="s">
        <v>10028</v>
      </c>
      <c r="C880" s="32" t="s">
        <v>10029</v>
      </c>
      <c r="D880" s="32" t="s">
        <v>10030</v>
      </c>
      <c r="E880" s="32" t="s">
        <v>10031</v>
      </c>
      <c r="F880" s="33" t="s">
        <v>10032</v>
      </c>
      <c r="G880" s="35" t="s">
        <v>10033</v>
      </c>
      <c r="H880" s="34"/>
      <c r="I880" s="34"/>
    </row>
    <row r="881">
      <c r="A881" s="32" t="s">
        <v>3497</v>
      </c>
      <c r="B881" s="32" t="s">
        <v>10034</v>
      </c>
      <c r="C881" s="32" t="s">
        <v>10035</v>
      </c>
      <c r="D881" s="32" t="s">
        <v>10036</v>
      </c>
      <c r="E881" s="32" t="s">
        <v>10037</v>
      </c>
      <c r="F881" s="33" t="s">
        <v>10038</v>
      </c>
      <c r="G881" s="35" t="s">
        <v>10039</v>
      </c>
      <c r="H881" s="34"/>
      <c r="I881" s="34"/>
    </row>
    <row r="882">
      <c r="A882" s="32" t="s">
        <v>3501</v>
      </c>
      <c r="B882" s="32" t="s">
        <v>10040</v>
      </c>
      <c r="C882" s="32" t="s">
        <v>10041</v>
      </c>
      <c r="D882" s="32" t="s">
        <v>10042</v>
      </c>
      <c r="E882" s="32" t="s">
        <v>10043</v>
      </c>
      <c r="F882" s="33" t="s">
        <v>10044</v>
      </c>
      <c r="G882" s="35" t="s">
        <v>10045</v>
      </c>
      <c r="H882" s="34"/>
      <c r="I882" s="34"/>
    </row>
    <row r="883">
      <c r="A883" s="32" t="s">
        <v>217</v>
      </c>
      <c r="B883" s="32" t="s">
        <v>6226</v>
      </c>
      <c r="C883" s="32" t="s">
        <v>6227</v>
      </c>
      <c r="D883" s="32" t="s">
        <v>6228</v>
      </c>
      <c r="E883" s="32" t="s">
        <v>6229</v>
      </c>
      <c r="F883" s="33" t="s">
        <v>6230</v>
      </c>
      <c r="G883" s="35" t="s">
        <v>10046</v>
      </c>
      <c r="H883" s="34"/>
      <c r="I883" s="34"/>
    </row>
    <row r="884">
      <c r="A884" s="32" t="s">
        <v>3506</v>
      </c>
      <c r="B884" s="32" t="s">
        <v>10047</v>
      </c>
      <c r="C884" s="32" t="s">
        <v>10048</v>
      </c>
      <c r="D884" s="32" t="s">
        <v>10049</v>
      </c>
      <c r="E884" s="32" t="s">
        <v>10050</v>
      </c>
      <c r="F884" s="33" t="s">
        <v>10051</v>
      </c>
      <c r="G884" s="35" t="s">
        <v>10052</v>
      </c>
      <c r="H884" s="34"/>
      <c r="I884" s="34"/>
    </row>
    <row r="885">
      <c r="A885" s="32" t="s">
        <v>3510</v>
      </c>
      <c r="B885" s="32" t="s">
        <v>10053</v>
      </c>
      <c r="C885" s="32" t="s">
        <v>10054</v>
      </c>
      <c r="D885" s="32" t="s">
        <v>10055</v>
      </c>
      <c r="E885" s="32" t="s">
        <v>10056</v>
      </c>
      <c r="F885" s="33" t="s">
        <v>10057</v>
      </c>
      <c r="G885" s="35" t="s">
        <v>10058</v>
      </c>
      <c r="H885" s="34"/>
      <c r="I885" s="34"/>
    </row>
    <row r="886">
      <c r="A886" s="32" t="s">
        <v>3514</v>
      </c>
      <c r="B886" s="32" t="s">
        <v>10059</v>
      </c>
      <c r="C886" s="32" t="s">
        <v>10060</v>
      </c>
      <c r="D886" s="32" t="s">
        <v>10061</v>
      </c>
      <c r="E886" s="32" t="s">
        <v>10062</v>
      </c>
      <c r="F886" s="33" t="s">
        <v>10063</v>
      </c>
      <c r="G886" s="35" t="s">
        <v>10064</v>
      </c>
      <c r="H886" s="34"/>
      <c r="I886" s="34"/>
    </row>
    <row r="887">
      <c r="A887" s="32" t="s">
        <v>231</v>
      </c>
      <c r="B887" s="32" t="s">
        <v>6239</v>
      </c>
      <c r="C887" s="32" t="s">
        <v>6240</v>
      </c>
      <c r="D887" s="32" t="s">
        <v>6241</v>
      </c>
      <c r="E887" s="32" t="s">
        <v>6242</v>
      </c>
      <c r="F887" s="33" t="s">
        <v>6243</v>
      </c>
      <c r="G887" s="35" t="s">
        <v>6244</v>
      </c>
      <c r="H887" s="34"/>
      <c r="I887" s="34"/>
    </row>
    <row r="888">
      <c r="A888" s="32" t="s">
        <v>3519</v>
      </c>
      <c r="B888" s="32" t="s">
        <v>10065</v>
      </c>
      <c r="C888" s="32" t="s">
        <v>10066</v>
      </c>
      <c r="D888" s="32" t="s">
        <v>10067</v>
      </c>
      <c r="E888" s="32" t="s">
        <v>10068</v>
      </c>
      <c r="F888" s="33" t="s">
        <v>10069</v>
      </c>
      <c r="G888" s="35" t="s">
        <v>10070</v>
      </c>
      <c r="H888" s="34"/>
      <c r="I888" s="34"/>
    </row>
    <row r="889">
      <c r="A889" s="32" t="s">
        <v>3523</v>
      </c>
      <c r="B889" s="32" t="s">
        <v>10071</v>
      </c>
      <c r="C889" s="32" t="s">
        <v>10072</v>
      </c>
      <c r="D889" s="32" t="s">
        <v>10073</v>
      </c>
      <c r="E889" s="32" t="s">
        <v>10074</v>
      </c>
      <c r="F889" s="33" t="s">
        <v>10075</v>
      </c>
      <c r="G889" s="35" t="s">
        <v>10076</v>
      </c>
      <c r="H889" s="34"/>
      <c r="I889" s="34"/>
    </row>
    <row r="890">
      <c r="A890" s="32" t="s">
        <v>2154</v>
      </c>
      <c r="B890" s="32" t="s">
        <v>8360</v>
      </c>
      <c r="C890" s="32" t="s">
        <v>8361</v>
      </c>
      <c r="D890" s="32" t="s">
        <v>8362</v>
      </c>
      <c r="E890" s="32" t="s">
        <v>8363</v>
      </c>
      <c r="F890" s="33" t="s">
        <v>8364</v>
      </c>
      <c r="G890" s="35" t="s">
        <v>10077</v>
      </c>
      <c r="H890" s="34"/>
      <c r="I890" s="34"/>
    </row>
    <row r="891">
      <c r="A891" s="32" t="s">
        <v>3528</v>
      </c>
      <c r="B891" s="32" t="s">
        <v>10078</v>
      </c>
      <c r="C891" s="32" t="s">
        <v>10079</v>
      </c>
      <c r="D891" s="32" t="s">
        <v>10080</v>
      </c>
      <c r="E891" s="32" t="s">
        <v>10081</v>
      </c>
      <c r="F891" s="33" t="s">
        <v>10082</v>
      </c>
      <c r="G891" s="35" t="s">
        <v>10083</v>
      </c>
      <c r="H891" s="34"/>
      <c r="I891" s="34"/>
    </row>
    <row r="892">
      <c r="A892" s="32" t="s">
        <v>3532</v>
      </c>
      <c r="B892" s="32" t="s">
        <v>10084</v>
      </c>
      <c r="C892" s="32" t="s">
        <v>10085</v>
      </c>
      <c r="D892" s="32" t="s">
        <v>10086</v>
      </c>
      <c r="E892" s="32" t="s">
        <v>10087</v>
      </c>
      <c r="F892" s="33" t="s">
        <v>10088</v>
      </c>
      <c r="G892" s="35" t="s">
        <v>10089</v>
      </c>
      <c r="H892" s="34"/>
      <c r="I892" s="34"/>
    </row>
    <row r="893">
      <c r="A893" s="32" t="s">
        <v>3536</v>
      </c>
      <c r="B893" s="32" t="s">
        <v>10090</v>
      </c>
      <c r="C893" s="32" t="s">
        <v>10091</v>
      </c>
      <c r="D893" s="32" t="s">
        <v>10092</v>
      </c>
      <c r="E893" s="32" t="s">
        <v>10093</v>
      </c>
      <c r="F893" s="33" t="s">
        <v>10094</v>
      </c>
      <c r="G893" s="35" t="s">
        <v>10095</v>
      </c>
      <c r="H893" s="34"/>
      <c r="I893" s="34"/>
    </row>
    <row r="894">
      <c r="A894" s="32" t="s">
        <v>3540</v>
      </c>
      <c r="B894" s="32" t="s">
        <v>10096</v>
      </c>
      <c r="C894" s="32" t="s">
        <v>10097</v>
      </c>
      <c r="D894" s="32" t="s">
        <v>10098</v>
      </c>
      <c r="E894" s="32" t="s">
        <v>10099</v>
      </c>
      <c r="F894" s="33" t="s">
        <v>10100</v>
      </c>
      <c r="G894" s="35" t="s">
        <v>10101</v>
      </c>
      <c r="H894" s="34"/>
      <c r="I894" s="34"/>
    </row>
    <row r="895">
      <c r="A895" s="32" t="s">
        <v>3544</v>
      </c>
      <c r="B895" s="32" t="s">
        <v>10102</v>
      </c>
      <c r="C895" s="32" t="s">
        <v>10103</v>
      </c>
      <c r="D895" s="32" t="s">
        <v>10104</v>
      </c>
      <c r="E895" s="32" t="s">
        <v>10105</v>
      </c>
      <c r="F895" s="33" t="s">
        <v>10106</v>
      </c>
      <c r="G895" s="35" t="s">
        <v>10107</v>
      </c>
      <c r="H895" s="34"/>
      <c r="I895" s="34"/>
    </row>
    <row r="896">
      <c r="A896" s="32" t="s">
        <v>235</v>
      </c>
      <c r="B896" s="32" t="s">
        <v>6245</v>
      </c>
      <c r="C896" s="32" t="s">
        <v>6246</v>
      </c>
      <c r="D896" s="32" t="s">
        <v>6247</v>
      </c>
      <c r="E896" s="32" t="s">
        <v>6248</v>
      </c>
      <c r="F896" s="33" t="s">
        <v>6249</v>
      </c>
      <c r="G896" s="35" t="s">
        <v>6250</v>
      </c>
      <c r="H896" s="34"/>
      <c r="I896" s="34"/>
    </row>
    <row r="897">
      <c r="A897" s="32" t="s">
        <v>3549</v>
      </c>
      <c r="B897" s="32" t="s">
        <v>10108</v>
      </c>
      <c r="C897" s="32" t="s">
        <v>10109</v>
      </c>
      <c r="D897" s="32" t="s">
        <v>10110</v>
      </c>
      <c r="E897" s="32" t="s">
        <v>10111</v>
      </c>
      <c r="F897" s="33" t="s">
        <v>10112</v>
      </c>
      <c r="G897" s="35" t="s">
        <v>10113</v>
      </c>
      <c r="H897" s="34"/>
      <c r="I897" s="34"/>
    </row>
    <row r="898">
      <c r="A898" s="32" t="s">
        <v>3555</v>
      </c>
      <c r="B898" s="32" t="s">
        <v>10114</v>
      </c>
      <c r="C898" s="32" t="s">
        <v>10115</v>
      </c>
      <c r="D898" s="32" t="s">
        <v>10116</v>
      </c>
      <c r="E898" s="32" t="s">
        <v>10117</v>
      </c>
      <c r="F898" s="33" t="s">
        <v>10118</v>
      </c>
      <c r="G898" s="35" t="s">
        <v>10119</v>
      </c>
      <c r="H898" s="34"/>
      <c r="I898" s="34"/>
    </row>
    <row r="899">
      <c r="A899" s="32" t="s">
        <v>3559</v>
      </c>
      <c r="B899" s="32" t="s">
        <v>10120</v>
      </c>
      <c r="C899" s="32" t="s">
        <v>10121</v>
      </c>
      <c r="D899" s="32" t="s">
        <v>10122</v>
      </c>
      <c r="E899" s="32" t="s">
        <v>10123</v>
      </c>
      <c r="F899" s="33" t="s">
        <v>10124</v>
      </c>
      <c r="G899" s="35" t="s">
        <v>10125</v>
      </c>
      <c r="H899" s="34"/>
      <c r="I899" s="34"/>
    </row>
    <row r="900">
      <c r="A900" s="32" t="s">
        <v>243</v>
      </c>
      <c r="B900" s="32" t="s">
        <v>6252</v>
      </c>
      <c r="C900" s="32" t="s">
        <v>6253</v>
      </c>
      <c r="D900" s="32" t="s">
        <v>6254</v>
      </c>
      <c r="E900" s="32" t="s">
        <v>6255</v>
      </c>
      <c r="F900" s="33" t="s">
        <v>6256</v>
      </c>
      <c r="G900" s="35" t="s">
        <v>10126</v>
      </c>
      <c r="H900" s="34"/>
      <c r="I900" s="34"/>
    </row>
    <row r="901">
      <c r="A901" s="32" t="s">
        <v>3564</v>
      </c>
      <c r="B901" s="32" t="s">
        <v>10127</v>
      </c>
      <c r="C901" s="32" t="s">
        <v>10128</v>
      </c>
      <c r="D901" s="32" t="s">
        <v>10129</v>
      </c>
      <c r="E901" s="32" t="s">
        <v>10130</v>
      </c>
      <c r="F901" s="33" t="s">
        <v>10131</v>
      </c>
      <c r="G901" s="35" t="s">
        <v>10132</v>
      </c>
      <c r="H901" s="34"/>
      <c r="I901" s="34"/>
    </row>
    <row r="902">
      <c r="A902" s="32" t="s">
        <v>3568</v>
      </c>
      <c r="B902" s="32" t="s">
        <v>10133</v>
      </c>
      <c r="C902" s="32" t="s">
        <v>10134</v>
      </c>
      <c r="D902" s="32" t="s">
        <v>10135</v>
      </c>
      <c r="E902" s="32" t="s">
        <v>10136</v>
      </c>
      <c r="F902" s="33" t="s">
        <v>10137</v>
      </c>
      <c r="G902" s="35" t="s">
        <v>10138</v>
      </c>
      <c r="H902" s="34"/>
      <c r="I902" s="34"/>
    </row>
    <row r="903">
      <c r="A903" s="32" t="s">
        <v>3574</v>
      </c>
      <c r="B903" s="32" t="s">
        <v>8427</v>
      </c>
      <c r="C903" s="32" t="s">
        <v>8428</v>
      </c>
      <c r="D903" s="32" t="s">
        <v>8429</v>
      </c>
      <c r="E903" s="32" t="s">
        <v>8430</v>
      </c>
      <c r="F903" s="33" t="s">
        <v>8431</v>
      </c>
      <c r="G903" s="35" t="s">
        <v>10139</v>
      </c>
      <c r="H903" s="34"/>
      <c r="I903" s="34"/>
    </row>
    <row r="904">
      <c r="A904" s="32" t="s">
        <v>3578</v>
      </c>
      <c r="B904" s="32" t="s">
        <v>10140</v>
      </c>
      <c r="C904" s="32" t="s">
        <v>10141</v>
      </c>
      <c r="D904" s="32" t="s">
        <v>10142</v>
      </c>
      <c r="E904" s="32" t="s">
        <v>10143</v>
      </c>
      <c r="F904" s="33" t="s">
        <v>10144</v>
      </c>
      <c r="G904" s="35" t="s">
        <v>10145</v>
      </c>
      <c r="H904" s="34"/>
      <c r="I904" s="34"/>
    </row>
    <row r="905">
      <c r="A905" s="32" t="s">
        <v>3582</v>
      </c>
      <c r="B905" s="32" t="s">
        <v>10146</v>
      </c>
      <c r="C905" s="32" t="s">
        <v>10147</v>
      </c>
      <c r="D905" s="32" t="s">
        <v>10148</v>
      </c>
      <c r="E905" s="32" t="s">
        <v>10149</v>
      </c>
      <c r="F905" s="33" t="s">
        <v>10150</v>
      </c>
      <c r="G905" s="35" t="s">
        <v>10151</v>
      </c>
      <c r="H905" s="34"/>
      <c r="I905" s="34"/>
    </row>
    <row r="906">
      <c r="A906" s="32" t="s">
        <v>3586</v>
      </c>
      <c r="B906" s="32" t="s">
        <v>10152</v>
      </c>
      <c r="C906" s="32" t="s">
        <v>10153</v>
      </c>
      <c r="D906" s="32" t="s">
        <v>10154</v>
      </c>
      <c r="E906" s="32" t="s">
        <v>10155</v>
      </c>
      <c r="F906" s="33" t="s">
        <v>10156</v>
      </c>
      <c r="G906" s="35" t="s">
        <v>10157</v>
      </c>
      <c r="H906" s="34"/>
      <c r="I906" s="34"/>
    </row>
    <row r="907">
      <c r="A907" s="32" t="s">
        <v>3590</v>
      </c>
      <c r="B907" s="32" t="s">
        <v>10158</v>
      </c>
      <c r="C907" s="32" t="s">
        <v>10159</v>
      </c>
      <c r="D907" s="32" t="s">
        <v>10160</v>
      </c>
      <c r="E907" s="32" t="s">
        <v>10161</v>
      </c>
      <c r="F907" s="33" t="s">
        <v>10162</v>
      </c>
      <c r="G907" s="35" t="s">
        <v>10163</v>
      </c>
      <c r="H907" s="34"/>
      <c r="I907" s="34"/>
    </row>
    <row r="908">
      <c r="A908" s="32" t="s">
        <v>3594</v>
      </c>
      <c r="B908" s="32" t="s">
        <v>10164</v>
      </c>
      <c r="C908" s="32" t="s">
        <v>10165</v>
      </c>
      <c r="D908" s="32" t="s">
        <v>10166</v>
      </c>
      <c r="E908" s="32" t="s">
        <v>10167</v>
      </c>
      <c r="F908" s="33" t="s">
        <v>10168</v>
      </c>
      <c r="G908" s="35" t="s">
        <v>10169</v>
      </c>
      <c r="H908" s="34"/>
      <c r="I908" s="34"/>
    </row>
    <row r="909">
      <c r="A909" s="32" t="s">
        <v>3600</v>
      </c>
      <c r="B909" s="32" t="s">
        <v>10170</v>
      </c>
      <c r="C909" s="32" t="s">
        <v>10171</v>
      </c>
      <c r="D909" s="32" t="s">
        <v>10172</v>
      </c>
      <c r="E909" s="32" t="s">
        <v>10173</v>
      </c>
      <c r="F909" s="33" t="s">
        <v>10174</v>
      </c>
      <c r="G909" s="35" t="s">
        <v>10175</v>
      </c>
      <c r="H909" s="34"/>
      <c r="I909" s="34"/>
    </row>
    <row r="910">
      <c r="A910" s="32" t="s">
        <v>253</v>
      </c>
      <c r="B910" s="32" t="s">
        <v>6264</v>
      </c>
      <c r="C910" s="32" t="s">
        <v>6265</v>
      </c>
      <c r="D910" s="32" t="s">
        <v>6266</v>
      </c>
      <c r="E910" s="32" t="s">
        <v>6267</v>
      </c>
      <c r="F910" s="33" t="s">
        <v>6268</v>
      </c>
      <c r="G910" s="35" t="s">
        <v>10176</v>
      </c>
      <c r="H910" s="34"/>
      <c r="I910" s="34"/>
    </row>
    <row r="911">
      <c r="A911" s="32" t="s">
        <v>3607</v>
      </c>
      <c r="B911" s="32" t="s">
        <v>10177</v>
      </c>
      <c r="C911" s="32" t="s">
        <v>10178</v>
      </c>
      <c r="D911" s="32" t="s">
        <v>10179</v>
      </c>
      <c r="E911" s="32" t="s">
        <v>10180</v>
      </c>
      <c r="F911" s="33" t="s">
        <v>10181</v>
      </c>
      <c r="G911" s="35" t="s">
        <v>10182</v>
      </c>
      <c r="H911" s="34"/>
      <c r="I911" s="34"/>
    </row>
    <row r="912">
      <c r="A912" s="32" t="s">
        <v>3611</v>
      </c>
      <c r="B912" s="32" t="s">
        <v>8342</v>
      </c>
      <c r="C912" s="32" t="s">
        <v>8343</v>
      </c>
      <c r="D912" s="32" t="s">
        <v>8344</v>
      </c>
      <c r="E912" s="32" t="s">
        <v>8345</v>
      </c>
      <c r="F912" s="33" t="s">
        <v>8346</v>
      </c>
      <c r="G912" s="35" t="s">
        <v>10183</v>
      </c>
      <c r="H912" s="34"/>
      <c r="I912" s="34"/>
    </row>
    <row r="913">
      <c r="A913" s="32" t="s">
        <v>3615</v>
      </c>
      <c r="B913" s="32" t="s">
        <v>10184</v>
      </c>
      <c r="C913" s="32" t="s">
        <v>10185</v>
      </c>
      <c r="D913" s="32" t="s">
        <v>10186</v>
      </c>
      <c r="E913" s="32" t="s">
        <v>10187</v>
      </c>
      <c r="F913" s="33" t="s">
        <v>10188</v>
      </c>
      <c r="G913" s="35" t="s">
        <v>10189</v>
      </c>
      <c r="H913" s="34"/>
      <c r="I913" s="34"/>
    </row>
    <row r="914">
      <c r="A914" s="32" t="s">
        <v>3621</v>
      </c>
      <c r="B914" s="32" t="s">
        <v>10190</v>
      </c>
      <c r="C914" s="32" t="s">
        <v>10191</v>
      </c>
      <c r="D914" s="32" t="s">
        <v>10192</v>
      </c>
      <c r="E914" s="32" t="s">
        <v>10193</v>
      </c>
      <c r="F914" s="33" t="s">
        <v>10194</v>
      </c>
      <c r="G914" s="35" t="s">
        <v>10195</v>
      </c>
      <c r="H914" s="34"/>
      <c r="I914" s="34"/>
    </row>
    <row r="915">
      <c r="A915" s="32" t="s">
        <v>3625</v>
      </c>
      <c r="B915" s="32" t="s">
        <v>10196</v>
      </c>
      <c r="C915" s="32" t="s">
        <v>10197</v>
      </c>
      <c r="D915" s="32" t="s">
        <v>10198</v>
      </c>
      <c r="E915" s="32" t="s">
        <v>10199</v>
      </c>
      <c r="F915" s="33" t="s">
        <v>10200</v>
      </c>
      <c r="G915" s="35" t="s">
        <v>10201</v>
      </c>
      <c r="H915" s="34"/>
      <c r="I915" s="34"/>
    </row>
    <row r="916">
      <c r="A916" s="32" t="s">
        <v>3629</v>
      </c>
      <c r="B916" s="32" t="s">
        <v>10202</v>
      </c>
      <c r="C916" s="32" t="s">
        <v>10203</v>
      </c>
      <c r="D916" s="32" t="s">
        <v>10204</v>
      </c>
      <c r="E916" s="32" t="s">
        <v>10205</v>
      </c>
      <c r="F916" s="33" t="s">
        <v>10206</v>
      </c>
      <c r="G916" s="35" t="s">
        <v>10207</v>
      </c>
      <c r="H916" s="34"/>
      <c r="I916" s="34"/>
    </row>
    <row r="917">
      <c r="A917" s="32" t="s">
        <v>3633</v>
      </c>
      <c r="B917" s="32" t="s">
        <v>10208</v>
      </c>
      <c r="C917" s="32" t="s">
        <v>10209</v>
      </c>
      <c r="D917" s="32" t="s">
        <v>10210</v>
      </c>
      <c r="E917" s="32" t="s">
        <v>10211</v>
      </c>
      <c r="F917" s="33" t="s">
        <v>10212</v>
      </c>
      <c r="G917" s="35" t="s">
        <v>10213</v>
      </c>
      <c r="H917" s="34"/>
      <c r="I917" s="34"/>
    </row>
    <row r="918">
      <c r="A918" s="32" t="s">
        <v>3637</v>
      </c>
      <c r="B918" s="32" t="s">
        <v>10214</v>
      </c>
      <c r="C918" s="32" t="s">
        <v>10215</v>
      </c>
      <c r="D918" s="32" t="s">
        <v>10216</v>
      </c>
      <c r="E918" s="32" t="s">
        <v>10217</v>
      </c>
      <c r="F918" s="33" t="s">
        <v>10218</v>
      </c>
      <c r="G918" s="35" t="s">
        <v>10219</v>
      </c>
      <c r="H918" s="34"/>
      <c r="I918" s="34"/>
    </row>
    <row r="919">
      <c r="A919" s="32" t="s">
        <v>3641</v>
      </c>
      <c r="B919" s="32" t="s">
        <v>10220</v>
      </c>
      <c r="C919" s="32" t="s">
        <v>10221</v>
      </c>
      <c r="D919" s="32" t="s">
        <v>10222</v>
      </c>
      <c r="E919" s="32" t="s">
        <v>10223</v>
      </c>
      <c r="F919" s="33" t="s">
        <v>10224</v>
      </c>
      <c r="G919" s="35" t="s">
        <v>10225</v>
      </c>
      <c r="H919" s="34"/>
      <c r="I919" s="34"/>
    </row>
    <row r="920">
      <c r="A920" s="32" t="s">
        <v>2140</v>
      </c>
      <c r="B920" s="32" t="s">
        <v>8348</v>
      </c>
      <c r="C920" s="32" t="s">
        <v>8349</v>
      </c>
      <c r="D920" s="32" t="s">
        <v>8350</v>
      </c>
      <c r="E920" s="32" t="s">
        <v>8351</v>
      </c>
      <c r="F920" s="33" t="s">
        <v>8352</v>
      </c>
      <c r="G920" s="35" t="s">
        <v>10226</v>
      </c>
      <c r="H920" s="34"/>
      <c r="I920" s="34"/>
    </row>
    <row r="921">
      <c r="A921" s="32" t="s">
        <v>3646</v>
      </c>
      <c r="B921" s="32" t="s">
        <v>10227</v>
      </c>
      <c r="C921" s="32" t="s">
        <v>10228</v>
      </c>
      <c r="D921" s="32" t="s">
        <v>10229</v>
      </c>
      <c r="E921" s="32" t="s">
        <v>10230</v>
      </c>
      <c r="F921" s="33" t="s">
        <v>10231</v>
      </c>
      <c r="G921" s="35" t="s">
        <v>10232</v>
      </c>
      <c r="H921" s="34"/>
      <c r="I921" s="34"/>
    </row>
    <row r="922">
      <c r="A922" s="32" t="s">
        <v>3650</v>
      </c>
      <c r="B922" s="32" t="s">
        <v>10233</v>
      </c>
      <c r="C922" s="32" t="s">
        <v>10234</v>
      </c>
      <c r="D922" s="32" t="s">
        <v>10235</v>
      </c>
      <c r="E922" s="32" t="s">
        <v>10236</v>
      </c>
      <c r="F922" s="33" t="s">
        <v>10237</v>
      </c>
      <c r="G922" s="35" t="s">
        <v>10238</v>
      </c>
      <c r="H922" s="34"/>
      <c r="I922" s="34"/>
    </row>
    <row r="923">
      <c r="A923" s="32" t="s">
        <v>3656</v>
      </c>
      <c r="B923" s="32" t="s">
        <v>10239</v>
      </c>
      <c r="C923" s="32" t="s">
        <v>10240</v>
      </c>
      <c r="D923" s="32" t="s">
        <v>10241</v>
      </c>
      <c r="E923" s="32" t="s">
        <v>10242</v>
      </c>
      <c r="F923" s="33" t="s">
        <v>10243</v>
      </c>
      <c r="G923" s="35" t="s">
        <v>10244</v>
      </c>
      <c r="H923" s="34"/>
      <c r="I923" s="34"/>
    </row>
    <row r="924">
      <c r="A924" s="32" t="s">
        <v>3662</v>
      </c>
      <c r="B924" s="32" t="s">
        <v>10245</v>
      </c>
      <c r="C924" s="32" t="s">
        <v>10246</v>
      </c>
      <c r="D924" s="32" t="s">
        <v>10247</v>
      </c>
      <c r="E924" s="32" t="s">
        <v>10248</v>
      </c>
      <c r="F924" s="33" t="s">
        <v>10249</v>
      </c>
      <c r="G924" s="35" t="s">
        <v>10250</v>
      </c>
      <c r="H924" s="34"/>
      <c r="I924" s="34"/>
    </row>
    <row r="925">
      <c r="A925" s="32" t="s">
        <v>3666</v>
      </c>
      <c r="B925" s="32" t="s">
        <v>10251</v>
      </c>
      <c r="C925" s="32" t="s">
        <v>10252</v>
      </c>
      <c r="D925" s="32" t="s">
        <v>10253</v>
      </c>
      <c r="E925" s="32" t="s">
        <v>10254</v>
      </c>
      <c r="F925" s="33" t="s">
        <v>10255</v>
      </c>
      <c r="G925" s="35" t="s">
        <v>10256</v>
      </c>
      <c r="H925" s="34"/>
      <c r="I925" s="34"/>
    </row>
    <row r="926">
      <c r="A926" s="32" t="s">
        <v>3670</v>
      </c>
      <c r="B926" s="32" t="s">
        <v>10257</v>
      </c>
      <c r="C926" s="32" t="s">
        <v>10258</v>
      </c>
      <c r="D926" s="32" t="s">
        <v>10259</v>
      </c>
      <c r="E926" s="32" t="s">
        <v>10260</v>
      </c>
      <c r="F926" s="33" t="s">
        <v>10261</v>
      </c>
      <c r="G926" s="35" t="s">
        <v>10262</v>
      </c>
      <c r="H926" s="34"/>
      <c r="I926" s="34"/>
    </row>
    <row r="927">
      <c r="A927" s="32" t="s">
        <v>269</v>
      </c>
      <c r="B927" s="32" t="s">
        <v>6278</v>
      </c>
      <c r="C927" s="32" t="s">
        <v>6279</v>
      </c>
      <c r="D927" s="32" t="s">
        <v>6280</v>
      </c>
      <c r="E927" s="32" t="s">
        <v>6281</v>
      </c>
      <c r="F927" s="33" t="s">
        <v>6282</v>
      </c>
      <c r="G927" s="35" t="s">
        <v>6283</v>
      </c>
      <c r="H927" s="34"/>
      <c r="I927" s="34"/>
    </row>
    <row r="928">
      <c r="A928" s="32" t="s">
        <v>3680</v>
      </c>
      <c r="B928" s="32" t="s">
        <v>10263</v>
      </c>
      <c r="C928" s="32" t="s">
        <v>10264</v>
      </c>
      <c r="D928" s="32" t="s">
        <v>10265</v>
      </c>
      <c r="E928" s="32" t="s">
        <v>10266</v>
      </c>
      <c r="F928" s="33" t="s">
        <v>10267</v>
      </c>
      <c r="G928" s="35" t="s">
        <v>10268</v>
      </c>
      <c r="H928" s="34"/>
      <c r="I928" s="34"/>
    </row>
    <row r="929">
      <c r="A929" s="32" t="s">
        <v>3684</v>
      </c>
      <c r="B929" s="32" t="s">
        <v>10269</v>
      </c>
      <c r="C929" s="32" t="s">
        <v>10270</v>
      </c>
      <c r="D929" s="32" t="s">
        <v>10271</v>
      </c>
      <c r="E929" s="32" t="s">
        <v>10272</v>
      </c>
      <c r="F929" s="33" t="s">
        <v>10273</v>
      </c>
      <c r="G929" s="35" t="s">
        <v>10274</v>
      </c>
      <c r="H929" s="34"/>
      <c r="I929" s="34"/>
    </row>
    <row r="930">
      <c r="A930" s="32" t="s">
        <v>273</v>
      </c>
      <c r="B930" s="32" t="s">
        <v>6284</v>
      </c>
      <c r="C930" s="32" t="s">
        <v>6285</v>
      </c>
      <c r="D930" s="32" t="s">
        <v>6286</v>
      </c>
      <c r="E930" s="32" t="s">
        <v>6287</v>
      </c>
      <c r="F930" s="33" t="s">
        <v>6288</v>
      </c>
      <c r="G930" s="35" t="s">
        <v>10275</v>
      </c>
      <c r="H930" s="34"/>
      <c r="I930" s="34"/>
    </row>
    <row r="931">
      <c r="A931" s="32" t="s">
        <v>3689</v>
      </c>
      <c r="B931" s="32" t="s">
        <v>10276</v>
      </c>
      <c r="C931" s="32" t="s">
        <v>10277</v>
      </c>
      <c r="D931" s="32" t="s">
        <v>10278</v>
      </c>
      <c r="E931" s="32" t="s">
        <v>10279</v>
      </c>
      <c r="F931" s="33" t="s">
        <v>10280</v>
      </c>
      <c r="G931" s="35" t="s">
        <v>10281</v>
      </c>
      <c r="H931" s="34"/>
      <c r="I931" s="34"/>
    </row>
    <row r="932">
      <c r="A932" s="32" t="s">
        <v>3693</v>
      </c>
      <c r="B932" s="32" t="s">
        <v>10282</v>
      </c>
      <c r="C932" s="32" t="s">
        <v>10283</v>
      </c>
      <c r="D932" s="32" t="s">
        <v>10284</v>
      </c>
      <c r="E932" s="32" t="s">
        <v>10285</v>
      </c>
      <c r="F932" s="33" t="s">
        <v>10286</v>
      </c>
      <c r="G932" s="35" t="s">
        <v>10287</v>
      </c>
      <c r="H932" s="34"/>
      <c r="I932" s="34"/>
    </row>
    <row r="933">
      <c r="A933" s="32" t="s">
        <v>3697</v>
      </c>
      <c r="B933" s="32" t="s">
        <v>10288</v>
      </c>
      <c r="C933" s="32" t="s">
        <v>10289</v>
      </c>
      <c r="D933" s="32" t="s">
        <v>10290</v>
      </c>
      <c r="E933" s="32" t="s">
        <v>10291</v>
      </c>
      <c r="F933" s="33" t="s">
        <v>10292</v>
      </c>
      <c r="G933" s="35" t="s">
        <v>10293</v>
      </c>
      <c r="H933" s="34"/>
      <c r="I933" s="34"/>
    </row>
    <row r="934">
      <c r="A934" s="32" t="s">
        <v>3701</v>
      </c>
      <c r="B934" s="32" t="s">
        <v>10294</v>
      </c>
      <c r="C934" s="32" t="s">
        <v>10295</v>
      </c>
      <c r="D934" s="32" t="s">
        <v>10296</v>
      </c>
      <c r="E934" s="32" t="s">
        <v>10297</v>
      </c>
      <c r="F934" s="33" t="s">
        <v>10298</v>
      </c>
      <c r="G934" s="35" t="s">
        <v>10299</v>
      </c>
      <c r="H934" s="34"/>
      <c r="I934" s="34"/>
    </row>
    <row r="935">
      <c r="A935" s="32" t="s">
        <v>3707</v>
      </c>
      <c r="B935" s="32" t="s">
        <v>10300</v>
      </c>
      <c r="C935" s="32" t="s">
        <v>10301</v>
      </c>
      <c r="D935" s="32" t="s">
        <v>10302</v>
      </c>
      <c r="E935" s="32" t="s">
        <v>10303</v>
      </c>
      <c r="F935" s="33" t="s">
        <v>10304</v>
      </c>
      <c r="G935" s="35" t="s">
        <v>10305</v>
      </c>
      <c r="H935" s="34"/>
      <c r="I935" s="34"/>
    </row>
    <row r="936">
      <c r="A936" s="32" t="s">
        <v>3711</v>
      </c>
      <c r="B936" s="32" t="s">
        <v>10306</v>
      </c>
      <c r="C936" s="32" t="s">
        <v>10307</v>
      </c>
      <c r="D936" s="32" t="s">
        <v>10308</v>
      </c>
      <c r="E936" s="32" t="s">
        <v>10309</v>
      </c>
      <c r="F936" s="33" t="s">
        <v>10310</v>
      </c>
      <c r="G936" s="35" t="s">
        <v>10311</v>
      </c>
      <c r="H936" s="34"/>
      <c r="I936" s="34"/>
    </row>
    <row r="937">
      <c r="A937" s="32" t="s">
        <v>3715</v>
      </c>
      <c r="B937" s="32" t="s">
        <v>10312</v>
      </c>
      <c r="C937" s="32" t="s">
        <v>10313</v>
      </c>
      <c r="D937" s="32" t="s">
        <v>10314</v>
      </c>
      <c r="E937" s="32" t="s">
        <v>10315</v>
      </c>
      <c r="F937" s="33" t="s">
        <v>10316</v>
      </c>
      <c r="G937" s="35" t="s">
        <v>10317</v>
      </c>
      <c r="H937" s="34"/>
      <c r="I937" s="34"/>
    </row>
    <row r="938">
      <c r="A938" s="32" t="s">
        <v>3721</v>
      </c>
      <c r="B938" s="32" t="s">
        <v>10318</v>
      </c>
      <c r="C938" s="32" t="s">
        <v>10319</v>
      </c>
      <c r="D938" s="32" t="s">
        <v>10320</v>
      </c>
      <c r="E938" s="32" t="s">
        <v>10321</v>
      </c>
      <c r="F938" s="33" t="s">
        <v>10322</v>
      </c>
      <c r="G938" s="35" t="s">
        <v>10323</v>
      </c>
      <c r="H938" s="34"/>
      <c r="I938" s="34"/>
    </row>
    <row r="939">
      <c r="A939" s="32" t="s">
        <v>3725</v>
      </c>
      <c r="B939" s="32" t="s">
        <v>6471</v>
      </c>
      <c r="C939" s="32" t="s">
        <v>6472</v>
      </c>
      <c r="D939" s="32" t="s">
        <v>6473</v>
      </c>
      <c r="E939" s="32" t="s">
        <v>6474</v>
      </c>
      <c r="F939" s="33" t="s">
        <v>6475</v>
      </c>
      <c r="G939" s="35" t="s">
        <v>10324</v>
      </c>
      <c r="H939" s="34"/>
      <c r="I939" s="34"/>
    </row>
    <row r="940">
      <c r="A940" s="32" t="s">
        <v>285</v>
      </c>
      <c r="B940" s="32" t="s">
        <v>6302</v>
      </c>
      <c r="C940" s="32" t="s">
        <v>6303</v>
      </c>
      <c r="D940" s="32" t="s">
        <v>6304</v>
      </c>
      <c r="E940" s="32" t="s">
        <v>6305</v>
      </c>
      <c r="F940" s="33" t="s">
        <v>6306</v>
      </c>
      <c r="G940" s="35" t="s">
        <v>6307</v>
      </c>
      <c r="H940" s="34"/>
      <c r="I940" s="34"/>
    </row>
    <row r="941">
      <c r="A941" s="32" t="s">
        <v>3732</v>
      </c>
      <c r="B941" s="32" t="s">
        <v>10325</v>
      </c>
      <c r="C941" s="32" t="s">
        <v>10326</v>
      </c>
      <c r="D941" s="32" t="s">
        <v>10327</v>
      </c>
      <c r="E941" s="32" t="s">
        <v>10328</v>
      </c>
      <c r="F941" s="33" t="s">
        <v>10329</v>
      </c>
      <c r="G941" s="35" t="s">
        <v>10330</v>
      </c>
      <c r="H941" s="34"/>
      <c r="I941" s="34"/>
    </row>
    <row r="942">
      <c r="A942" s="32" t="s">
        <v>3736</v>
      </c>
      <c r="B942" s="32" t="s">
        <v>10331</v>
      </c>
      <c r="C942" s="32" t="s">
        <v>10332</v>
      </c>
      <c r="D942" s="32" t="s">
        <v>10333</v>
      </c>
      <c r="E942" s="32" t="s">
        <v>10334</v>
      </c>
      <c r="F942" s="33" t="s">
        <v>10335</v>
      </c>
      <c r="G942" s="35" t="s">
        <v>10336</v>
      </c>
      <c r="H942" s="34"/>
      <c r="I942" s="34"/>
    </row>
    <row r="943">
      <c r="A943" s="32" t="s">
        <v>3740</v>
      </c>
      <c r="B943" s="32" t="s">
        <v>10337</v>
      </c>
      <c r="C943" s="32" t="s">
        <v>10338</v>
      </c>
      <c r="D943" s="32" t="s">
        <v>10339</v>
      </c>
      <c r="E943" s="32" t="s">
        <v>10340</v>
      </c>
      <c r="F943" s="33" t="s">
        <v>10341</v>
      </c>
      <c r="G943" s="35" t="s">
        <v>10342</v>
      </c>
      <c r="H943" s="34"/>
      <c r="I943" s="34"/>
    </row>
    <row r="944">
      <c r="A944" s="32" t="s">
        <v>3746</v>
      </c>
      <c r="B944" s="32" t="s">
        <v>10343</v>
      </c>
      <c r="C944" s="32" t="s">
        <v>10344</v>
      </c>
      <c r="D944" s="32" t="s">
        <v>10345</v>
      </c>
      <c r="E944" s="32" t="s">
        <v>10346</v>
      </c>
      <c r="F944" s="33" t="s">
        <v>10347</v>
      </c>
      <c r="G944" s="35" t="s">
        <v>10348</v>
      </c>
      <c r="H944" s="34"/>
      <c r="I944" s="34"/>
    </row>
    <row r="945">
      <c r="A945" s="32" t="s">
        <v>289</v>
      </c>
      <c r="B945" s="32" t="s">
        <v>6308</v>
      </c>
      <c r="C945" s="32" t="s">
        <v>6309</v>
      </c>
      <c r="D945" s="32" t="s">
        <v>6310</v>
      </c>
      <c r="E945" s="32" t="s">
        <v>6311</v>
      </c>
      <c r="F945" s="33" t="s">
        <v>6312</v>
      </c>
      <c r="G945" s="35" t="s">
        <v>10349</v>
      </c>
      <c r="H945" s="34"/>
      <c r="I945" s="34"/>
    </row>
    <row r="946">
      <c r="A946" s="32" t="s">
        <v>3751</v>
      </c>
      <c r="B946" s="32" t="s">
        <v>6508</v>
      </c>
      <c r="C946" s="32" t="s">
        <v>6509</v>
      </c>
      <c r="D946" s="32" t="s">
        <v>6510</v>
      </c>
      <c r="E946" s="32" t="s">
        <v>6511</v>
      </c>
      <c r="F946" s="33" t="s">
        <v>6512</v>
      </c>
      <c r="G946" s="35" t="s">
        <v>10350</v>
      </c>
      <c r="H946" s="34"/>
      <c r="I946" s="34"/>
    </row>
    <row r="947">
      <c r="A947" s="32" t="s">
        <v>3755</v>
      </c>
      <c r="B947" s="32" t="s">
        <v>10351</v>
      </c>
      <c r="C947" s="32" t="s">
        <v>10352</v>
      </c>
      <c r="D947" s="32" t="s">
        <v>10353</v>
      </c>
      <c r="E947" s="32" t="s">
        <v>10354</v>
      </c>
      <c r="F947" s="33" t="s">
        <v>10355</v>
      </c>
      <c r="G947" s="35" t="s">
        <v>10356</v>
      </c>
      <c r="H947" s="34"/>
      <c r="I947" s="34"/>
    </row>
    <row r="948">
      <c r="A948" s="32" t="s">
        <v>3759</v>
      </c>
      <c r="B948" s="32" t="s">
        <v>10357</v>
      </c>
      <c r="C948" s="32" t="s">
        <v>10358</v>
      </c>
      <c r="D948" s="32" t="s">
        <v>10359</v>
      </c>
      <c r="E948" s="32" t="s">
        <v>10360</v>
      </c>
      <c r="F948" s="33" t="s">
        <v>10361</v>
      </c>
      <c r="G948" s="35" t="s">
        <v>10362</v>
      </c>
      <c r="H948" s="34"/>
      <c r="I948" s="34"/>
    </row>
    <row r="949">
      <c r="A949" s="32" t="s">
        <v>3763</v>
      </c>
      <c r="B949" s="32" t="s">
        <v>10363</v>
      </c>
      <c r="C949" s="32" t="s">
        <v>10364</v>
      </c>
      <c r="D949" s="32" t="s">
        <v>10365</v>
      </c>
      <c r="E949" s="32" t="s">
        <v>10366</v>
      </c>
      <c r="F949" s="33" t="s">
        <v>10367</v>
      </c>
      <c r="G949" s="35" t="s">
        <v>10368</v>
      </c>
      <c r="H949" s="34"/>
      <c r="I949" s="34"/>
    </row>
    <row r="950">
      <c r="A950" s="32" t="s">
        <v>3767</v>
      </c>
      <c r="B950" s="32" t="s">
        <v>10369</v>
      </c>
      <c r="C950" s="32" t="s">
        <v>10370</v>
      </c>
      <c r="D950" s="32" t="s">
        <v>10371</v>
      </c>
      <c r="E950" s="32" t="s">
        <v>10372</v>
      </c>
      <c r="F950" s="33" t="s">
        <v>10373</v>
      </c>
      <c r="G950" s="35" t="s">
        <v>10374</v>
      </c>
      <c r="H950" s="34"/>
      <c r="I950" s="34"/>
    </row>
    <row r="951">
      <c r="A951" s="32" t="s">
        <v>3772</v>
      </c>
      <c r="B951" s="32" t="s">
        <v>10375</v>
      </c>
      <c r="C951" s="32" t="s">
        <v>10376</v>
      </c>
      <c r="D951" s="32" t="s">
        <v>10377</v>
      </c>
      <c r="E951" s="32" t="s">
        <v>10378</v>
      </c>
      <c r="F951" s="33" t="s">
        <v>10379</v>
      </c>
      <c r="G951" s="35" t="s">
        <v>10380</v>
      </c>
      <c r="H951" s="34"/>
      <c r="I951" s="34"/>
    </row>
    <row r="952">
      <c r="A952" s="32" t="s">
        <v>3779</v>
      </c>
      <c r="B952" s="32" t="s">
        <v>10381</v>
      </c>
      <c r="C952" s="32" t="s">
        <v>10382</v>
      </c>
      <c r="D952" s="32" t="s">
        <v>10383</v>
      </c>
      <c r="E952" s="32" t="s">
        <v>10384</v>
      </c>
      <c r="F952" s="33" t="s">
        <v>10385</v>
      </c>
      <c r="G952" s="35" t="s">
        <v>10386</v>
      </c>
      <c r="H952" s="34"/>
      <c r="I952" s="34"/>
    </row>
    <row r="953">
      <c r="A953" s="32" t="s">
        <v>3783</v>
      </c>
      <c r="B953" s="32" t="s">
        <v>10387</v>
      </c>
      <c r="C953" s="32" t="s">
        <v>10388</v>
      </c>
      <c r="D953" s="32" t="s">
        <v>10389</v>
      </c>
      <c r="E953" s="32" t="s">
        <v>10390</v>
      </c>
      <c r="F953" s="33" t="s">
        <v>10391</v>
      </c>
      <c r="G953" s="35" t="s">
        <v>10392</v>
      </c>
      <c r="H953" s="34"/>
      <c r="I953" s="34"/>
    </row>
    <row r="954">
      <c r="A954" s="32" t="s">
        <v>3787</v>
      </c>
      <c r="B954" s="32" t="s">
        <v>10393</v>
      </c>
      <c r="C954" s="32" t="s">
        <v>10394</v>
      </c>
      <c r="D954" s="32" t="s">
        <v>10395</v>
      </c>
      <c r="E954" s="32" t="s">
        <v>10396</v>
      </c>
      <c r="F954" s="33" t="s">
        <v>10397</v>
      </c>
      <c r="G954" s="35" t="s">
        <v>10398</v>
      </c>
      <c r="H954" s="34"/>
      <c r="I954" s="34"/>
    </row>
    <row r="955">
      <c r="A955" s="32" t="s">
        <v>293</v>
      </c>
      <c r="B955" s="32" t="s">
        <v>6314</v>
      </c>
      <c r="C955" s="32" t="s">
        <v>6315</v>
      </c>
      <c r="D955" s="32" t="s">
        <v>6316</v>
      </c>
      <c r="E955" s="32" t="s">
        <v>6317</v>
      </c>
      <c r="F955" s="33" t="s">
        <v>6318</v>
      </c>
      <c r="G955" s="35" t="s">
        <v>10399</v>
      </c>
      <c r="H955" s="34"/>
      <c r="I955" s="34"/>
    </row>
    <row r="956">
      <c r="A956" s="32" t="s">
        <v>3794</v>
      </c>
      <c r="B956" s="32" t="s">
        <v>10400</v>
      </c>
      <c r="C956" s="32" t="s">
        <v>10401</v>
      </c>
      <c r="D956" s="32" t="s">
        <v>10402</v>
      </c>
      <c r="E956" s="32" t="s">
        <v>10403</v>
      </c>
      <c r="F956" s="33" t="s">
        <v>10404</v>
      </c>
      <c r="G956" s="35" t="s">
        <v>10405</v>
      </c>
      <c r="H956" s="34"/>
      <c r="I956" s="34"/>
    </row>
    <row r="957">
      <c r="A957" s="32" t="s">
        <v>3798</v>
      </c>
      <c r="B957" s="32" t="s">
        <v>10406</v>
      </c>
      <c r="C957" s="32" t="s">
        <v>10407</v>
      </c>
      <c r="D957" s="32" t="s">
        <v>10408</v>
      </c>
      <c r="E957" s="32" t="s">
        <v>10409</v>
      </c>
      <c r="F957" s="33" t="s">
        <v>10410</v>
      </c>
      <c r="G957" s="35" t="s">
        <v>10411</v>
      </c>
      <c r="H957" s="34"/>
      <c r="I957" s="34"/>
    </row>
    <row r="958">
      <c r="A958" s="32" t="s">
        <v>3802</v>
      </c>
      <c r="B958" s="32" t="s">
        <v>10412</v>
      </c>
      <c r="C958" s="32" t="s">
        <v>10413</v>
      </c>
      <c r="D958" s="32" t="s">
        <v>10414</v>
      </c>
      <c r="E958" s="32" t="s">
        <v>10415</v>
      </c>
      <c r="F958" s="33" t="s">
        <v>10416</v>
      </c>
      <c r="G958" s="35" t="s">
        <v>8933</v>
      </c>
      <c r="H958" s="34"/>
      <c r="I958" s="34"/>
    </row>
    <row r="959">
      <c r="A959" s="32" t="s">
        <v>324</v>
      </c>
      <c r="B959" s="32" t="s">
        <v>6351</v>
      </c>
      <c r="C959" s="32" t="s">
        <v>6352</v>
      </c>
      <c r="D959" s="32" t="s">
        <v>6353</v>
      </c>
      <c r="E959" s="32" t="s">
        <v>6354</v>
      </c>
      <c r="F959" s="33" t="s">
        <v>6355</v>
      </c>
      <c r="G959" s="35" t="s">
        <v>10417</v>
      </c>
      <c r="H959" s="34"/>
      <c r="I959" s="34"/>
    </row>
    <row r="960">
      <c r="A960" s="32" t="s">
        <v>3807</v>
      </c>
      <c r="B960" s="32" t="s">
        <v>10418</v>
      </c>
      <c r="C960" s="32" t="s">
        <v>10419</v>
      </c>
      <c r="D960" s="32" t="s">
        <v>10420</v>
      </c>
      <c r="E960" s="32" t="s">
        <v>10421</v>
      </c>
      <c r="F960" s="33" t="s">
        <v>10422</v>
      </c>
      <c r="G960" s="35" t="s">
        <v>10423</v>
      </c>
      <c r="H960" s="34"/>
      <c r="I960" s="34"/>
    </row>
    <row r="961">
      <c r="A961" s="32" t="s">
        <v>2221</v>
      </c>
      <c r="B961" s="32" t="s">
        <v>7960</v>
      </c>
      <c r="C961" s="32" t="s">
        <v>7961</v>
      </c>
      <c r="D961" s="32" t="s">
        <v>7962</v>
      </c>
      <c r="E961" s="32" t="s">
        <v>7963</v>
      </c>
      <c r="F961" s="33" t="s">
        <v>7964</v>
      </c>
      <c r="G961" s="35" t="s">
        <v>10424</v>
      </c>
      <c r="H961" s="34"/>
      <c r="I961" s="34"/>
    </row>
    <row r="962">
      <c r="A962" s="32" t="s">
        <v>3812</v>
      </c>
      <c r="B962" s="32" t="s">
        <v>10425</v>
      </c>
      <c r="C962" s="32" t="s">
        <v>10426</v>
      </c>
      <c r="D962" s="32" t="s">
        <v>10427</v>
      </c>
      <c r="E962" s="32" t="s">
        <v>10428</v>
      </c>
      <c r="F962" s="33" t="s">
        <v>10429</v>
      </c>
      <c r="G962" s="35" t="s">
        <v>10430</v>
      </c>
      <c r="H962" s="34"/>
      <c r="I962" s="34"/>
    </row>
    <row r="963">
      <c r="A963" s="32" t="s">
        <v>3816</v>
      </c>
      <c r="B963" s="32" t="s">
        <v>10431</v>
      </c>
      <c r="C963" s="32" t="s">
        <v>10432</v>
      </c>
      <c r="D963" s="32" t="s">
        <v>10433</v>
      </c>
      <c r="E963" s="32" t="s">
        <v>10434</v>
      </c>
      <c r="F963" s="33" t="s">
        <v>10435</v>
      </c>
      <c r="G963" s="35" t="s">
        <v>10436</v>
      </c>
      <c r="H963" s="34"/>
      <c r="I963" s="34"/>
    </row>
    <row r="964">
      <c r="A964" s="32" t="s">
        <v>2206</v>
      </c>
      <c r="B964" s="32" t="s">
        <v>8433</v>
      </c>
      <c r="C964" s="32" t="s">
        <v>8434</v>
      </c>
      <c r="D964" s="32" t="s">
        <v>8435</v>
      </c>
      <c r="E964" s="32" t="s">
        <v>8436</v>
      </c>
      <c r="F964" s="33" t="s">
        <v>10437</v>
      </c>
      <c r="G964" s="35" t="s">
        <v>10438</v>
      </c>
      <c r="H964" s="34"/>
      <c r="I964" s="34"/>
    </row>
    <row r="965">
      <c r="A965" s="32" t="s">
        <v>3821</v>
      </c>
      <c r="B965" s="32" t="s">
        <v>10439</v>
      </c>
      <c r="C965" s="32" t="s">
        <v>10440</v>
      </c>
      <c r="D965" s="32" t="s">
        <v>10441</v>
      </c>
      <c r="E965" s="32" t="s">
        <v>10442</v>
      </c>
      <c r="F965" s="33" t="s">
        <v>10443</v>
      </c>
      <c r="G965" s="35" t="s">
        <v>10444</v>
      </c>
      <c r="H965" s="34"/>
      <c r="I965" s="34"/>
    </row>
    <row r="966">
      <c r="A966" s="32" t="s">
        <v>3825</v>
      </c>
      <c r="B966" s="32" t="s">
        <v>10445</v>
      </c>
      <c r="C966" s="32" t="s">
        <v>10446</v>
      </c>
      <c r="D966" s="32" t="s">
        <v>10447</v>
      </c>
      <c r="E966" s="32" t="s">
        <v>10448</v>
      </c>
      <c r="F966" s="33" t="s">
        <v>10449</v>
      </c>
      <c r="G966" s="35" t="s">
        <v>10450</v>
      </c>
      <c r="H966" s="34"/>
      <c r="I966" s="34"/>
    </row>
    <row r="967">
      <c r="A967" s="32" t="s">
        <v>3829</v>
      </c>
      <c r="B967" s="32" t="s">
        <v>10451</v>
      </c>
      <c r="C967" s="32" t="s">
        <v>10452</v>
      </c>
      <c r="D967" s="32" t="s">
        <v>10453</v>
      </c>
      <c r="E967" s="32" t="s">
        <v>10454</v>
      </c>
      <c r="F967" s="33" t="s">
        <v>10455</v>
      </c>
      <c r="G967" s="35" t="s">
        <v>10456</v>
      </c>
      <c r="H967" s="34"/>
      <c r="I967" s="34"/>
    </row>
    <row r="968">
      <c r="A968" s="32" t="s">
        <v>3833</v>
      </c>
      <c r="B968" s="32" t="s">
        <v>10457</v>
      </c>
      <c r="C968" s="32" t="s">
        <v>10458</v>
      </c>
      <c r="D968" s="32" t="s">
        <v>10459</v>
      </c>
      <c r="E968" s="32" t="s">
        <v>10460</v>
      </c>
      <c r="F968" s="33" t="s">
        <v>10461</v>
      </c>
      <c r="G968" s="35" t="s">
        <v>10462</v>
      </c>
      <c r="H968" s="34"/>
      <c r="I968" s="34"/>
    </row>
    <row r="969">
      <c r="A969" s="32" t="s">
        <v>3837</v>
      </c>
      <c r="B969" s="32" t="s">
        <v>10463</v>
      </c>
      <c r="C969" s="32" t="s">
        <v>10464</v>
      </c>
      <c r="D969" s="32" t="s">
        <v>10465</v>
      </c>
      <c r="E969" s="32" t="s">
        <v>10466</v>
      </c>
      <c r="F969" s="33" t="s">
        <v>10467</v>
      </c>
      <c r="G969" s="35" t="s">
        <v>10468</v>
      </c>
      <c r="H969" s="34"/>
      <c r="I969" s="34"/>
    </row>
    <row r="970">
      <c r="A970" s="32" t="s">
        <v>301</v>
      </c>
      <c r="B970" s="32" t="s">
        <v>6321</v>
      </c>
      <c r="C970" s="32" t="s">
        <v>6322</v>
      </c>
      <c r="D970" s="32" t="s">
        <v>6323</v>
      </c>
      <c r="E970" s="32" t="s">
        <v>6324</v>
      </c>
      <c r="F970" s="33" t="s">
        <v>6325</v>
      </c>
      <c r="G970" s="35" t="s">
        <v>6326</v>
      </c>
      <c r="H970" s="34"/>
      <c r="I970" s="34"/>
    </row>
    <row r="971">
      <c r="A971" s="32" t="s">
        <v>3842</v>
      </c>
      <c r="B971" s="32" t="s">
        <v>10469</v>
      </c>
      <c r="C971" s="32" t="s">
        <v>10470</v>
      </c>
      <c r="D971" s="32" t="s">
        <v>10471</v>
      </c>
      <c r="E971" s="32" t="s">
        <v>10472</v>
      </c>
      <c r="F971" s="33" t="s">
        <v>10473</v>
      </c>
      <c r="G971" s="35" t="s">
        <v>10474</v>
      </c>
      <c r="H971" s="34"/>
      <c r="I971" s="34"/>
    </row>
    <row r="972">
      <c r="A972" s="32" t="s">
        <v>3846</v>
      </c>
      <c r="B972" s="32" t="s">
        <v>10475</v>
      </c>
      <c r="C972" s="32" t="s">
        <v>10476</v>
      </c>
      <c r="D972" s="32" t="s">
        <v>10477</v>
      </c>
      <c r="E972" s="32" t="s">
        <v>10478</v>
      </c>
      <c r="F972" s="33" t="s">
        <v>10479</v>
      </c>
      <c r="G972" s="35" t="s">
        <v>10480</v>
      </c>
      <c r="H972" s="34"/>
      <c r="I972" s="34"/>
    </row>
    <row r="973">
      <c r="A973" s="32" t="s">
        <v>3853</v>
      </c>
      <c r="B973" s="32" t="s">
        <v>10481</v>
      </c>
      <c r="C973" s="32" t="s">
        <v>10482</v>
      </c>
      <c r="D973" s="32" t="s">
        <v>10483</v>
      </c>
      <c r="E973" s="32" t="s">
        <v>10484</v>
      </c>
      <c r="F973" s="33" t="s">
        <v>10485</v>
      </c>
      <c r="G973" s="35" t="s">
        <v>10486</v>
      </c>
      <c r="H973" s="34"/>
      <c r="I973" s="34"/>
    </row>
    <row r="974">
      <c r="A974" s="32" t="s">
        <v>3857</v>
      </c>
      <c r="B974" s="32" t="s">
        <v>10487</v>
      </c>
      <c r="C974" s="32" t="s">
        <v>10488</v>
      </c>
      <c r="D974" s="32" t="s">
        <v>10489</v>
      </c>
      <c r="E974" s="32" t="s">
        <v>10490</v>
      </c>
      <c r="F974" s="33" t="s">
        <v>10491</v>
      </c>
      <c r="G974" s="35" t="s">
        <v>10492</v>
      </c>
      <c r="H974" s="34"/>
      <c r="I974" s="34"/>
    </row>
    <row r="975">
      <c r="A975" s="32" t="s">
        <v>3861</v>
      </c>
      <c r="B975" s="32" t="s">
        <v>10493</v>
      </c>
      <c r="C975" s="32" t="s">
        <v>10494</v>
      </c>
      <c r="D975" s="32" t="s">
        <v>10495</v>
      </c>
      <c r="E975" s="32" t="s">
        <v>10496</v>
      </c>
      <c r="F975" s="33" t="s">
        <v>10497</v>
      </c>
      <c r="G975" s="35" t="s">
        <v>10498</v>
      </c>
      <c r="H975" s="34"/>
      <c r="I975" s="34"/>
    </row>
    <row r="976">
      <c r="A976" s="32" t="s">
        <v>316</v>
      </c>
      <c r="B976" s="32" t="s">
        <v>6339</v>
      </c>
      <c r="C976" s="32" t="s">
        <v>6340</v>
      </c>
      <c r="D976" s="32" t="s">
        <v>6341</v>
      </c>
      <c r="E976" s="32" t="s">
        <v>6342</v>
      </c>
      <c r="F976" s="33" t="s">
        <v>6343</v>
      </c>
      <c r="G976" s="35" t="s">
        <v>6344</v>
      </c>
      <c r="H976" s="34"/>
      <c r="I976" s="34"/>
    </row>
    <row r="977">
      <c r="A977" s="32" t="s">
        <v>3866</v>
      </c>
      <c r="B977" s="32" t="s">
        <v>10499</v>
      </c>
      <c r="C977" s="32" t="s">
        <v>10500</v>
      </c>
      <c r="D977" s="32" t="s">
        <v>10501</v>
      </c>
      <c r="E977" s="32" t="s">
        <v>10502</v>
      </c>
      <c r="F977" s="33" t="s">
        <v>10503</v>
      </c>
      <c r="G977" s="35" t="s">
        <v>10504</v>
      </c>
      <c r="H977" s="34"/>
      <c r="I977" s="34"/>
    </row>
    <row r="978">
      <c r="A978" s="32" t="s">
        <v>3870</v>
      </c>
      <c r="B978" s="32" t="s">
        <v>10505</v>
      </c>
      <c r="C978" s="32" t="s">
        <v>10506</v>
      </c>
      <c r="D978" s="32" t="s">
        <v>10507</v>
      </c>
      <c r="E978" s="32" t="s">
        <v>10508</v>
      </c>
      <c r="F978" s="33" t="s">
        <v>10509</v>
      </c>
      <c r="G978" s="35" t="s">
        <v>10510</v>
      </c>
      <c r="H978" s="34"/>
      <c r="I978" s="34"/>
    </row>
    <row r="979">
      <c r="A979" s="32" t="s">
        <v>3876</v>
      </c>
      <c r="B979" s="32" t="s">
        <v>10511</v>
      </c>
      <c r="C979" s="32" t="s">
        <v>10512</v>
      </c>
      <c r="D979" s="32" t="s">
        <v>10513</v>
      </c>
      <c r="E979" s="32" t="s">
        <v>10514</v>
      </c>
      <c r="F979" s="33" t="s">
        <v>10515</v>
      </c>
      <c r="G979" s="35" t="s">
        <v>10516</v>
      </c>
      <c r="H979" s="34"/>
      <c r="I979" s="34"/>
    </row>
    <row r="980">
      <c r="A980" s="32" t="s">
        <v>3880</v>
      </c>
      <c r="B980" s="32" t="s">
        <v>10517</v>
      </c>
      <c r="C980" s="32" t="s">
        <v>10518</v>
      </c>
      <c r="D980" s="32" t="s">
        <v>10519</v>
      </c>
      <c r="E980" s="32" t="s">
        <v>10520</v>
      </c>
      <c r="F980" s="33" t="s">
        <v>10521</v>
      </c>
      <c r="G980" s="35" t="s">
        <v>10522</v>
      </c>
      <c r="H980" s="34"/>
      <c r="I980" s="34"/>
    </row>
    <row r="981">
      <c r="A981" s="32" t="s">
        <v>320</v>
      </c>
      <c r="B981" s="32" t="s">
        <v>6345</v>
      </c>
      <c r="C981" s="32" t="s">
        <v>6346</v>
      </c>
      <c r="D981" s="32" t="s">
        <v>6347</v>
      </c>
      <c r="E981" s="32" t="s">
        <v>6348</v>
      </c>
      <c r="F981" s="33" t="s">
        <v>10523</v>
      </c>
      <c r="G981" s="35" t="s">
        <v>10524</v>
      </c>
      <c r="H981" s="34"/>
      <c r="I981" s="34"/>
    </row>
    <row r="982">
      <c r="A982" s="32" t="s">
        <v>3885</v>
      </c>
      <c r="B982" s="32" t="s">
        <v>10525</v>
      </c>
      <c r="C982" s="32" t="s">
        <v>10526</v>
      </c>
      <c r="D982" s="32" t="s">
        <v>10527</v>
      </c>
      <c r="E982" s="32" t="s">
        <v>10528</v>
      </c>
      <c r="F982" s="33" t="s">
        <v>10529</v>
      </c>
      <c r="G982" s="35" t="s">
        <v>10530</v>
      </c>
      <c r="H982" s="34"/>
      <c r="I982" s="34"/>
    </row>
    <row r="983">
      <c r="A983" s="32" t="s">
        <v>3889</v>
      </c>
      <c r="B983" s="32" t="s">
        <v>10531</v>
      </c>
      <c r="C983" s="32" t="s">
        <v>10532</v>
      </c>
      <c r="D983" s="32" t="s">
        <v>10533</v>
      </c>
      <c r="E983" s="32" t="s">
        <v>10534</v>
      </c>
      <c r="F983" s="33" t="s">
        <v>10535</v>
      </c>
      <c r="G983" s="35" t="s">
        <v>10536</v>
      </c>
      <c r="H983" s="34"/>
      <c r="I983" s="34"/>
    </row>
    <row r="984">
      <c r="A984" s="32" t="s">
        <v>3893</v>
      </c>
      <c r="B984" s="32" t="s">
        <v>10537</v>
      </c>
      <c r="C984" s="32" t="s">
        <v>10538</v>
      </c>
      <c r="D984" s="32" t="s">
        <v>10539</v>
      </c>
      <c r="E984" s="32" t="s">
        <v>10540</v>
      </c>
      <c r="F984" s="33" t="s">
        <v>10541</v>
      </c>
      <c r="G984" s="35" t="s">
        <v>10542</v>
      </c>
      <c r="H984" s="34"/>
      <c r="I984" s="34"/>
    </row>
    <row r="985">
      <c r="A985" s="32" t="s">
        <v>332</v>
      </c>
      <c r="B985" s="32" t="s">
        <v>6358</v>
      </c>
      <c r="C985" s="32" t="s">
        <v>6359</v>
      </c>
      <c r="D985" s="32" t="s">
        <v>6360</v>
      </c>
      <c r="E985" s="32" t="s">
        <v>6361</v>
      </c>
      <c r="F985" s="33" t="s">
        <v>6362</v>
      </c>
      <c r="G985" s="35" t="s">
        <v>6363</v>
      </c>
      <c r="H985" s="34"/>
      <c r="I985" s="34"/>
    </row>
    <row r="986">
      <c r="A986" s="32" t="s">
        <v>3900</v>
      </c>
      <c r="B986" s="32" t="s">
        <v>10543</v>
      </c>
      <c r="C986" s="32" t="s">
        <v>10544</v>
      </c>
      <c r="D986" s="32" t="s">
        <v>10545</v>
      </c>
      <c r="E986" s="32" t="s">
        <v>10546</v>
      </c>
      <c r="F986" s="33" t="s">
        <v>10547</v>
      </c>
      <c r="G986" s="35" t="s">
        <v>10548</v>
      </c>
      <c r="H986" s="34"/>
      <c r="I986" s="34"/>
    </row>
    <row r="987">
      <c r="A987" s="32" t="s">
        <v>336</v>
      </c>
      <c r="B987" s="32" t="s">
        <v>6364</v>
      </c>
      <c r="C987" s="32" t="s">
        <v>6365</v>
      </c>
      <c r="D987" s="32" t="s">
        <v>6366</v>
      </c>
      <c r="E987" s="32" t="s">
        <v>6367</v>
      </c>
      <c r="F987" s="33" t="s">
        <v>6368</v>
      </c>
      <c r="G987" s="35" t="s">
        <v>6369</v>
      </c>
      <c r="H987" s="34"/>
      <c r="I987" s="34"/>
    </row>
    <row r="988">
      <c r="A988" s="32" t="s">
        <v>3906</v>
      </c>
      <c r="B988" s="32" t="s">
        <v>10549</v>
      </c>
      <c r="C988" s="32" t="s">
        <v>10550</v>
      </c>
      <c r="D988" s="32" t="s">
        <v>10551</v>
      </c>
      <c r="E988" s="32" t="s">
        <v>10552</v>
      </c>
      <c r="F988" s="33" t="s">
        <v>10553</v>
      </c>
      <c r="G988" s="35" t="s">
        <v>10554</v>
      </c>
      <c r="H988" s="34"/>
      <c r="I988" s="34"/>
    </row>
    <row r="989">
      <c r="A989" s="32" t="s">
        <v>3910</v>
      </c>
      <c r="B989" s="32" t="s">
        <v>10555</v>
      </c>
      <c r="C989" s="32" t="s">
        <v>10556</v>
      </c>
      <c r="D989" s="32" t="s">
        <v>10557</v>
      </c>
      <c r="E989" s="32" t="s">
        <v>10558</v>
      </c>
      <c r="F989" s="33" t="s">
        <v>10559</v>
      </c>
      <c r="G989" s="35" t="s">
        <v>10560</v>
      </c>
      <c r="H989" s="34"/>
      <c r="I989" s="34"/>
    </row>
    <row r="990">
      <c r="A990" s="32" t="s">
        <v>3916</v>
      </c>
      <c r="B990" s="32" t="s">
        <v>10561</v>
      </c>
      <c r="C990" s="32" t="s">
        <v>10562</v>
      </c>
      <c r="D990" s="32" t="s">
        <v>10563</v>
      </c>
      <c r="E990" s="32" t="s">
        <v>10564</v>
      </c>
      <c r="F990" s="33" t="s">
        <v>10565</v>
      </c>
      <c r="G990" s="35" t="s">
        <v>10566</v>
      </c>
      <c r="H990" s="34"/>
      <c r="I990" s="34"/>
    </row>
    <row r="991">
      <c r="A991" s="32" t="s">
        <v>3920</v>
      </c>
      <c r="B991" s="32" t="s">
        <v>10567</v>
      </c>
      <c r="C991" s="32" t="s">
        <v>10568</v>
      </c>
      <c r="D991" s="32" t="s">
        <v>10569</v>
      </c>
      <c r="E991" s="32" t="s">
        <v>10570</v>
      </c>
      <c r="F991" s="33" t="s">
        <v>10571</v>
      </c>
      <c r="G991" s="35" t="s">
        <v>10572</v>
      </c>
      <c r="H991" s="34"/>
      <c r="I991" s="34"/>
    </row>
    <row r="992">
      <c r="A992" s="32" t="s">
        <v>340</v>
      </c>
      <c r="B992" s="32" t="s">
        <v>6370</v>
      </c>
      <c r="C992" s="32" t="s">
        <v>6371</v>
      </c>
      <c r="D992" s="32" t="s">
        <v>6372</v>
      </c>
      <c r="E992" s="32" t="s">
        <v>6373</v>
      </c>
      <c r="F992" s="33" t="s">
        <v>6374</v>
      </c>
      <c r="G992" s="35" t="s">
        <v>10573</v>
      </c>
      <c r="H992" s="34"/>
      <c r="I992" s="34"/>
    </row>
    <row r="993">
      <c r="A993" s="32" t="s">
        <v>3925</v>
      </c>
      <c r="B993" s="32" t="s">
        <v>10574</v>
      </c>
      <c r="C993" s="32" t="s">
        <v>10575</v>
      </c>
      <c r="D993" s="32" t="s">
        <v>10576</v>
      </c>
      <c r="E993" s="32" t="s">
        <v>10577</v>
      </c>
      <c r="F993" s="33" t="s">
        <v>10578</v>
      </c>
      <c r="G993" s="35" t="s">
        <v>10579</v>
      </c>
      <c r="H993" s="34"/>
      <c r="I993" s="34"/>
    </row>
    <row r="994">
      <c r="A994" s="32" t="s">
        <v>344</v>
      </c>
      <c r="B994" s="32" t="s">
        <v>6376</v>
      </c>
      <c r="C994" s="32" t="s">
        <v>6377</v>
      </c>
      <c r="D994" s="32" t="s">
        <v>6378</v>
      </c>
      <c r="E994" s="32" t="s">
        <v>6379</v>
      </c>
      <c r="F994" s="33" t="s">
        <v>6380</v>
      </c>
      <c r="G994" s="35" t="s">
        <v>10580</v>
      </c>
      <c r="H994" s="34"/>
      <c r="I994" s="34"/>
    </row>
    <row r="995">
      <c r="A995" s="32" t="s">
        <v>3930</v>
      </c>
      <c r="B995" s="32" t="s">
        <v>10581</v>
      </c>
      <c r="C995" s="32" t="s">
        <v>10582</v>
      </c>
      <c r="D995" s="32" t="s">
        <v>10583</v>
      </c>
      <c r="E995" s="32" t="s">
        <v>10584</v>
      </c>
      <c r="F995" s="33" t="s">
        <v>10585</v>
      </c>
      <c r="G995" s="35" t="s">
        <v>10586</v>
      </c>
      <c r="H995" s="34"/>
      <c r="I995" s="34"/>
    </row>
    <row r="996">
      <c r="A996" s="32" t="s">
        <v>3935</v>
      </c>
      <c r="B996" s="32" t="s">
        <v>10587</v>
      </c>
      <c r="C996" s="32" t="s">
        <v>10588</v>
      </c>
      <c r="D996" s="32" t="s">
        <v>10589</v>
      </c>
      <c r="E996" s="32" t="s">
        <v>10590</v>
      </c>
      <c r="F996" s="33" t="s">
        <v>10591</v>
      </c>
      <c r="G996" s="35" t="s">
        <v>10592</v>
      </c>
      <c r="H996" s="34"/>
      <c r="I996" s="34"/>
    </row>
    <row r="997">
      <c r="A997" s="32" t="s">
        <v>3939</v>
      </c>
      <c r="B997" s="32" t="s">
        <v>10593</v>
      </c>
      <c r="C997" s="32" t="s">
        <v>10594</v>
      </c>
      <c r="D997" s="32" t="s">
        <v>10595</v>
      </c>
      <c r="E997" s="32" t="s">
        <v>10596</v>
      </c>
      <c r="F997" s="33" t="s">
        <v>10597</v>
      </c>
      <c r="G997" s="35" t="s">
        <v>10598</v>
      </c>
      <c r="H997" s="34"/>
      <c r="I997" s="34"/>
    </row>
    <row r="998">
      <c r="A998" s="32" t="s">
        <v>3943</v>
      </c>
      <c r="B998" s="32" t="s">
        <v>10599</v>
      </c>
      <c r="C998" s="32" t="s">
        <v>10600</v>
      </c>
      <c r="D998" s="32" t="s">
        <v>10601</v>
      </c>
      <c r="E998" s="32" t="s">
        <v>10602</v>
      </c>
      <c r="F998" s="33" t="s">
        <v>10603</v>
      </c>
      <c r="G998" s="35" t="s">
        <v>10604</v>
      </c>
      <c r="H998" s="34"/>
      <c r="I998" s="34"/>
    </row>
    <row r="999">
      <c r="A999" s="32" t="s">
        <v>3947</v>
      </c>
      <c r="B999" s="32" t="s">
        <v>10605</v>
      </c>
      <c r="C999" s="32" t="s">
        <v>10606</v>
      </c>
      <c r="D999" s="32" t="s">
        <v>10607</v>
      </c>
      <c r="E999" s="32" t="s">
        <v>10608</v>
      </c>
      <c r="F999" s="33" t="s">
        <v>10609</v>
      </c>
      <c r="G999" s="35" t="s">
        <v>10610</v>
      </c>
      <c r="H999" s="34"/>
      <c r="I999" s="34"/>
    </row>
    <row r="1000">
      <c r="A1000" s="32" t="s">
        <v>3950</v>
      </c>
      <c r="B1000" s="32" t="s">
        <v>10611</v>
      </c>
      <c r="C1000" s="32" t="s">
        <v>10612</v>
      </c>
      <c r="D1000" s="32" t="s">
        <v>10613</v>
      </c>
      <c r="E1000" s="32" t="s">
        <v>10614</v>
      </c>
      <c r="F1000" s="33" t="s">
        <v>10615</v>
      </c>
      <c r="G1000" s="35" t="s">
        <v>10616</v>
      </c>
      <c r="H1000" s="34"/>
      <c r="I1000" s="34"/>
    </row>
    <row r="1001">
      <c r="A1001" s="32" t="s">
        <v>3954</v>
      </c>
      <c r="B1001" s="32" t="s">
        <v>10617</v>
      </c>
      <c r="C1001" s="32" t="s">
        <v>10618</v>
      </c>
      <c r="D1001" s="32" t="s">
        <v>10619</v>
      </c>
      <c r="E1001" s="32" t="s">
        <v>10620</v>
      </c>
      <c r="F1001" s="33" t="s">
        <v>10621</v>
      </c>
      <c r="G1001" s="35" t="s">
        <v>10622</v>
      </c>
      <c r="H1001" s="34"/>
      <c r="I1001" s="34"/>
    </row>
    <row r="1002">
      <c r="A1002" s="32" t="s">
        <v>352</v>
      </c>
      <c r="B1002" s="32" t="s">
        <v>6388</v>
      </c>
      <c r="C1002" s="32" t="s">
        <v>6389</v>
      </c>
      <c r="D1002" s="32" t="s">
        <v>6390</v>
      </c>
      <c r="E1002" s="32" t="s">
        <v>6391</v>
      </c>
      <c r="F1002" s="33" t="s">
        <v>6392</v>
      </c>
      <c r="G1002" s="35" t="s">
        <v>6393</v>
      </c>
      <c r="H1002" s="34"/>
      <c r="I1002" s="34"/>
    </row>
    <row r="1003">
      <c r="A1003" s="32" t="s">
        <v>3959</v>
      </c>
      <c r="B1003" s="32" t="s">
        <v>10623</v>
      </c>
      <c r="C1003" s="32" t="s">
        <v>10624</v>
      </c>
      <c r="D1003" s="32" t="s">
        <v>10625</v>
      </c>
      <c r="E1003" s="32" t="s">
        <v>10626</v>
      </c>
      <c r="F1003" s="33" t="s">
        <v>10627</v>
      </c>
      <c r="G1003" s="35" t="s">
        <v>10628</v>
      </c>
      <c r="H1003" s="34"/>
      <c r="I1003" s="34"/>
    </row>
    <row r="1004">
      <c r="A1004" s="32" t="s">
        <v>3963</v>
      </c>
      <c r="B1004" s="32" t="s">
        <v>10629</v>
      </c>
      <c r="C1004" s="32" t="s">
        <v>10630</v>
      </c>
      <c r="D1004" s="32" t="s">
        <v>10631</v>
      </c>
      <c r="E1004" s="32" t="s">
        <v>10632</v>
      </c>
      <c r="F1004" s="33" t="s">
        <v>10633</v>
      </c>
      <c r="G1004" s="35" t="s">
        <v>10634</v>
      </c>
      <c r="H1004" s="34"/>
      <c r="I1004" s="34"/>
    </row>
    <row r="1005">
      <c r="A1005" s="32" t="s">
        <v>3967</v>
      </c>
      <c r="B1005" s="32" t="s">
        <v>10635</v>
      </c>
      <c r="C1005" s="32" t="s">
        <v>10636</v>
      </c>
      <c r="D1005" s="32" t="s">
        <v>10637</v>
      </c>
      <c r="E1005" s="32" t="s">
        <v>10638</v>
      </c>
      <c r="F1005" s="33" t="s">
        <v>10639</v>
      </c>
      <c r="G1005" s="35" t="s">
        <v>10640</v>
      </c>
      <c r="H1005" s="34"/>
      <c r="I1005" s="34"/>
    </row>
    <row r="1006">
      <c r="A1006" s="32" t="s">
        <v>3971</v>
      </c>
      <c r="B1006" s="32" t="s">
        <v>10641</v>
      </c>
      <c r="C1006" s="32" t="s">
        <v>10642</v>
      </c>
      <c r="D1006" s="32" t="s">
        <v>10643</v>
      </c>
      <c r="E1006" s="32" t="s">
        <v>10644</v>
      </c>
      <c r="F1006" s="33" t="s">
        <v>10645</v>
      </c>
      <c r="G1006" s="35" t="s">
        <v>10646</v>
      </c>
      <c r="H1006" s="34"/>
      <c r="I1006" s="34"/>
    </row>
    <row r="1007">
      <c r="A1007" s="32" t="s">
        <v>3975</v>
      </c>
      <c r="B1007" s="32" t="s">
        <v>10647</v>
      </c>
      <c r="C1007" s="32" t="s">
        <v>10648</v>
      </c>
      <c r="D1007" s="32" t="s">
        <v>10649</v>
      </c>
      <c r="E1007" s="32" t="s">
        <v>10650</v>
      </c>
      <c r="F1007" s="33" t="s">
        <v>10651</v>
      </c>
      <c r="G1007" s="35" t="s">
        <v>10652</v>
      </c>
      <c r="H1007" s="34"/>
      <c r="I1007" s="34"/>
    </row>
    <row r="1008">
      <c r="A1008" s="32" t="s">
        <v>3980</v>
      </c>
      <c r="B1008" s="32" t="s">
        <v>10653</v>
      </c>
      <c r="C1008" s="32" t="s">
        <v>10654</v>
      </c>
      <c r="D1008" s="32" t="s">
        <v>10655</v>
      </c>
      <c r="E1008" s="32" t="s">
        <v>10656</v>
      </c>
      <c r="F1008" s="33" t="s">
        <v>10657</v>
      </c>
      <c r="G1008" s="35" t="s">
        <v>10658</v>
      </c>
      <c r="H1008" s="34"/>
      <c r="I1008" s="34"/>
    </row>
    <row r="1009">
      <c r="A1009" s="32" t="s">
        <v>2271</v>
      </c>
      <c r="B1009" s="32" t="s">
        <v>8500</v>
      </c>
      <c r="C1009" s="32" t="s">
        <v>8501</v>
      </c>
      <c r="D1009" s="32" t="s">
        <v>8502</v>
      </c>
      <c r="E1009" s="32" t="s">
        <v>8503</v>
      </c>
      <c r="F1009" s="33" t="s">
        <v>8504</v>
      </c>
      <c r="G1009" s="35" t="s">
        <v>10659</v>
      </c>
      <c r="H1009" s="34"/>
      <c r="I1009" s="34"/>
    </row>
    <row r="1010">
      <c r="A1010" s="32" t="s">
        <v>3988</v>
      </c>
      <c r="B1010" s="32" t="s">
        <v>10660</v>
      </c>
      <c r="C1010" s="32" t="s">
        <v>10661</v>
      </c>
      <c r="D1010" s="32" t="s">
        <v>10662</v>
      </c>
      <c r="E1010" s="32" t="s">
        <v>10663</v>
      </c>
      <c r="F1010" s="33" t="s">
        <v>10664</v>
      </c>
      <c r="G1010" s="35" t="s">
        <v>10665</v>
      </c>
      <c r="H1010" s="34"/>
      <c r="I1010" s="34"/>
    </row>
    <row r="1011">
      <c r="A1011" s="32" t="s">
        <v>3992</v>
      </c>
      <c r="B1011" s="32" t="s">
        <v>10666</v>
      </c>
      <c r="C1011" s="32" t="s">
        <v>10667</v>
      </c>
      <c r="D1011" s="32" t="s">
        <v>10668</v>
      </c>
      <c r="E1011" s="32" t="s">
        <v>10669</v>
      </c>
      <c r="F1011" s="33" t="s">
        <v>10670</v>
      </c>
      <c r="G1011" s="35" t="s">
        <v>10671</v>
      </c>
      <c r="H1011" s="34"/>
      <c r="I1011" s="34"/>
    </row>
    <row r="1012">
      <c r="A1012" s="32" t="s">
        <v>376</v>
      </c>
      <c r="B1012" s="32" t="s">
        <v>6416</v>
      </c>
      <c r="C1012" s="32" t="s">
        <v>6417</v>
      </c>
      <c r="D1012" s="32" t="s">
        <v>6418</v>
      </c>
      <c r="E1012" s="32" t="s">
        <v>6419</v>
      </c>
      <c r="F1012" s="33" t="s">
        <v>6420</v>
      </c>
      <c r="G1012" s="35" t="s">
        <v>10672</v>
      </c>
      <c r="H1012" s="34"/>
      <c r="I1012" s="34"/>
    </row>
    <row r="1013">
      <c r="A1013" s="32" t="s">
        <v>3997</v>
      </c>
      <c r="B1013" s="32" t="s">
        <v>10673</v>
      </c>
      <c r="C1013" s="32" t="s">
        <v>10674</v>
      </c>
      <c r="D1013" s="32" t="s">
        <v>10675</v>
      </c>
      <c r="E1013" s="32" t="s">
        <v>10676</v>
      </c>
      <c r="F1013" s="33" t="s">
        <v>10677</v>
      </c>
      <c r="G1013" s="35" t="s">
        <v>10678</v>
      </c>
      <c r="H1013" s="34"/>
      <c r="I1013" s="34"/>
    </row>
    <row r="1014">
      <c r="A1014" s="32" t="s">
        <v>4001</v>
      </c>
      <c r="B1014" s="32" t="s">
        <v>10679</v>
      </c>
      <c r="C1014" s="32" t="s">
        <v>10680</v>
      </c>
      <c r="D1014" s="32" t="s">
        <v>10681</v>
      </c>
      <c r="E1014" s="32" t="s">
        <v>10682</v>
      </c>
      <c r="F1014" s="33" t="s">
        <v>10683</v>
      </c>
      <c r="G1014" s="35" t="s">
        <v>10684</v>
      </c>
      <c r="H1014" s="34"/>
      <c r="I1014" s="34"/>
    </row>
    <row r="1015">
      <c r="A1015" s="32" t="s">
        <v>4005</v>
      </c>
      <c r="B1015" s="32" t="s">
        <v>10685</v>
      </c>
      <c r="C1015" s="32" t="s">
        <v>10686</v>
      </c>
      <c r="D1015" s="32" t="s">
        <v>10687</v>
      </c>
      <c r="E1015" s="32" t="s">
        <v>10688</v>
      </c>
      <c r="F1015" s="33" t="s">
        <v>10689</v>
      </c>
      <c r="G1015" s="35" t="s">
        <v>10690</v>
      </c>
      <c r="H1015" s="34"/>
      <c r="I1015" s="34"/>
    </row>
    <row r="1016">
      <c r="A1016" s="32" t="s">
        <v>4009</v>
      </c>
      <c r="B1016" s="32" t="s">
        <v>10691</v>
      </c>
      <c r="C1016" s="32" t="s">
        <v>10692</v>
      </c>
      <c r="D1016" s="32" t="s">
        <v>10693</v>
      </c>
      <c r="E1016" s="32" t="s">
        <v>10694</v>
      </c>
      <c r="F1016" s="33" t="s">
        <v>10695</v>
      </c>
      <c r="G1016" s="35" t="s">
        <v>10696</v>
      </c>
      <c r="H1016" s="34"/>
      <c r="I1016" s="34"/>
    </row>
    <row r="1017">
      <c r="A1017" s="32" t="s">
        <v>4016</v>
      </c>
      <c r="B1017" s="32" t="s">
        <v>10697</v>
      </c>
      <c r="C1017" s="32" t="s">
        <v>10698</v>
      </c>
      <c r="D1017" s="32" t="s">
        <v>10699</v>
      </c>
      <c r="E1017" s="32" t="s">
        <v>10700</v>
      </c>
      <c r="F1017" s="33" t="s">
        <v>10701</v>
      </c>
      <c r="G1017" s="35" t="s">
        <v>10702</v>
      </c>
      <c r="H1017" s="34"/>
      <c r="I1017" s="34"/>
    </row>
    <row r="1018">
      <c r="A1018" s="32" t="s">
        <v>4020</v>
      </c>
      <c r="B1018" s="32" t="s">
        <v>10703</v>
      </c>
      <c r="C1018" s="32" t="s">
        <v>10704</v>
      </c>
      <c r="D1018" s="32" t="s">
        <v>10705</v>
      </c>
      <c r="E1018" s="32" t="s">
        <v>10706</v>
      </c>
      <c r="F1018" s="33" t="s">
        <v>10707</v>
      </c>
      <c r="G1018" s="35" t="s">
        <v>10708</v>
      </c>
      <c r="H1018" s="34"/>
      <c r="I1018" s="34"/>
    </row>
    <row r="1019">
      <c r="A1019" s="32" t="s">
        <v>2319</v>
      </c>
      <c r="B1019" s="32" t="s">
        <v>8557</v>
      </c>
      <c r="C1019" s="32" t="s">
        <v>8558</v>
      </c>
      <c r="D1019" s="32" t="s">
        <v>8559</v>
      </c>
      <c r="E1019" s="32" t="s">
        <v>8560</v>
      </c>
      <c r="F1019" s="33" t="s">
        <v>8561</v>
      </c>
      <c r="G1019" s="35" t="s">
        <v>10709</v>
      </c>
      <c r="H1019" s="34"/>
      <c r="I1019" s="34"/>
    </row>
    <row r="1020">
      <c r="A1020" s="32" t="s">
        <v>392</v>
      </c>
      <c r="B1020" s="32" t="s">
        <v>6425</v>
      </c>
      <c r="C1020" s="32" t="s">
        <v>6426</v>
      </c>
      <c r="D1020" s="32" t="s">
        <v>6427</v>
      </c>
      <c r="E1020" s="32" t="s">
        <v>6428</v>
      </c>
      <c r="F1020" s="33" t="s">
        <v>6429</v>
      </c>
      <c r="G1020" s="35" t="s">
        <v>6430</v>
      </c>
      <c r="H1020" s="34"/>
      <c r="I1020" s="34"/>
    </row>
    <row r="1021">
      <c r="A1021" s="32" t="s">
        <v>399</v>
      </c>
      <c r="B1021" s="32" t="s">
        <v>6433</v>
      </c>
      <c r="C1021" s="32" t="s">
        <v>6434</v>
      </c>
      <c r="D1021" s="32" t="s">
        <v>6435</v>
      </c>
      <c r="E1021" s="32" t="s">
        <v>6436</v>
      </c>
      <c r="F1021" s="33" t="s">
        <v>6437</v>
      </c>
      <c r="G1021" s="35" t="s">
        <v>10710</v>
      </c>
      <c r="H1021" s="34"/>
      <c r="I1021" s="34"/>
    </row>
    <row r="1022">
      <c r="A1022" s="32" t="s">
        <v>4027</v>
      </c>
      <c r="B1022" s="32" t="s">
        <v>10711</v>
      </c>
      <c r="C1022" s="32" t="s">
        <v>10712</v>
      </c>
      <c r="D1022" s="32" t="s">
        <v>10713</v>
      </c>
      <c r="E1022" s="32" t="s">
        <v>10714</v>
      </c>
      <c r="F1022" s="33" t="s">
        <v>10715</v>
      </c>
      <c r="G1022" s="35" t="s">
        <v>10716</v>
      </c>
      <c r="H1022" s="34"/>
      <c r="I1022" s="34"/>
    </row>
    <row r="1023">
      <c r="A1023" s="32" t="s">
        <v>4031</v>
      </c>
      <c r="B1023" s="32" t="s">
        <v>10717</v>
      </c>
      <c r="C1023" s="32" t="s">
        <v>10718</v>
      </c>
      <c r="D1023" s="32" t="s">
        <v>10719</v>
      </c>
      <c r="E1023" s="32" t="s">
        <v>10720</v>
      </c>
      <c r="F1023" s="33" t="s">
        <v>10721</v>
      </c>
      <c r="G1023" s="35" t="s">
        <v>10722</v>
      </c>
      <c r="H1023" s="34"/>
      <c r="I1023" s="34"/>
    </row>
    <row r="1024">
      <c r="A1024" s="32" t="s">
        <v>4035</v>
      </c>
      <c r="B1024" s="32" t="s">
        <v>10723</v>
      </c>
      <c r="C1024" s="32" t="s">
        <v>10724</v>
      </c>
      <c r="D1024" s="32" t="s">
        <v>10725</v>
      </c>
      <c r="E1024" s="32" t="s">
        <v>10726</v>
      </c>
      <c r="F1024" s="33" t="s">
        <v>10727</v>
      </c>
      <c r="G1024" s="35" t="s">
        <v>10728</v>
      </c>
      <c r="H1024" s="34"/>
      <c r="I1024" s="34"/>
    </row>
    <row r="1025">
      <c r="A1025" s="32" t="s">
        <v>4044</v>
      </c>
      <c r="B1025" s="32" t="s">
        <v>10729</v>
      </c>
      <c r="C1025" s="32" t="s">
        <v>10730</v>
      </c>
      <c r="D1025" s="32" t="s">
        <v>10731</v>
      </c>
      <c r="E1025" s="32" t="s">
        <v>10732</v>
      </c>
      <c r="F1025" s="33" t="s">
        <v>10733</v>
      </c>
      <c r="G1025" s="35" t="s">
        <v>10734</v>
      </c>
      <c r="H1025" s="34"/>
      <c r="I1025" s="34"/>
    </row>
    <row r="1026">
      <c r="A1026" s="32" t="s">
        <v>4052</v>
      </c>
      <c r="B1026" s="32" t="s">
        <v>10735</v>
      </c>
      <c r="C1026" s="32" t="s">
        <v>10736</v>
      </c>
      <c r="D1026" s="32" t="s">
        <v>10737</v>
      </c>
      <c r="E1026" s="32" t="s">
        <v>10738</v>
      </c>
      <c r="F1026" s="33" t="s">
        <v>10739</v>
      </c>
      <c r="G1026" s="35" t="s">
        <v>10740</v>
      </c>
      <c r="H1026" s="34"/>
      <c r="I1026" s="34"/>
    </row>
    <row r="1027">
      <c r="A1027" s="32" t="s">
        <v>4058</v>
      </c>
      <c r="B1027" s="32" t="s">
        <v>10741</v>
      </c>
      <c r="C1027" s="32" t="s">
        <v>10742</v>
      </c>
      <c r="D1027" s="32" t="s">
        <v>10743</v>
      </c>
      <c r="E1027" s="32" t="s">
        <v>10744</v>
      </c>
      <c r="F1027" s="33" t="s">
        <v>10745</v>
      </c>
      <c r="G1027" s="35" t="s">
        <v>10746</v>
      </c>
      <c r="H1027" s="34"/>
      <c r="I1027" s="34"/>
    </row>
    <row r="1028">
      <c r="A1028" s="32" t="s">
        <v>4066</v>
      </c>
      <c r="B1028" s="32" t="s">
        <v>10747</v>
      </c>
      <c r="C1028" s="32" t="s">
        <v>10748</v>
      </c>
      <c r="D1028" s="32" t="s">
        <v>10749</v>
      </c>
      <c r="E1028" s="32" t="s">
        <v>10750</v>
      </c>
      <c r="F1028" s="33" t="s">
        <v>10751</v>
      </c>
      <c r="G1028" s="35" t="s">
        <v>10752</v>
      </c>
      <c r="H1028" s="34"/>
      <c r="I1028" s="34"/>
    </row>
    <row r="1029">
      <c r="A1029" s="32" t="s">
        <v>4072</v>
      </c>
      <c r="B1029" s="32" t="s">
        <v>10753</v>
      </c>
      <c r="C1029" s="32" t="s">
        <v>10754</v>
      </c>
      <c r="D1029" s="32" t="s">
        <v>10755</v>
      </c>
      <c r="E1029" s="32" t="s">
        <v>10756</v>
      </c>
      <c r="F1029" s="33" t="s">
        <v>10757</v>
      </c>
      <c r="G1029" s="35" t="s">
        <v>10758</v>
      </c>
      <c r="H1029" s="34"/>
      <c r="I1029" s="34"/>
    </row>
    <row r="1030">
      <c r="A1030" s="32" t="s">
        <v>4076</v>
      </c>
      <c r="B1030" s="32" t="s">
        <v>10759</v>
      </c>
      <c r="C1030" s="32" t="s">
        <v>10760</v>
      </c>
      <c r="D1030" s="32" t="s">
        <v>10761</v>
      </c>
      <c r="E1030" s="32" t="s">
        <v>10762</v>
      </c>
      <c r="F1030" s="33" t="s">
        <v>10763</v>
      </c>
      <c r="G1030" s="35" t="s">
        <v>10764</v>
      </c>
      <c r="H1030" s="34"/>
      <c r="I1030" s="34"/>
    </row>
    <row r="1031">
      <c r="A1031" s="32" t="s">
        <v>4085</v>
      </c>
      <c r="B1031" s="32" t="s">
        <v>10765</v>
      </c>
      <c r="C1031" s="32" t="s">
        <v>10766</v>
      </c>
      <c r="D1031" s="32" t="s">
        <v>10767</v>
      </c>
      <c r="E1031" s="32" t="s">
        <v>10768</v>
      </c>
      <c r="F1031" s="33" t="s">
        <v>10769</v>
      </c>
      <c r="G1031" s="35" t="s">
        <v>10770</v>
      </c>
      <c r="H1031" s="34"/>
      <c r="I1031" s="34"/>
    </row>
    <row r="1032">
      <c r="A1032" s="32" t="s">
        <v>4089</v>
      </c>
      <c r="B1032" s="32" t="s">
        <v>10771</v>
      </c>
      <c r="C1032" s="32" t="s">
        <v>10772</v>
      </c>
      <c r="D1032" s="32" t="s">
        <v>10773</v>
      </c>
      <c r="E1032" s="32" t="s">
        <v>10774</v>
      </c>
      <c r="F1032" s="33" t="s">
        <v>10775</v>
      </c>
      <c r="G1032" s="35" t="s">
        <v>10776</v>
      </c>
      <c r="H1032" s="34"/>
      <c r="I1032" s="34"/>
    </row>
    <row r="1033">
      <c r="A1033" s="32" t="s">
        <v>4093</v>
      </c>
      <c r="B1033" s="32" t="s">
        <v>10777</v>
      </c>
      <c r="C1033" s="32" t="s">
        <v>10778</v>
      </c>
      <c r="D1033" s="32" t="s">
        <v>10779</v>
      </c>
      <c r="E1033" s="32" t="s">
        <v>10780</v>
      </c>
      <c r="F1033" s="33" t="s">
        <v>10781</v>
      </c>
      <c r="G1033" s="35" t="s">
        <v>10782</v>
      </c>
      <c r="H1033" s="34"/>
      <c r="I1033" s="34"/>
    </row>
    <row r="1034">
      <c r="A1034" s="32" t="s">
        <v>4097</v>
      </c>
      <c r="B1034" s="32" t="s">
        <v>10783</v>
      </c>
      <c r="C1034" s="32" t="s">
        <v>10784</v>
      </c>
      <c r="D1034" s="32" t="s">
        <v>10785</v>
      </c>
      <c r="E1034" s="32" t="s">
        <v>10786</v>
      </c>
      <c r="F1034" s="33" t="s">
        <v>10787</v>
      </c>
      <c r="G1034" s="35" t="s">
        <v>10788</v>
      </c>
      <c r="H1034" s="34"/>
      <c r="I1034" s="34"/>
    </row>
    <row r="1035">
      <c r="A1035" s="32" t="s">
        <v>4103</v>
      </c>
      <c r="B1035" s="32" t="s">
        <v>10789</v>
      </c>
      <c r="C1035" s="32" t="s">
        <v>10790</v>
      </c>
      <c r="D1035" s="32" t="s">
        <v>10791</v>
      </c>
      <c r="E1035" s="32" t="s">
        <v>10792</v>
      </c>
      <c r="F1035" s="33" t="s">
        <v>10793</v>
      </c>
      <c r="G1035" s="35" t="s">
        <v>10794</v>
      </c>
      <c r="H1035" s="34"/>
      <c r="I1035" s="34"/>
    </row>
    <row r="1036">
      <c r="A1036" s="32" t="s">
        <v>4107</v>
      </c>
      <c r="B1036" s="32" t="s">
        <v>10795</v>
      </c>
      <c r="C1036" s="32" t="s">
        <v>10796</v>
      </c>
      <c r="D1036" s="32" t="s">
        <v>10797</v>
      </c>
      <c r="E1036" s="32" t="s">
        <v>10798</v>
      </c>
      <c r="F1036" s="33" t="s">
        <v>10799</v>
      </c>
      <c r="G1036" s="35" t="s">
        <v>10800</v>
      </c>
      <c r="H1036" s="34"/>
      <c r="I1036" s="34"/>
    </row>
    <row r="1037">
      <c r="A1037" s="32" t="s">
        <v>4111</v>
      </c>
      <c r="B1037" s="32" t="s">
        <v>10801</v>
      </c>
      <c r="C1037" s="32" t="s">
        <v>10802</v>
      </c>
      <c r="D1037" s="32" t="s">
        <v>10803</v>
      </c>
      <c r="E1037" s="32" t="s">
        <v>10804</v>
      </c>
      <c r="F1037" s="33" t="s">
        <v>10805</v>
      </c>
      <c r="G1037" s="35" t="s">
        <v>10806</v>
      </c>
      <c r="H1037" s="34"/>
      <c r="I1037" s="34"/>
    </row>
    <row r="1038">
      <c r="A1038" s="32" t="s">
        <v>4115</v>
      </c>
      <c r="B1038" s="32" t="s">
        <v>10807</v>
      </c>
      <c r="C1038" s="32" t="s">
        <v>10808</v>
      </c>
      <c r="D1038" s="32" t="s">
        <v>10809</v>
      </c>
      <c r="E1038" s="32" t="s">
        <v>10810</v>
      </c>
      <c r="F1038" s="33" t="s">
        <v>10811</v>
      </c>
      <c r="G1038" s="35" t="s">
        <v>10812</v>
      </c>
      <c r="H1038" s="34"/>
      <c r="I1038" s="34"/>
    </row>
    <row r="1039">
      <c r="A1039" s="32" t="s">
        <v>4121</v>
      </c>
      <c r="B1039" s="32" t="s">
        <v>10813</v>
      </c>
      <c r="C1039" s="32" t="s">
        <v>10814</v>
      </c>
      <c r="D1039" s="32" t="s">
        <v>10815</v>
      </c>
      <c r="E1039" s="32" t="s">
        <v>10816</v>
      </c>
      <c r="F1039" s="33" t="s">
        <v>10817</v>
      </c>
      <c r="G1039" s="35" t="s">
        <v>10818</v>
      </c>
      <c r="H1039" s="34"/>
      <c r="I1039" s="34"/>
    </row>
    <row r="1040">
      <c r="A1040" s="32" t="s">
        <v>4127</v>
      </c>
      <c r="B1040" s="32" t="s">
        <v>10819</v>
      </c>
      <c r="C1040" s="32" t="s">
        <v>10820</v>
      </c>
      <c r="D1040" s="32" t="s">
        <v>10821</v>
      </c>
      <c r="E1040" s="32" t="s">
        <v>10822</v>
      </c>
      <c r="F1040" s="33" t="s">
        <v>10823</v>
      </c>
      <c r="G1040" s="35" t="s">
        <v>10824</v>
      </c>
      <c r="H1040" s="34"/>
      <c r="I1040" s="34"/>
    </row>
    <row r="1041">
      <c r="A1041" s="32" t="s">
        <v>4133</v>
      </c>
      <c r="B1041" s="32" t="s">
        <v>10825</v>
      </c>
      <c r="C1041" s="32" t="s">
        <v>10826</v>
      </c>
      <c r="D1041" s="32" t="s">
        <v>10827</v>
      </c>
      <c r="E1041" s="32" t="s">
        <v>10828</v>
      </c>
      <c r="F1041" s="33" t="s">
        <v>10829</v>
      </c>
      <c r="G1041" s="35" t="s">
        <v>10830</v>
      </c>
      <c r="H1041" s="34"/>
      <c r="I1041" s="34"/>
    </row>
    <row r="1042">
      <c r="A1042" s="32" t="s">
        <v>4140</v>
      </c>
      <c r="B1042" s="32" t="s">
        <v>10831</v>
      </c>
      <c r="C1042" s="32" t="s">
        <v>10832</v>
      </c>
      <c r="D1042" s="32" t="s">
        <v>10833</v>
      </c>
      <c r="E1042" s="32" t="s">
        <v>10834</v>
      </c>
      <c r="F1042" s="33" t="s">
        <v>10835</v>
      </c>
      <c r="G1042" s="35" t="s">
        <v>10836</v>
      </c>
      <c r="H1042" s="34"/>
      <c r="I1042" s="34"/>
    </row>
    <row r="1043">
      <c r="A1043" s="32" t="s">
        <v>4145</v>
      </c>
      <c r="B1043" s="32" t="s">
        <v>10837</v>
      </c>
      <c r="C1043" s="32" t="s">
        <v>10838</v>
      </c>
      <c r="D1043" s="32" t="s">
        <v>10839</v>
      </c>
      <c r="E1043" s="32" t="s">
        <v>10840</v>
      </c>
      <c r="F1043" s="33" t="s">
        <v>10841</v>
      </c>
      <c r="G1043" s="35" t="s">
        <v>10842</v>
      </c>
      <c r="H1043" s="34"/>
      <c r="I1043" s="34"/>
    </row>
    <row r="1044">
      <c r="A1044" s="32" t="s">
        <v>4149</v>
      </c>
      <c r="B1044" s="32" t="s">
        <v>10843</v>
      </c>
      <c r="C1044" s="32" t="s">
        <v>10844</v>
      </c>
      <c r="D1044" s="32" t="s">
        <v>10845</v>
      </c>
      <c r="E1044" s="32" t="s">
        <v>10846</v>
      </c>
      <c r="F1044" s="33" t="s">
        <v>10847</v>
      </c>
      <c r="G1044" s="35" t="s">
        <v>10848</v>
      </c>
      <c r="H1044" s="34"/>
      <c r="I1044" s="34"/>
    </row>
    <row r="1045">
      <c r="A1045" s="32" t="s">
        <v>4153</v>
      </c>
      <c r="B1045" s="32" t="s">
        <v>10849</v>
      </c>
      <c r="C1045" s="32" t="s">
        <v>10850</v>
      </c>
      <c r="D1045" s="32" t="s">
        <v>10851</v>
      </c>
      <c r="E1045" s="32" t="s">
        <v>10852</v>
      </c>
      <c r="F1045" s="33" t="s">
        <v>10853</v>
      </c>
      <c r="G1045" s="35" t="s">
        <v>10854</v>
      </c>
      <c r="H1045" s="34"/>
      <c r="I1045" s="34"/>
    </row>
    <row r="1046">
      <c r="A1046" s="32" t="s">
        <v>4159</v>
      </c>
      <c r="B1046" s="32" t="s">
        <v>10855</v>
      </c>
      <c r="C1046" s="32" t="s">
        <v>10856</v>
      </c>
      <c r="D1046" s="32" t="s">
        <v>10857</v>
      </c>
      <c r="E1046" s="32" t="s">
        <v>10858</v>
      </c>
      <c r="F1046" s="33" t="s">
        <v>10859</v>
      </c>
      <c r="G1046" s="35" t="s">
        <v>10860</v>
      </c>
      <c r="H1046" s="34"/>
      <c r="I1046" s="34"/>
    </row>
    <row r="1047">
      <c r="A1047" s="32" t="s">
        <v>4165</v>
      </c>
      <c r="B1047" s="32" t="s">
        <v>10861</v>
      </c>
      <c r="C1047" s="32" t="s">
        <v>10862</v>
      </c>
      <c r="D1047" s="32" t="s">
        <v>10863</v>
      </c>
      <c r="E1047" s="32" t="s">
        <v>10864</v>
      </c>
      <c r="F1047" s="33" t="s">
        <v>10865</v>
      </c>
      <c r="G1047" s="35" t="s">
        <v>10866</v>
      </c>
      <c r="H1047" s="34"/>
      <c r="I1047" s="34"/>
    </row>
    <row r="1048">
      <c r="A1048" s="32" t="s">
        <v>4169</v>
      </c>
      <c r="B1048" s="32" t="s">
        <v>10867</v>
      </c>
      <c r="C1048" s="32" t="s">
        <v>10868</v>
      </c>
      <c r="D1048" s="32" t="s">
        <v>10869</v>
      </c>
      <c r="E1048" s="32" t="s">
        <v>10870</v>
      </c>
      <c r="F1048" s="33" t="s">
        <v>10871</v>
      </c>
      <c r="G1048" s="35" t="s">
        <v>10872</v>
      </c>
      <c r="H1048" s="34"/>
      <c r="I1048" s="34"/>
    </row>
    <row r="1049">
      <c r="A1049" s="32" t="s">
        <v>4173</v>
      </c>
      <c r="B1049" s="32" t="s">
        <v>10873</v>
      </c>
      <c r="C1049" s="32" t="s">
        <v>10874</v>
      </c>
      <c r="D1049" s="32" t="s">
        <v>10875</v>
      </c>
      <c r="E1049" s="32" t="s">
        <v>10876</v>
      </c>
      <c r="F1049" s="33" t="s">
        <v>10877</v>
      </c>
      <c r="G1049" s="35" t="s">
        <v>10878</v>
      </c>
      <c r="H1049" s="34"/>
      <c r="I1049" s="34"/>
    </row>
    <row r="1050">
      <c r="A1050" s="32" t="s">
        <v>4177</v>
      </c>
      <c r="B1050" s="32" t="s">
        <v>10879</v>
      </c>
      <c r="C1050" s="32" t="s">
        <v>10880</v>
      </c>
      <c r="D1050" s="32" t="s">
        <v>10881</v>
      </c>
      <c r="E1050" s="32" t="s">
        <v>10882</v>
      </c>
      <c r="F1050" s="33" t="s">
        <v>10883</v>
      </c>
      <c r="G1050" s="35" t="s">
        <v>10884</v>
      </c>
      <c r="H1050" s="34"/>
      <c r="I1050" s="34"/>
    </row>
    <row r="1051">
      <c r="A1051" s="32" t="s">
        <v>4181</v>
      </c>
      <c r="B1051" s="32" t="s">
        <v>10885</v>
      </c>
      <c r="C1051" s="32" t="s">
        <v>10886</v>
      </c>
      <c r="D1051" s="32" t="s">
        <v>10887</v>
      </c>
      <c r="E1051" s="32" t="s">
        <v>10888</v>
      </c>
      <c r="F1051" s="33" t="s">
        <v>10889</v>
      </c>
      <c r="G1051" s="35" t="s">
        <v>10890</v>
      </c>
      <c r="H1051" s="34"/>
      <c r="I1051" s="34"/>
    </row>
    <row r="1052">
      <c r="A1052" s="32" t="s">
        <v>4185</v>
      </c>
      <c r="B1052" s="32" t="s">
        <v>10891</v>
      </c>
      <c r="C1052" s="32" t="s">
        <v>10892</v>
      </c>
      <c r="D1052" s="32" t="s">
        <v>10893</v>
      </c>
      <c r="E1052" s="32" t="s">
        <v>10894</v>
      </c>
      <c r="F1052" s="33" t="s">
        <v>10895</v>
      </c>
      <c r="G1052" s="35" t="s">
        <v>10896</v>
      </c>
      <c r="H1052" s="34"/>
      <c r="I1052" s="34"/>
    </row>
    <row r="1053">
      <c r="A1053" s="32" t="s">
        <v>4189</v>
      </c>
      <c r="B1053" s="32" t="s">
        <v>10897</v>
      </c>
      <c r="C1053" s="32" t="s">
        <v>10898</v>
      </c>
      <c r="D1053" s="32" t="s">
        <v>10899</v>
      </c>
      <c r="E1053" s="32" t="s">
        <v>10900</v>
      </c>
      <c r="F1053" s="33" t="s">
        <v>10901</v>
      </c>
      <c r="G1053" s="35" t="s">
        <v>10902</v>
      </c>
      <c r="H1053" s="34"/>
      <c r="I1053" s="34"/>
    </row>
    <row r="1054">
      <c r="A1054" s="32" t="s">
        <v>4195</v>
      </c>
      <c r="B1054" s="32" t="s">
        <v>10903</v>
      </c>
      <c r="C1054" s="32" t="s">
        <v>10904</v>
      </c>
      <c r="D1054" s="32" t="s">
        <v>10905</v>
      </c>
      <c r="E1054" s="32" t="s">
        <v>10906</v>
      </c>
      <c r="F1054" s="33" t="s">
        <v>10907</v>
      </c>
      <c r="G1054" s="35" t="s">
        <v>10908</v>
      </c>
      <c r="H1054" s="34"/>
      <c r="I1054" s="34"/>
    </row>
    <row r="1055">
      <c r="A1055" s="32" t="s">
        <v>4199</v>
      </c>
      <c r="B1055" s="32" t="s">
        <v>10909</v>
      </c>
      <c r="C1055" s="32" t="s">
        <v>10910</v>
      </c>
      <c r="D1055" s="32" t="s">
        <v>10911</v>
      </c>
      <c r="E1055" s="32" t="s">
        <v>10912</v>
      </c>
      <c r="F1055" s="33" t="s">
        <v>10913</v>
      </c>
      <c r="G1055" s="35" t="s">
        <v>10914</v>
      </c>
      <c r="H1055" s="34"/>
      <c r="I1055" s="34"/>
    </row>
    <row r="1056">
      <c r="A1056" s="32" t="s">
        <v>4203</v>
      </c>
      <c r="B1056" s="32" t="s">
        <v>10915</v>
      </c>
      <c r="C1056" s="32" t="s">
        <v>10916</v>
      </c>
      <c r="D1056" s="32" t="s">
        <v>10917</v>
      </c>
      <c r="E1056" s="32" t="s">
        <v>10918</v>
      </c>
      <c r="F1056" s="33" t="s">
        <v>10919</v>
      </c>
      <c r="G1056" s="35" t="s">
        <v>10920</v>
      </c>
      <c r="H1056" s="34"/>
      <c r="I1056" s="34"/>
    </row>
    <row r="1057">
      <c r="A1057" s="32" t="s">
        <v>4210</v>
      </c>
      <c r="B1057" s="32" t="s">
        <v>10921</v>
      </c>
      <c r="C1057" s="32" t="s">
        <v>10922</v>
      </c>
      <c r="D1057" s="32" t="s">
        <v>10923</v>
      </c>
      <c r="E1057" s="32" t="s">
        <v>10924</v>
      </c>
      <c r="F1057" s="33" t="s">
        <v>10925</v>
      </c>
      <c r="G1057" s="35" t="s">
        <v>10926</v>
      </c>
      <c r="H1057" s="34"/>
      <c r="I1057" s="34"/>
    </row>
    <row r="1058">
      <c r="A1058" s="32" t="s">
        <v>4218</v>
      </c>
      <c r="B1058" s="32" t="s">
        <v>10927</v>
      </c>
      <c r="C1058" s="32" t="s">
        <v>10928</v>
      </c>
      <c r="D1058" s="32" t="s">
        <v>10929</v>
      </c>
      <c r="E1058" s="32" t="s">
        <v>10930</v>
      </c>
      <c r="F1058" s="33" t="s">
        <v>10931</v>
      </c>
      <c r="G1058" s="35" t="s">
        <v>10932</v>
      </c>
      <c r="H1058" s="34"/>
      <c r="I1058" s="34"/>
    </row>
    <row r="1059">
      <c r="A1059" s="32" t="s">
        <v>4223</v>
      </c>
      <c r="B1059" s="32" t="s">
        <v>10933</v>
      </c>
      <c r="C1059" s="32" t="s">
        <v>10934</v>
      </c>
      <c r="D1059" s="32" t="s">
        <v>10935</v>
      </c>
      <c r="E1059" s="32" t="s">
        <v>10936</v>
      </c>
      <c r="F1059" s="33" t="s">
        <v>10937</v>
      </c>
      <c r="G1059" s="35" t="s">
        <v>10938</v>
      </c>
      <c r="H1059" s="34"/>
      <c r="I1059" s="34"/>
    </row>
    <row r="1060">
      <c r="A1060" s="32" t="s">
        <v>4227</v>
      </c>
      <c r="B1060" s="32" t="s">
        <v>10939</v>
      </c>
      <c r="C1060" s="32" t="s">
        <v>10940</v>
      </c>
      <c r="D1060" s="32" t="s">
        <v>10941</v>
      </c>
      <c r="E1060" s="32" t="s">
        <v>10942</v>
      </c>
      <c r="F1060" s="33" t="s">
        <v>10943</v>
      </c>
      <c r="G1060" s="35" t="s">
        <v>10944</v>
      </c>
      <c r="H1060" s="34"/>
      <c r="I1060" s="34"/>
    </row>
    <row r="1061">
      <c r="A1061" s="32" t="s">
        <v>4231</v>
      </c>
      <c r="B1061" s="32" t="s">
        <v>10945</v>
      </c>
      <c r="C1061" s="32" t="s">
        <v>10946</v>
      </c>
      <c r="D1061" s="32" t="s">
        <v>10947</v>
      </c>
      <c r="E1061" s="32" t="s">
        <v>10948</v>
      </c>
      <c r="F1061" s="33" t="s">
        <v>10949</v>
      </c>
      <c r="G1061" s="35" t="s">
        <v>10950</v>
      </c>
      <c r="H1061" s="34"/>
      <c r="I1061" s="34"/>
    </row>
    <row r="1062">
      <c r="A1062" s="32" t="s">
        <v>4235</v>
      </c>
      <c r="B1062" s="32" t="s">
        <v>10951</v>
      </c>
      <c r="C1062" s="32" t="s">
        <v>10952</v>
      </c>
      <c r="D1062" s="32" t="s">
        <v>10953</v>
      </c>
      <c r="E1062" s="32" t="s">
        <v>10954</v>
      </c>
      <c r="F1062" s="33" t="s">
        <v>10955</v>
      </c>
      <c r="G1062" s="35" t="s">
        <v>10956</v>
      </c>
      <c r="H1062" s="34"/>
      <c r="I1062" s="34"/>
    </row>
    <row r="1063">
      <c r="A1063" s="32" t="s">
        <v>4241</v>
      </c>
      <c r="B1063" s="32" t="s">
        <v>10957</v>
      </c>
      <c r="C1063" s="32" t="s">
        <v>10958</v>
      </c>
      <c r="D1063" s="32" t="s">
        <v>10959</v>
      </c>
      <c r="E1063" s="32" t="s">
        <v>10960</v>
      </c>
      <c r="F1063" s="33" t="s">
        <v>10961</v>
      </c>
      <c r="G1063" s="35" t="s">
        <v>10962</v>
      </c>
      <c r="H1063" s="34"/>
      <c r="I1063" s="34"/>
    </row>
    <row r="1064">
      <c r="A1064" s="32" t="s">
        <v>4245</v>
      </c>
      <c r="B1064" s="32" t="s">
        <v>10963</v>
      </c>
      <c r="C1064" s="32" t="s">
        <v>10964</v>
      </c>
      <c r="D1064" s="32" t="s">
        <v>10965</v>
      </c>
      <c r="E1064" s="32" t="s">
        <v>10966</v>
      </c>
      <c r="F1064" s="33" t="s">
        <v>10967</v>
      </c>
      <c r="G1064" s="35" t="s">
        <v>10968</v>
      </c>
      <c r="H1064" s="34"/>
      <c r="I1064" s="34"/>
    </row>
    <row r="1065">
      <c r="A1065" s="32" t="s">
        <v>4249</v>
      </c>
      <c r="B1065" s="32" t="s">
        <v>10969</v>
      </c>
      <c r="C1065" s="32" t="s">
        <v>10970</v>
      </c>
      <c r="D1065" s="32" t="s">
        <v>10971</v>
      </c>
      <c r="E1065" s="32" t="s">
        <v>10972</v>
      </c>
      <c r="F1065" s="33" t="s">
        <v>10973</v>
      </c>
      <c r="G1065" s="35" t="s">
        <v>10974</v>
      </c>
      <c r="H1065" s="34"/>
      <c r="I1065" s="34"/>
    </row>
    <row r="1066">
      <c r="A1066" s="32" t="s">
        <v>4256</v>
      </c>
      <c r="B1066" s="32" t="s">
        <v>10975</v>
      </c>
      <c r="C1066" s="32" t="s">
        <v>10976</v>
      </c>
      <c r="D1066" s="32" t="s">
        <v>10977</v>
      </c>
      <c r="E1066" s="32" t="s">
        <v>10978</v>
      </c>
      <c r="F1066" s="33" t="s">
        <v>10979</v>
      </c>
      <c r="G1066" s="35" t="s">
        <v>10980</v>
      </c>
      <c r="H1066" s="34"/>
      <c r="I1066" s="34"/>
    </row>
    <row r="1067">
      <c r="A1067" s="32" t="s">
        <v>4260</v>
      </c>
      <c r="B1067" s="32" t="s">
        <v>10981</v>
      </c>
      <c r="C1067" s="32" t="s">
        <v>10982</v>
      </c>
      <c r="D1067" s="32" t="s">
        <v>10983</v>
      </c>
      <c r="E1067" s="32" t="s">
        <v>10984</v>
      </c>
      <c r="F1067" s="33" t="s">
        <v>10985</v>
      </c>
      <c r="G1067" s="35" t="s">
        <v>10986</v>
      </c>
      <c r="H1067" s="34"/>
      <c r="I1067" s="34"/>
    </row>
    <row r="1068">
      <c r="A1068" s="32" t="s">
        <v>4264</v>
      </c>
      <c r="B1068" s="32" t="s">
        <v>10987</v>
      </c>
      <c r="C1068" s="32" t="s">
        <v>10988</v>
      </c>
      <c r="D1068" s="32" t="s">
        <v>10989</v>
      </c>
      <c r="E1068" s="32" t="s">
        <v>10990</v>
      </c>
      <c r="F1068" s="33" t="s">
        <v>10991</v>
      </c>
      <c r="G1068" s="35" t="s">
        <v>10992</v>
      </c>
      <c r="H1068" s="34"/>
      <c r="I1068" s="34"/>
    </row>
    <row r="1069">
      <c r="A1069" s="32" t="s">
        <v>4268</v>
      </c>
      <c r="B1069" s="32" t="s">
        <v>10993</v>
      </c>
      <c r="C1069" s="32" t="s">
        <v>10994</v>
      </c>
      <c r="D1069" s="32" t="s">
        <v>10995</v>
      </c>
      <c r="E1069" s="32" t="s">
        <v>10996</v>
      </c>
      <c r="F1069" s="33" t="s">
        <v>10997</v>
      </c>
      <c r="G1069" s="35" t="s">
        <v>10998</v>
      </c>
      <c r="H1069" s="34"/>
      <c r="I1069" s="34"/>
    </row>
    <row r="1070">
      <c r="A1070" s="32" t="s">
        <v>4272</v>
      </c>
      <c r="B1070" s="32" t="s">
        <v>10999</v>
      </c>
      <c r="C1070" s="32" t="s">
        <v>11000</v>
      </c>
      <c r="D1070" s="32" t="s">
        <v>11001</v>
      </c>
      <c r="E1070" s="32" t="s">
        <v>11002</v>
      </c>
      <c r="F1070" s="33" t="s">
        <v>11003</v>
      </c>
      <c r="G1070" s="35" t="s">
        <v>11004</v>
      </c>
      <c r="H1070" s="34"/>
      <c r="I1070" s="34"/>
    </row>
    <row r="1071">
      <c r="A1071" s="32" t="s">
        <v>4276</v>
      </c>
      <c r="B1071" s="32" t="s">
        <v>11005</v>
      </c>
      <c r="C1071" s="32" t="s">
        <v>11006</v>
      </c>
      <c r="D1071" s="32" t="s">
        <v>11007</v>
      </c>
      <c r="E1071" s="32" t="s">
        <v>11008</v>
      </c>
      <c r="F1071" s="33" t="s">
        <v>11009</v>
      </c>
      <c r="G1071" s="35" t="s">
        <v>11010</v>
      </c>
      <c r="H1071" s="34"/>
      <c r="I1071" s="34"/>
    </row>
    <row r="1072">
      <c r="A1072" s="32" t="s">
        <v>4282</v>
      </c>
      <c r="B1072" s="32" t="s">
        <v>11011</v>
      </c>
      <c r="C1072" s="32" t="s">
        <v>11012</v>
      </c>
      <c r="D1072" s="32" t="s">
        <v>11013</v>
      </c>
      <c r="E1072" s="32" t="s">
        <v>11014</v>
      </c>
      <c r="F1072" s="33" t="s">
        <v>11015</v>
      </c>
      <c r="G1072" s="35" t="s">
        <v>11016</v>
      </c>
      <c r="H1072" s="34"/>
      <c r="I1072" s="34"/>
    </row>
    <row r="1073">
      <c r="A1073" s="32" t="s">
        <v>4286</v>
      </c>
      <c r="B1073" s="32" t="s">
        <v>11017</v>
      </c>
      <c r="C1073" s="32" t="s">
        <v>11018</v>
      </c>
      <c r="D1073" s="32" t="s">
        <v>11019</v>
      </c>
      <c r="E1073" s="32" t="s">
        <v>11020</v>
      </c>
      <c r="F1073" s="33" t="s">
        <v>11021</v>
      </c>
      <c r="G1073" s="35" t="s">
        <v>11022</v>
      </c>
      <c r="H1073" s="34"/>
      <c r="I1073" s="34"/>
    </row>
    <row r="1074">
      <c r="A1074" s="32" t="s">
        <v>4290</v>
      </c>
      <c r="B1074" s="32" t="s">
        <v>11023</v>
      </c>
      <c r="C1074" s="32" t="s">
        <v>11024</v>
      </c>
      <c r="D1074" s="32" t="s">
        <v>11025</v>
      </c>
      <c r="E1074" s="32" t="s">
        <v>11026</v>
      </c>
      <c r="F1074" s="33" t="s">
        <v>11027</v>
      </c>
      <c r="G1074" s="35" t="s">
        <v>11028</v>
      </c>
      <c r="H1074" s="34"/>
      <c r="I1074" s="34"/>
    </row>
    <row r="1075">
      <c r="A1075" s="32" t="s">
        <v>4296</v>
      </c>
      <c r="B1075" s="32" t="s">
        <v>11029</v>
      </c>
      <c r="C1075" s="32" t="s">
        <v>11030</v>
      </c>
      <c r="D1075" s="32" t="s">
        <v>11031</v>
      </c>
      <c r="E1075" s="32" t="s">
        <v>11032</v>
      </c>
      <c r="F1075" s="33" t="s">
        <v>11033</v>
      </c>
      <c r="G1075" s="35" t="s">
        <v>11034</v>
      </c>
      <c r="H1075" s="34"/>
      <c r="I1075" s="34"/>
    </row>
    <row r="1076">
      <c r="A1076" s="32" t="s">
        <v>4300</v>
      </c>
      <c r="B1076" s="32" t="s">
        <v>11035</v>
      </c>
      <c r="C1076" s="32" t="s">
        <v>11036</v>
      </c>
      <c r="D1076" s="32" t="s">
        <v>11037</v>
      </c>
      <c r="E1076" s="32" t="s">
        <v>11038</v>
      </c>
      <c r="F1076" s="33" t="s">
        <v>11039</v>
      </c>
      <c r="G1076" s="35" t="s">
        <v>11040</v>
      </c>
      <c r="H1076" s="34"/>
      <c r="I1076" s="34"/>
    </row>
    <row r="1077">
      <c r="A1077" s="32" t="s">
        <v>4304</v>
      </c>
      <c r="B1077" s="32" t="s">
        <v>11041</v>
      </c>
      <c r="C1077" s="32" t="s">
        <v>11042</v>
      </c>
      <c r="D1077" s="32" t="s">
        <v>11043</v>
      </c>
      <c r="E1077" s="32" t="s">
        <v>11044</v>
      </c>
      <c r="F1077" s="33" t="s">
        <v>11045</v>
      </c>
      <c r="G1077" s="35" t="s">
        <v>11046</v>
      </c>
      <c r="H1077" s="34"/>
      <c r="I1077" s="34"/>
    </row>
    <row r="1078">
      <c r="A1078" s="32" t="s">
        <v>4308</v>
      </c>
      <c r="B1078" s="32" t="s">
        <v>11047</v>
      </c>
      <c r="C1078" s="32" t="s">
        <v>11048</v>
      </c>
      <c r="D1078" s="32" t="s">
        <v>11049</v>
      </c>
      <c r="E1078" s="32" t="s">
        <v>11050</v>
      </c>
      <c r="F1078" s="33" t="s">
        <v>11051</v>
      </c>
      <c r="G1078" s="35" t="s">
        <v>11052</v>
      </c>
      <c r="H1078" s="34"/>
      <c r="I1078" s="34"/>
    </row>
    <row r="1079">
      <c r="A1079" s="32" t="s">
        <v>4312</v>
      </c>
      <c r="B1079" s="32" t="s">
        <v>11053</v>
      </c>
      <c r="C1079" s="32" t="s">
        <v>11054</v>
      </c>
      <c r="D1079" s="32" t="s">
        <v>11055</v>
      </c>
      <c r="E1079" s="32" t="s">
        <v>11056</v>
      </c>
      <c r="F1079" s="33" t="s">
        <v>11057</v>
      </c>
      <c r="G1079" s="35" t="s">
        <v>11058</v>
      </c>
      <c r="H1079" s="34"/>
      <c r="I1079" s="34"/>
    </row>
    <row r="1080">
      <c r="A1080" s="32" t="s">
        <v>4316</v>
      </c>
      <c r="B1080" s="32" t="s">
        <v>11059</v>
      </c>
      <c r="C1080" s="32" t="s">
        <v>11060</v>
      </c>
      <c r="D1080" s="32" t="s">
        <v>11061</v>
      </c>
      <c r="E1080" s="32" t="s">
        <v>11062</v>
      </c>
      <c r="F1080" s="33" t="s">
        <v>11063</v>
      </c>
      <c r="G1080" s="35" t="s">
        <v>11064</v>
      </c>
      <c r="H1080" s="34"/>
      <c r="I1080" s="34"/>
    </row>
    <row r="1081">
      <c r="A1081" s="32" t="s">
        <v>4320</v>
      </c>
      <c r="B1081" s="32" t="s">
        <v>11065</v>
      </c>
      <c r="C1081" s="32" t="s">
        <v>11066</v>
      </c>
      <c r="D1081" s="32" t="s">
        <v>11067</v>
      </c>
      <c r="E1081" s="32" t="s">
        <v>11068</v>
      </c>
      <c r="F1081" s="33" t="s">
        <v>11069</v>
      </c>
      <c r="G1081" s="35" t="s">
        <v>11070</v>
      </c>
      <c r="H1081" s="34"/>
      <c r="I1081" s="34"/>
    </row>
    <row r="1082">
      <c r="A1082" s="32" t="s">
        <v>4324</v>
      </c>
      <c r="B1082" s="32" t="s">
        <v>11071</v>
      </c>
      <c r="C1082" s="32" t="s">
        <v>11072</v>
      </c>
      <c r="D1082" s="32" t="s">
        <v>11073</v>
      </c>
      <c r="E1082" s="32" t="s">
        <v>11074</v>
      </c>
      <c r="F1082" s="33" t="s">
        <v>11075</v>
      </c>
      <c r="G1082" s="35" t="s">
        <v>11076</v>
      </c>
      <c r="H1082" s="34"/>
      <c r="I1082" s="34"/>
    </row>
    <row r="1083">
      <c r="A1083" s="32" t="s">
        <v>4328</v>
      </c>
      <c r="B1083" s="32" t="s">
        <v>11077</v>
      </c>
      <c r="C1083" s="32" t="s">
        <v>11078</v>
      </c>
      <c r="D1083" s="32" t="s">
        <v>11079</v>
      </c>
      <c r="E1083" s="32" t="s">
        <v>11080</v>
      </c>
      <c r="F1083" s="33" t="s">
        <v>11081</v>
      </c>
      <c r="G1083" s="35" t="s">
        <v>11082</v>
      </c>
      <c r="H1083" s="34"/>
      <c r="I1083" s="34"/>
    </row>
    <row r="1084">
      <c r="A1084" s="32" t="s">
        <v>4332</v>
      </c>
      <c r="B1084" s="32" t="s">
        <v>11083</v>
      </c>
      <c r="C1084" s="32" t="s">
        <v>11084</v>
      </c>
      <c r="D1084" s="32" t="s">
        <v>11085</v>
      </c>
      <c r="E1084" s="32" t="s">
        <v>11086</v>
      </c>
      <c r="F1084" s="33" t="s">
        <v>11087</v>
      </c>
      <c r="G1084" s="35" t="s">
        <v>11088</v>
      </c>
      <c r="H1084" s="34"/>
      <c r="I1084" s="34"/>
    </row>
    <row r="1085">
      <c r="A1085" s="32" t="s">
        <v>4336</v>
      </c>
      <c r="B1085" s="32" t="s">
        <v>11089</v>
      </c>
      <c r="C1085" s="32" t="s">
        <v>11090</v>
      </c>
      <c r="D1085" s="32" t="s">
        <v>11091</v>
      </c>
      <c r="E1085" s="32" t="s">
        <v>11092</v>
      </c>
      <c r="F1085" s="33" t="s">
        <v>11093</v>
      </c>
      <c r="G1085" s="35" t="s">
        <v>11094</v>
      </c>
      <c r="H1085" s="34"/>
      <c r="I1085" s="34"/>
    </row>
    <row r="1086">
      <c r="A1086" s="32" t="s">
        <v>4340</v>
      </c>
      <c r="B1086" s="32" t="s">
        <v>11095</v>
      </c>
      <c r="C1086" s="32" t="s">
        <v>11096</v>
      </c>
      <c r="D1086" s="32" t="s">
        <v>11097</v>
      </c>
      <c r="E1086" s="32" t="s">
        <v>11098</v>
      </c>
      <c r="F1086" s="33" t="s">
        <v>11099</v>
      </c>
      <c r="G1086" s="35" t="s">
        <v>11100</v>
      </c>
      <c r="H1086" s="34"/>
      <c r="I1086" s="34"/>
    </row>
    <row r="1087">
      <c r="A1087" s="32" t="s">
        <v>4344</v>
      </c>
      <c r="B1087" s="32" t="s">
        <v>11101</v>
      </c>
      <c r="C1087" s="32" t="s">
        <v>11102</v>
      </c>
      <c r="D1087" s="32" t="s">
        <v>11103</v>
      </c>
      <c r="E1087" s="32" t="s">
        <v>11104</v>
      </c>
      <c r="F1087" s="33" t="s">
        <v>11105</v>
      </c>
      <c r="G1087" s="35" t="s">
        <v>11106</v>
      </c>
      <c r="H1087" s="34"/>
      <c r="I1087" s="34"/>
    </row>
    <row r="1088">
      <c r="A1088" s="32" t="s">
        <v>4350</v>
      </c>
      <c r="B1088" s="32" t="s">
        <v>11107</v>
      </c>
      <c r="C1088" s="32" t="s">
        <v>11108</v>
      </c>
      <c r="D1088" s="32" t="s">
        <v>11109</v>
      </c>
      <c r="E1088" s="32" t="s">
        <v>11110</v>
      </c>
      <c r="F1088" s="33" t="s">
        <v>11111</v>
      </c>
      <c r="G1088" s="35" t="s">
        <v>11112</v>
      </c>
      <c r="H1088" s="34"/>
      <c r="I1088" s="34"/>
    </row>
    <row r="1089">
      <c r="A1089" s="32" t="s">
        <v>4354</v>
      </c>
      <c r="B1089" s="32" t="s">
        <v>11113</v>
      </c>
      <c r="C1089" s="32" t="s">
        <v>11114</v>
      </c>
      <c r="D1089" s="32" t="s">
        <v>11115</v>
      </c>
      <c r="E1089" s="32" t="s">
        <v>11116</v>
      </c>
      <c r="F1089" s="33" t="s">
        <v>11117</v>
      </c>
      <c r="G1089" s="35" t="s">
        <v>11118</v>
      </c>
      <c r="H1089" s="34"/>
      <c r="I1089" s="34"/>
    </row>
    <row r="1090">
      <c r="A1090" s="32" t="s">
        <v>4358</v>
      </c>
      <c r="B1090" s="32" t="s">
        <v>11119</v>
      </c>
      <c r="C1090" s="32" t="s">
        <v>11120</v>
      </c>
      <c r="D1090" s="32" t="s">
        <v>11121</v>
      </c>
      <c r="E1090" s="32" t="s">
        <v>11122</v>
      </c>
      <c r="F1090" s="33" t="s">
        <v>11123</v>
      </c>
      <c r="G1090" s="35" t="s">
        <v>11124</v>
      </c>
      <c r="H1090" s="34"/>
      <c r="I1090" s="34"/>
    </row>
    <row r="1091">
      <c r="A1091" s="32" t="s">
        <v>4362</v>
      </c>
      <c r="B1091" s="32" t="s">
        <v>11125</v>
      </c>
      <c r="C1091" s="32" t="s">
        <v>11126</v>
      </c>
      <c r="D1091" s="32" t="s">
        <v>11127</v>
      </c>
      <c r="E1091" s="32" t="s">
        <v>11128</v>
      </c>
      <c r="F1091" s="33" t="s">
        <v>11129</v>
      </c>
      <c r="G1091" s="35" t="s">
        <v>11130</v>
      </c>
      <c r="H1091" s="34"/>
      <c r="I1091" s="34"/>
    </row>
    <row r="1092">
      <c r="A1092" s="32" t="s">
        <v>4366</v>
      </c>
      <c r="B1092" s="32" t="s">
        <v>11131</v>
      </c>
      <c r="C1092" s="32" t="s">
        <v>11132</v>
      </c>
      <c r="D1092" s="32" t="s">
        <v>11133</v>
      </c>
      <c r="E1092" s="32" t="s">
        <v>11134</v>
      </c>
      <c r="F1092" s="33" t="s">
        <v>11135</v>
      </c>
      <c r="G1092" s="35" t="s">
        <v>11136</v>
      </c>
      <c r="H1092" s="34"/>
      <c r="I1092" s="34"/>
    </row>
    <row r="1093">
      <c r="A1093" s="32" t="s">
        <v>4372</v>
      </c>
      <c r="B1093" s="32" t="s">
        <v>11137</v>
      </c>
      <c r="C1093" s="32" t="s">
        <v>11138</v>
      </c>
      <c r="D1093" s="32" t="s">
        <v>11139</v>
      </c>
      <c r="E1093" s="32" t="s">
        <v>11140</v>
      </c>
      <c r="F1093" s="33" t="s">
        <v>11141</v>
      </c>
      <c r="G1093" s="35" t="s">
        <v>11142</v>
      </c>
      <c r="H1093" s="34"/>
      <c r="I1093" s="34"/>
    </row>
    <row r="1094">
      <c r="A1094" s="32" t="s">
        <v>4376</v>
      </c>
      <c r="B1094" s="32" t="s">
        <v>11143</v>
      </c>
      <c r="C1094" s="32" t="s">
        <v>11144</v>
      </c>
      <c r="D1094" s="32" t="s">
        <v>11145</v>
      </c>
      <c r="E1094" s="32" t="s">
        <v>11146</v>
      </c>
      <c r="F1094" s="33" t="s">
        <v>11147</v>
      </c>
      <c r="G1094" s="35" t="s">
        <v>11148</v>
      </c>
      <c r="H1094" s="34"/>
      <c r="I1094" s="34"/>
    </row>
    <row r="1095">
      <c r="A1095" s="32" t="s">
        <v>4380</v>
      </c>
      <c r="B1095" s="32" t="s">
        <v>11149</v>
      </c>
      <c r="C1095" s="32" t="s">
        <v>11150</v>
      </c>
      <c r="D1095" s="32" t="s">
        <v>11151</v>
      </c>
      <c r="E1095" s="32" t="s">
        <v>11152</v>
      </c>
      <c r="F1095" s="33" t="s">
        <v>11153</v>
      </c>
      <c r="G1095" s="35" t="s">
        <v>11154</v>
      </c>
      <c r="H1095" s="34"/>
      <c r="I1095" s="34"/>
    </row>
    <row r="1096">
      <c r="A1096" s="32" t="s">
        <v>4384</v>
      </c>
      <c r="B1096" s="32" t="s">
        <v>11155</v>
      </c>
      <c r="C1096" s="32" t="s">
        <v>11156</v>
      </c>
      <c r="D1096" s="32" t="s">
        <v>11157</v>
      </c>
      <c r="E1096" s="32" t="s">
        <v>11158</v>
      </c>
      <c r="F1096" s="33" t="s">
        <v>11159</v>
      </c>
      <c r="G1096" s="35" t="s">
        <v>11160</v>
      </c>
      <c r="H1096" s="34"/>
      <c r="I1096" s="34"/>
    </row>
    <row r="1097">
      <c r="A1097" s="32" t="s">
        <v>4390</v>
      </c>
      <c r="B1097" s="32" t="s">
        <v>11161</v>
      </c>
      <c r="C1097" s="32" t="s">
        <v>11162</v>
      </c>
      <c r="D1097" s="32" t="s">
        <v>11163</v>
      </c>
      <c r="E1097" s="32" t="s">
        <v>11164</v>
      </c>
      <c r="F1097" s="33" t="s">
        <v>11165</v>
      </c>
      <c r="G1097" s="35" t="s">
        <v>11166</v>
      </c>
      <c r="H1097" s="34"/>
      <c r="I1097" s="34"/>
    </row>
    <row r="1098">
      <c r="A1098" s="32" t="s">
        <v>4397</v>
      </c>
      <c r="B1098" s="32" t="s">
        <v>11167</v>
      </c>
      <c r="C1098" s="32" t="s">
        <v>11168</v>
      </c>
      <c r="D1098" s="32" t="s">
        <v>11169</v>
      </c>
      <c r="E1098" s="32" t="s">
        <v>11170</v>
      </c>
      <c r="F1098" s="33" t="s">
        <v>11171</v>
      </c>
      <c r="G1098" s="35" t="s">
        <v>11172</v>
      </c>
      <c r="H1098" s="34"/>
      <c r="I1098" s="34"/>
    </row>
    <row r="1099">
      <c r="A1099" s="32" t="s">
        <v>4401</v>
      </c>
      <c r="B1099" s="32" t="s">
        <v>11173</v>
      </c>
      <c r="C1099" s="32" t="s">
        <v>11174</v>
      </c>
      <c r="D1099" s="32" t="s">
        <v>11175</v>
      </c>
      <c r="E1099" s="32" t="s">
        <v>11176</v>
      </c>
      <c r="F1099" s="33" t="s">
        <v>11177</v>
      </c>
      <c r="G1099" s="35" t="s">
        <v>11178</v>
      </c>
      <c r="H1099" s="34"/>
      <c r="I1099" s="34"/>
    </row>
    <row r="1100">
      <c r="A1100" s="32" t="s">
        <v>4405</v>
      </c>
      <c r="B1100" s="32" t="s">
        <v>11179</v>
      </c>
      <c r="C1100" s="32" t="s">
        <v>11180</v>
      </c>
      <c r="D1100" s="32" t="s">
        <v>11181</v>
      </c>
      <c r="E1100" s="32" t="s">
        <v>11182</v>
      </c>
      <c r="F1100" s="33" t="s">
        <v>11183</v>
      </c>
      <c r="G1100" s="35" t="s">
        <v>11184</v>
      </c>
      <c r="H1100" s="34"/>
      <c r="I1100" s="34"/>
    </row>
    <row r="1101">
      <c r="A1101" s="32" t="s">
        <v>4410</v>
      </c>
      <c r="B1101" s="32" t="s">
        <v>11185</v>
      </c>
      <c r="C1101" s="32" t="s">
        <v>11186</v>
      </c>
      <c r="D1101" s="32" t="s">
        <v>11187</v>
      </c>
      <c r="E1101" s="32" t="s">
        <v>11188</v>
      </c>
      <c r="F1101" s="33" t="s">
        <v>11189</v>
      </c>
      <c r="G1101" s="35" t="s">
        <v>11190</v>
      </c>
      <c r="H1101" s="34"/>
      <c r="I1101" s="34"/>
    </row>
    <row r="1102">
      <c r="A1102" s="32" t="s">
        <v>4414</v>
      </c>
      <c r="B1102" s="32" t="s">
        <v>11191</v>
      </c>
      <c r="C1102" s="32" t="s">
        <v>11192</v>
      </c>
      <c r="D1102" s="32" t="s">
        <v>11193</v>
      </c>
      <c r="E1102" s="32" t="s">
        <v>11194</v>
      </c>
      <c r="F1102" s="33" t="s">
        <v>11195</v>
      </c>
      <c r="G1102" s="35" t="s">
        <v>11196</v>
      </c>
      <c r="H1102" s="34"/>
      <c r="I1102" s="34"/>
    </row>
    <row r="1103">
      <c r="A1103" s="32" t="s">
        <v>4418</v>
      </c>
      <c r="B1103" s="32" t="s">
        <v>11197</v>
      </c>
      <c r="C1103" s="32" t="s">
        <v>11198</v>
      </c>
      <c r="D1103" s="32" t="s">
        <v>11199</v>
      </c>
      <c r="E1103" s="32" t="s">
        <v>11200</v>
      </c>
      <c r="F1103" s="33" t="s">
        <v>11201</v>
      </c>
      <c r="G1103" s="35" t="s">
        <v>11202</v>
      </c>
      <c r="H1103" s="34"/>
      <c r="I1103" s="34"/>
    </row>
    <row r="1104">
      <c r="A1104" s="32" t="s">
        <v>4422</v>
      </c>
      <c r="B1104" s="32" t="s">
        <v>11203</v>
      </c>
      <c r="C1104" s="32" t="s">
        <v>11204</v>
      </c>
      <c r="D1104" s="32" t="s">
        <v>11205</v>
      </c>
      <c r="E1104" s="32" t="s">
        <v>11206</v>
      </c>
      <c r="F1104" s="33" t="s">
        <v>11207</v>
      </c>
      <c r="G1104" s="35" t="s">
        <v>11208</v>
      </c>
      <c r="H1104" s="34"/>
      <c r="I1104" s="34"/>
    </row>
    <row r="1105">
      <c r="A1105" s="32" t="s">
        <v>4426</v>
      </c>
      <c r="B1105" s="32" t="s">
        <v>11209</v>
      </c>
      <c r="C1105" s="32" t="s">
        <v>11210</v>
      </c>
      <c r="D1105" s="32" t="s">
        <v>11211</v>
      </c>
      <c r="E1105" s="32" t="s">
        <v>11212</v>
      </c>
      <c r="F1105" s="33" t="s">
        <v>11213</v>
      </c>
      <c r="G1105" s="35" t="s">
        <v>11214</v>
      </c>
      <c r="H1105" s="34"/>
      <c r="I1105" s="34"/>
    </row>
    <row r="1106">
      <c r="A1106" s="32" t="s">
        <v>4430</v>
      </c>
      <c r="B1106" s="32" t="s">
        <v>11215</v>
      </c>
      <c r="C1106" s="32" t="s">
        <v>11216</v>
      </c>
      <c r="D1106" s="32" t="s">
        <v>11217</v>
      </c>
      <c r="E1106" s="32" t="s">
        <v>11218</v>
      </c>
      <c r="F1106" s="33" t="s">
        <v>11219</v>
      </c>
      <c r="G1106" s="35" t="s">
        <v>11220</v>
      </c>
      <c r="H1106" s="34"/>
      <c r="I1106" s="34"/>
    </row>
    <row r="1107">
      <c r="A1107" s="32" t="s">
        <v>4436</v>
      </c>
      <c r="B1107" s="32" t="s">
        <v>11221</v>
      </c>
      <c r="C1107" s="32" t="s">
        <v>11222</v>
      </c>
      <c r="D1107" s="32" t="s">
        <v>11223</v>
      </c>
      <c r="E1107" s="32" t="s">
        <v>11224</v>
      </c>
      <c r="F1107" s="33" t="s">
        <v>11225</v>
      </c>
      <c r="G1107" s="35" t="s">
        <v>11226</v>
      </c>
      <c r="H1107" s="34"/>
      <c r="I1107" s="34"/>
    </row>
    <row r="1108">
      <c r="A1108" s="32" t="s">
        <v>4442</v>
      </c>
      <c r="B1108" s="32" t="s">
        <v>11227</v>
      </c>
      <c r="C1108" s="32" t="s">
        <v>11228</v>
      </c>
      <c r="D1108" s="32" t="s">
        <v>11229</v>
      </c>
      <c r="E1108" s="32" t="s">
        <v>11230</v>
      </c>
      <c r="F1108" s="33" t="s">
        <v>11231</v>
      </c>
      <c r="G1108" s="35" t="s">
        <v>11232</v>
      </c>
      <c r="H1108" s="34"/>
      <c r="I1108" s="34"/>
    </row>
    <row r="1109">
      <c r="A1109" s="32" t="s">
        <v>4446</v>
      </c>
      <c r="B1109" s="32" t="s">
        <v>11233</v>
      </c>
      <c r="C1109" s="32" t="s">
        <v>11234</v>
      </c>
      <c r="D1109" s="32" t="s">
        <v>11235</v>
      </c>
      <c r="E1109" s="32" t="s">
        <v>11236</v>
      </c>
      <c r="F1109" s="33" t="s">
        <v>11237</v>
      </c>
      <c r="G1109" s="35" t="s">
        <v>11238</v>
      </c>
      <c r="H1109" s="34"/>
      <c r="I1109" s="34"/>
    </row>
    <row r="1110">
      <c r="A1110" s="32" t="s">
        <v>4450</v>
      </c>
      <c r="B1110" s="32" t="s">
        <v>11239</v>
      </c>
      <c r="C1110" s="32" t="s">
        <v>11240</v>
      </c>
      <c r="D1110" s="32" t="s">
        <v>11241</v>
      </c>
      <c r="E1110" s="32" t="s">
        <v>11242</v>
      </c>
      <c r="F1110" s="33" t="s">
        <v>11243</v>
      </c>
      <c r="G1110" s="35" t="s">
        <v>11244</v>
      </c>
      <c r="H1110" s="34"/>
      <c r="I1110" s="34"/>
    </row>
    <row r="1111">
      <c r="A1111" s="32" t="s">
        <v>4454</v>
      </c>
      <c r="B1111" s="32" t="s">
        <v>11245</v>
      </c>
      <c r="C1111" s="32" t="s">
        <v>11246</v>
      </c>
      <c r="D1111" s="32" t="s">
        <v>11247</v>
      </c>
      <c r="E1111" s="32" t="s">
        <v>11248</v>
      </c>
      <c r="F1111" s="33" t="s">
        <v>11249</v>
      </c>
      <c r="G1111" s="35" t="s">
        <v>11250</v>
      </c>
      <c r="H1111" s="34"/>
      <c r="I1111" s="34"/>
    </row>
    <row r="1112">
      <c r="A1112" s="32" t="s">
        <v>4458</v>
      </c>
      <c r="B1112" s="32" t="s">
        <v>11251</v>
      </c>
      <c r="C1112" s="32" t="s">
        <v>11252</v>
      </c>
      <c r="D1112" s="32" t="s">
        <v>11253</v>
      </c>
      <c r="E1112" s="32" t="s">
        <v>11254</v>
      </c>
      <c r="F1112" s="33" t="s">
        <v>11255</v>
      </c>
      <c r="G1112" s="35" t="s">
        <v>11256</v>
      </c>
      <c r="H1112" s="34"/>
      <c r="I1112" s="34"/>
    </row>
    <row r="1113">
      <c r="A1113" s="32" t="s">
        <v>4462</v>
      </c>
      <c r="B1113" s="32" t="s">
        <v>11257</v>
      </c>
      <c r="C1113" s="32" t="s">
        <v>11258</v>
      </c>
      <c r="D1113" s="32" t="s">
        <v>11259</v>
      </c>
      <c r="E1113" s="32" t="s">
        <v>11260</v>
      </c>
      <c r="F1113" s="33" t="s">
        <v>11261</v>
      </c>
      <c r="G1113" s="35" t="s">
        <v>11262</v>
      </c>
      <c r="H1113" s="34"/>
      <c r="I1113" s="34"/>
    </row>
    <row r="1114">
      <c r="A1114" s="32" t="s">
        <v>4468</v>
      </c>
      <c r="B1114" s="32" t="s">
        <v>11263</v>
      </c>
      <c r="C1114" s="32" t="s">
        <v>11264</v>
      </c>
      <c r="D1114" s="32" t="s">
        <v>11265</v>
      </c>
      <c r="E1114" s="32" t="s">
        <v>11266</v>
      </c>
      <c r="F1114" s="33" t="s">
        <v>11267</v>
      </c>
      <c r="G1114" s="35" t="s">
        <v>11268</v>
      </c>
      <c r="H1114" s="34"/>
      <c r="I1114" s="34"/>
    </row>
    <row r="1115">
      <c r="A1115" s="32" t="s">
        <v>4472</v>
      </c>
      <c r="B1115" s="32" t="s">
        <v>11269</v>
      </c>
      <c r="C1115" s="32" t="s">
        <v>11270</v>
      </c>
      <c r="D1115" s="32" t="s">
        <v>11271</v>
      </c>
      <c r="E1115" s="32" t="s">
        <v>11272</v>
      </c>
      <c r="F1115" s="33" t="s">
        <v>11273</v>
      </c>
      <c r="G1115" s="35" t="s">
        <v>11274</v>
      </c>
      <c r="H1115" s="34"/>
      <c r="I1115" s="34"/>
    </row>
    <row r="1116">
      <c r="A1116" s="32" t="s">
        <v>4478</v>
      </c>
      <c r="B1116" s="32" t="s">
        <v>11275</v>
      </c>
      <c r="C1116" s="32" t="s">
        <v>11276</v>
      </c>
      <c r="D1116" s="32" t="s">
        <v>11277</v>
      </c>
      <c r="E1116" s="32" t="s">
        <v>11278</v>
      </c>
      <c r="F1116" s="33" t="s">
        <v>11279</v>
      </c>
      <c r="G1116" s="35" t="s">
        <v>11280</v>
      </c>
      <c r="H1116" s="34"/>
      <c r="I1116" s="34"/>
    </row>
    <row r="1117">
      <c r="A1117" s="32" t="s">
        <v>4482</v>
      </c>
      <c r="B1117" s="32" t="s">
        <v>11281</v>
      </c>
      <c r="C1117" s="32" t="s">
        <v>11282</v>
      </c>
      <c r="D1117" s="32" t="s">
        <v>11283</v>
      </c>
      <c r="E1117" s="32" t="s">
        <v>11284</v>
      </c>
      <c r="F1117" s="33" t="s">
        <v>11285</v>
      </c>
      <c r="G1117" s="35" t="s">
        <v>11286</v>
      </c>
      <c r="H1117" s="34"/>
      <c r="I1117" s="34"/>
    </row>
    <row r="1118">
      <c r="A1118" s="32" t="s">
        <v>4486</v>
      </c>
      <c r="B1118" s="32" t="s">
        <v>11287</v>
      </c>
      <c r="C1118" s="32" t="s">
        <v>11288</v>
      </c>
      <c r="D1118" s="32" t="s">
        <v>11289</v>
      </c>
      <c r="E1118" s="32" t="s">
        <v>11290</v>
      </c>
      <c r="F1118" s="33" t="s">
        <v>11291</v>
      </c>
      <c r="G1118" s="35" t="s">
        <v>11292</v>
      </c>
      <c r="H1118" s="34"/>
      <c r="I1118" s="34"/>
    </row>
    <row r="1119">
      <c r="A1119" s="32" t="s">
        <v>4490</v>
      </c>
      <c r="B1119" s="32" t="s">
        <v>11293</v>
      </c>
      <c r="C1119" s="32" t="s">
        <v>11294</v>
      </c>
      <c r="D1119" s="32" t="s">
        <v>11295</v>
      </c>
      <c r="E1119" s="32" t="s">
        <v>11296</v>
      </c>
      <c r="F1119" s="33" t="s">
        <v>11297</v>
      </c>
      <c r="G1119" s="35" t="s">
        <v>11298</v>
      </c>
      <c r="H1119" s="34"/>
      <c r="I1119" s="34"/>
    </row>
    <row r="1120">
      <c r="A1120" s="32" t="s">
        <v>4498</v>
      </c>
      <c r="B1120" s="32" t="s">
        <v>11299</v>
      </c>
      <c r="C1120" s="32" t="s">
        <v>11300</v>
      </c>
      <c r="D1120" s="32" t="s">
        <v>11301</v>
      </c>
      <c r="E1120" s="32" t="s">
        <v>11302</v>
      </c>
      <c r="F1120" s="33" t="s">
        <v>11303</v>
      </c>
      <c r="G1120" s="35" t="s">
        <v>11304</v>
      </c>
      <c r="H1120" s="34"/>
      <c r="I1120" s="34"/>
    </row>
    <row r="1121">
      <c r="A1121" s="32" t="s">
        <v>4502</v>
      </c>
      <c r="B1121" s="32" t="s">
        <v>11305</v>
      </c>
      <c r="C1121" s="32" t="s">
        <v>11306</v>
      </c>
      <c r="D1121" s="32" t="s">
        <v>11307</v>
      </c>
      <c r="E1121" s="32" t="s">
        <v>11308</v>
      </c>
      <c r="F1121" s="33" t="s">
        <v>11309</v>
      </c>
      <c r="G1121" s="35" t="s">
        <v>11310</v>
      </c>
      <c r="H1121" s="34"/>
      <c r="I1121" s="34"/>
    </row>
    <row r="1122">
      <c r="A1122" s="32" t="s">
        <v>4506</v>
      </c>
      <c r="B1122" s="32" t="s">
        <v>11311</v>
      </c>
      <c r="C1122" s="32" t="s">
        <v>11312</v>
      </c>
      <c r="D1122" s="32" t="s">
        <v>11313</v>
      </c>
      <c r="E1122" s="32" t="s">
        <v>11314</v>
      </c>
      <c r="F1122" s="33" t="s">
        <v>11315</v>
      </c>
      <c r="G1122" s="35" t="s">
        <v>11316</v>
      </c>
      <c r="H1122" s="34"/>
      <c r="I1122" s="34"/>
    </row>
    <row r="1123">
      <c r="A1123" s="32" t="s">
        <v>4510</v>
      </c>
      <c r="B1123" s="32" t="s">
        <v>11317</v>
      </c>
      <c r="C1123" s="32" t="s">
        <v>11318</v>
      </c>
      <c r="D1123" s="32" t="s">
        <v>11319</v>
      </c>
      <c r="E1123" s="32" t="s">
        <v>11320</v>
      </c>
      <c r="F1123" s="33" t="s">
        <v>11321</v>
      </c>
      <c r="G1123" s="35" t="s">
        <v>11322</v>
      </c>
      <c r="H1123" s="34"/>
      <c r="I1123" s="34"/>
    </row>
    <row r="1124">
      <c r="A1124" s="32" t="s">
        <v>4514</v>
      </c>
      <c r="B1124" s="32" t="s">
        <v>11323</v>
      </c>
      <c r="C1124" s="32" t="s">
        <v>11324</v>
      </c>
      <c r="D1124" s="32" t="s">
        <v>11325</v>
      </c>
      <c r="E1124" s="32" t="s">
        <v>11326</v>
      </c>
      <c r="F1124" s="33" t="s">
        <v>11327</v>
      </c>
      <c r="G1124" s="35" t="s">
        <v>11328</v>
      </c>
      <c r="H1124" s="34"/>
      <c r="I1124" s="34"/>
    </row>
    <row r="1125">
      <c r="A1125" s="32" t="s">
        <v>4518</v>
      </c>
      <c r="B1125" s="32" t="s">
        <v>11329</v>
      </c>
      <c r="C1125" s="32" t="s">
        <v>11330</v>
      </c>
      <c r="D1125" s="32" t="s">
        <v>11331</v>
      </c>
      <c r="E1125" s="32" t="s">
        <v>11332</v>
      </c>
      <c r="F1125" s="33" t="s">
        <v>11333</v>
      </c>
      <c r="G1125" s="35" t="s">
        <v>11334</v>
      </c>
      <c r="H1125" s="34"/>
      <c r="I1125" s="34"/>
    </row>
    <row r="1126">
      <c r="A1126" s="32" t="s">
        <v>4522</v>
      </c>
      <c r="B1126" s="32" t="s">
        <v>11335</v>
      </c>
      <c r="C1126" s="32" t="s">
        <v>11336</v>
      </c>
      <c r="D1126" s="32" t="s">
        <v>11337</v>
      </c>
      <c r="E1126" s="32" t="s">
        <v>11338</v>
      </c>
      <c r="F1126" s="33" t="s">
        <v>11339</v>
      </c>
      <c r="G1126" s="35" t="s">
        <v>11340</v>
      </c>
      <c r="H1126" s="34"/>
      <c r="I1126" s="34"/>
    </row>
    <row r="1127">
      <c r="A1127" s="32" t="s">
        <v>4528</v>
      </c>
      <c r="B1127" s="32" t="s">
        <v>11341</v>
      </c>
      <c r="C1127" s="32" t="s">
        <v>11342</v>
      </c>
      <c r="D1127" s="32" t="s">
        <v>11343</v>
      </c>
      <c r="E1127" s="32" t="s">
        <v>11344</v>
      </c>
      <c r="F1127" s="33" t="s">
        <v>11345</v>
      </c>
      <c r="G1127" s="35" t="s">
        <v>11346</v>
      </c>
      <c r="H1127" s="34"/>
      <c r="I1127" s="34"/>
    </row>
    <row r="1128">
      <c r="A1128" s="32" t="s">
        <v>4532</v>
      </c>
      <c r="B1128" s="32" t="s">
        <v>11347</v>
      </c>
      <c r="C1128" s="32" t="s">
        <v>11348</v>
      </c>
      <c r="D1128" s="32" t="s">
        <v>11349</v>
      </c>
      <c r="E1128" s="32" t="s">
        <v>11350</v>
      </c>
      <c r="F1128" s="33" t="s">
        <v>11351</v>
      </c>
      <c r="G1128" s="35" t="s">
        <v>11352</v>
      </c>
      <c r="H1128" s="34"/>
      <c r="I1128" s="34"/>
    </row>
    <row r="1129">
      <c r="A1129" s="32" t="s">
        <v>4538</v>
      </c>
      <c r="B1129" s="32" t="s">
        <v>11353</v>
      </c>
      <c r="C1129" s="32" t="s">
        <v>11354</v>
      </c>
      <c r="D1129" s="32" t="s">
        <v>11355</v>
      </c>
      <c r="E1129" s="32" t="s">
        <v>11356</v>
      </c>
      <c r="F1129" s="33" t="s">
        <v>11357</v>
      </c>
      <c r="G1129" s="35" t="s">
        <v>11358</v>
      </c>
      <c r="H1129" s="34"/>
      <c r="I1129" s="34"/>
    </row>
    <row r="1130">
      <c r="A1130" s="32" t="s">
        <v>4542</v>
      </c>
      <c r="B1130" s="32" t="s">
        <v>11359</v>
      </c>
      <c r="C1130" s="32" t="s">
        <v>11360</v>
      </c>
      <c r="D1130" s="32" t="s">
        <v>11361</v>
      </c>
      <c r="E1130" s="32" t="s">
        <v>11362</v>
      </c>
      <c r="F1130" s="33" t="s">
        <v>11363</v>
      </c>
      <c r="G1130" s="35" t="s">
        <v>11364</v>
      </c>
      <c r="H1130" s="34"/>
      <c r="I1130" s="34"/>
    </row>
    <row r="1131">
      <c r="A1131" s="32" t="s">
        <v>4549</v>
      </c>
      <c r="B1131" s="32" t="s">
        <v>11365</v>
      </c>
      <c r="C1131" s="32" t="s">
        <v>11366</v>
      </c>
      <c r="D1131" s="32" t="s">
        <v>11367</v>
      </c>
      <c r="E1131" s="32" t="s">
        <v>11368</v>
      </c>
      <c r="F1131" s="33" t="s">
        <v>11369</v>
      </c>
      <c r="G1131" s="35" t="s">
        <v>11370</v>
      </c>
      <c r="H1131" s="34"/>
      <c r="I1131" s="34"/>
    </row>
    <row r="1132">
      <c r="A1132" s="32" t="s">
        <v>4555</v>
      </c>
      <c r="B1132" s="32" t="s">
        <v>11371</v>
      </c>
      <c r="C1132" s="32" t="s">
        <v>11372</v>
      </c>
      <c r="D1132" s="32" t="s">
        <v>11373</v>
      </c>
      <c r="E1132" s="32" t="s">
        <v>11374</v>
      </c>
      <c r="F1132" s="33" t="s">
        <v>11375</v>
      </c>
      <c r="G1132" s="35" t="s">
        <v>11376</v>
      </c>
      <c r="H1132" s="34"/>
      <c r="I1132" s="34"/>
    </row>
    <row r="1133">
      <c r="A1133" s="32" t="s">
        <v>4559</v>
      </c>
      <c r="B1133" s="32" t="s">
        <v>11377</v>
      </c>
      <c r="C1133" s="32" t="s">
        <v>11378</v>
      </c>
      <c r="D1133" s="32" t="s">
        <v>11379</v>
      </c>
      <c r="E1133" s="32" t="s">
        <v>11380</v>
      </c>
      <c r="F1133" s="33" t="s">
        <v>11381</v>
      </c>
      <c r="G1133" s="35" t="s">
        <v>11382</v>
      </c>
      <c r="H1133" s="34"/>
      <c r="I1133" s="34"/>
    </row>
    <row r="1134">
      <c r="A1134" s="32" t="s">
        <v>4563</v>
      </c>
      <c r="B1134" s="32" t="s">
        <v>11383</v>
      </c>
      <c r="C1134" s="32" t="s">
        <v>11384</v>
      </c>
      <c r="D1134" s="32" t="s">
        <v>11385</v>
      </c>
      <c r="E1134" s="32" t="s">
        <v>11386</v>
      </c>
      <c r="F1134" s="33" t="s">
        <v>11387</v>
      </c>
      <c r="G1134" s="35" t="s">
        <v>11388</v>
      </c>
      <c r="H1134" s="34"/>
      <c r="I1134" s="34"/>
    </row>
    <row r="1135">
      <c r="A1135" s="32" t="s">
        <v>4567</v>
      </c>
      <c r="B1135" s="32" t="s">
        <v>11389</v>
      </c>
      <c r="C1135" s="32" t="s">
        <v>11390</v>
      </c>
      <c r="D1135" s="32" t="s">
        <v>11391</v>
      </c>
      <c r="E1135" s="32" t="s">
        <v>11392</v>
      </c>
      <c r="F1135" s="33" t="s">
        <v>11393</v>
      </c>
      <c r="G1135" s="35" t="s">
        <v>11394</v>
      </c>
      <c r="H1135" s="34"/>
      <c r="I1135" s="34"/>
    </row>
    <row r="1136">
      <c r="A1136" s="32" t="s">
        <v>4571</v>
      </c>
      <c r="B1136" s="32" t="s">
        <v>11395</v>
      </c>
      <c r="C1136" s="32" t="s">
        <v>11396</v>
      </c>
      <c r="D1136" s="32" t="s">
        <v>11397</v>
      </c>
      <c r="E1136" s="32" t="s">
        <v>11398</v>
      </c>
      <c r="F1136" s="33" t="s">
        <v>11399</v>
      </c>
      <c r="G1136" s="35" t="s">
        <v>11400</v>
      </c>
      <c r="H1136" s="34"/>
      <c r="I1136" s="34"/>
    </row>
    <row r="1137">
      <c r="A1137" s="32" t="s">
        <v>4577</v>
      </c>
      <c r="B1137" s="32" t="s">
        <v>11401</v>
      </c>
      <c r="C1137" s="32" t="s">
        <v>11402</v>
      </c>
      <c r="D1137" s="32" t="s">
        <v>11403</v>
      </c>
      <c r="E1137" s="32" t="s">
        <v>11404</v>
      </c>
      <c r="F1137" s="33" t="s">
        <v>11405</v>
      </c>
      <c r="G1137" s="35" t="s">
        <v>11406</v>
      </c>
      <c r="H1137" s="34"/>
      <c r="I1137" s="34"/>
    </row>
    <row r="1138">
      <c r="A1138" s="32" t="s">
        <v>4581</v>
      </c>
      <c r="B1138" s="32" t="s">
        <v>11407</v>
      </c>
      <c r="C1138" s="32" t="s">
        <v>11408</v>
      </c>
      <c r="D1138" s="32" t="s">
        <v>11409</v>
      </c>
      <c r="E1138" s="32" t="s">
        <v>11410</v>
      </c>
      <c r="F1138" s="33" t="s">
        <v>11411</v>
      </c>
      <c r="G1138" s="35" t="s">
        <v>11412</v>
      </c>
      <c r="H1138" s="34"/>
      <c r="I1138" s="34"/>
    </row>
    <row r="1139">
      <c r="A1139" s="32" t="s">
        <v>4585</v>
      </c>
      <c r="B1139" s="32" t="s">
        <v>11413</v>
      </c>
      <c r="C1139" s="32" t="s">
        <v>11414</v>
      </c>
      <c r="D1139" s="32" t="s">
        <v>11415</v>
      </c>
      <c r="E1139" s="32" t="s">
        <v>11416</v>
      </c>
      <c r="F1139" s="33" t="s">
        <v>11417</v>
      </c>
      <c r="G1139" s="35" t="s">
        <v>11418</v>
      </c>
      <c r="H1139" s="34"/>
      <c r="I1139" s="34"/>
    </row>
    <row r="1140">
      <c r="A1140" s="32" t="s">
        <v>4589</v>
      </c>
      <c r="B1140" s="32" t="s">
        <v>11419</v>
      </c>
      <c r="C1140" s="32" t="s">
        <v>11420</v>
      </c>
      <c r="D1140" s="32" t="s">
        <v>11421</v>
      </c>
      <c r="E1140" s="32" t="s">
        <v>11422</v>
      </c>
      <c r="F1140" s="33" t="s">
        <v>11423</v>
      </c>
      <c r="G1140" s="35" t="s">
        <v>11424</v>
      </c>
      <c r="H1140" s="34"/>
      <c r="I1140" s="34"/>
    </row>
    <row r="1141">
      <c r="A1141" s="32" t="s">
        <v>4593</v>
      </c>
      <c r="B1141" s="32" t="s">
        <v>11425</v>
      </c>
      <c r="C1141" s="32" t="s">
        <v>11426</v>
      </c>
      <c r="D1141" s="32" t="s">
        <v>11427</v>
      </c>
      <c r="E1141" s="32" t="s">
        <v>11428</v>
      </c>
      <c r="F1141" s="33" t="s">
        <v>11429</v>
      </c>
      <c r="G1141" s="35" t="s">
        <v>11430</v>
      </c>
      <c r="H1141" s="34"/>
      <c r="I1141" s="34"/>
    </row>
    <row r="1142">
      <c r="A1142" s="32" t="s">
        <v>4597</v>
      </c>
      <c r="B1142" s="32" t="s">
        <v>11431</v>
      </c>
      <c r="C1142" s="32" t="s">
        <v>11432</v>
      </c>
      <c r="D1142" s="32" t="s">
        <v>11433</v>
      </c>
      <c r="E1142" s="32" t="s">
        <v>11434</v>
      </c>
      <c r="F1142" s="33" t="s">
        <v>11435</v>
      </c>
      <c r="G1142" s="35" t="s">
        <v>11436</v>
      </c>
      <c r="H1142" s="34"/>
      <c r="I1142" s="34"/>
    </row>
    <row r="1143">
      <c r="A1143" s="32" t="s">
        <v>4601</v>
      </c>
      <c r="B1143" s="32" t="s">
        <v>11437</v>
      </c>
      <c r="C1143" s="32" t="s">
        <v>11438</v>
      </c>
      <c r="D1143" s="32" t="s">
        <v>11439</v>
      </c>
      <c r="E1143" s="32" t="s">
        <v>11440</v>
      </c>
      <c r="F1143" s="33" t="s">
        <v>11441</v>
      </c>
      <c r="G1143" s="35" t="s">
        <v>11442</v>
      </c>
      <c r="H1143" s="34"/>
      <c r="I1143" s="34"/>
    </row>
    <row r="1144">
      <c r="A1144" s="32" t="s">
        <v>4605</v>
      </c>
      <c r="B1144" s="32" t="s">
        <v>11443</v>
      </c>
      <c r="C1144" s="32" t="s">
        <v>11444</v>
      </c>
      <c r="D1144" s="32" t="s">
        <v>11445</v>
      </c>
      <c r="E1144" s="32" t="s">
        <v>11446</v>
      </c>
      <c r="F1144" s="33" t="s">
        <v>11447</v>
      </c>
      <c r="G1144" s="35" t="s">
        <v>11448</v>
      </c>
      <c r="H1144" s="34"/>
      <c r="I1144" s="34"/>
    </row>
    <row r="1145">
      <c r="A1145" s="32" t="s">
        <v>4609</v>
      </c>
      <c r="B1145" s="32" t="s">
        <v>11449</v>
      </c>
      <c r="C1145" s="32" t="s">
        <v>11450</v>
      </c>
      <c r="D1145" s="32" t="s">
        <v>11451</v>
      </c>
      <c r="E1145" s="32" t="s">
        <v>11452</v>
      </c>
      <c r="F1145" s="33" t="s">
        <v>11453</v>
      </c>
      <c r="G1145" s="35" t="s">
        <v>11454</v>
      </c>
      <c r="H1145" s="34"/>
      <c r="I1145" s="34"/>
    </row>
    <row r="1146">
      <c r="A1146" s="32" t="s">
        <v>4613</v>
      </c>
      <c r="B1146" s="32" t="s">
        <v>11455</v>
      </c>
      <c r="C1146" s="32" t="s">
        <v>11456</v>
      </c>
      <c r="D1146" s="32" t="s">
        <v>11457</v>
      </c>
      <c r="E1146" s="32" t="s">
        <v>11458</v>
      </c>
      <c r="F1146" s="33" t="s">
        <v>11459</v>
      </c>
      <c r="G1146" s="35" t="s">
        <v>11460</v>
      </c>
      <c r="H1146" s="34"/>
      <c r="I1146" s="34"/>
    </row>
    <row r="1147">
      <c r="A1147" s="32" t="s">
        <v>4617</v>
      </c>
      <c r="B1147" s="32" t="s">
        <v>11461</v>
      </c>
      <c r="C1147" s="32" t="s">
        <v>11462</v>
      </c>
      <c r="D1147" s="32" t="s">
        <v>11463</v>
      </c>
      <c r="E1147" s="32" t="s">
        <v>11464</v>
      </c>
      <c r="F1147" s="33" t="s">
        <v>11465</v>
      </c>
      <c r="G1147" s="35" t="s">
        <v>11466</v>
      </c>
      <c r="H1147" s="34"/>
      <c r="I1147" s="34"/>
    </row>
    <row r="1148">
      <c r="A1148" s="32" t="s">
        <v>4621</v>
      </c>
      <c r="B1148" s="32" t="s">
        <v>11467</v>
      </c>
      <c r="C1148" s="32" t="s">
        <v>11468</v>
      </c>
      <c r="D1148" s="32" t="s">
        <v>11469</v>
      </c>
      <c r="E1148" s="32" t="s">
        <v>11470</v>
      </c>
      <c r="F1148" s="33" t="s">
        <v>11471</v>
      </c>
      <c r="G1148" s="35" t="s">
        <v>11472</v>
      </c>
      <c r="H1148" s="34"/>
      <c r="I1148" s="34"/>
    </row>
    <row r="1149">
      <c r="A1149" s="32" t="s">
        <v>4625</v>
      </c>
      <c r="B1149" s="32" t="s">
        <v>11473</v>
      </c>
      <c r="C1149" s="32" t="s">
        <v>11474</v>
      </c>
      <c r="D1149" s="32" t="s">
        <v>11475</v>
      </c>
      <c r="E1149" s="32" t="s">
        <v>11476</v>
      </c>
      <c r="F1149" s="33" t="s">
        <v>11477</v>
      </c>
      <c r="G1149" s="35" t="s">
        <v>11478</v>
      </c>
      <c r="H1149" s="34"/>
      <c r="I1149" s="34"/>
    </row>
    <row r="1150">
      <c r="A1150" s="32" t="s">
        <v>4629</v>
      </c>
      <c r="B1150" s="32" t="s">
        <v>11479</v>
      </c>
      <c r="C1150" s="32" t="s">
        <v>11480</v>
      </c>
      <c r="D1150" s="32" t="s">
        <v>11481</v>
      </c>
      <c r="E1150" s="32" t="s">
        <v>11482</v>
      </c>
      <c r="F1150" s="33" t="s">
        <v>11483</v>
      </c>
      <c r="G1150" s="35" t="s">
        <v>11484</v>
      </c>
      <c r="H1150" s="34"/>
      <c r="I1150" s="34"/>
    </row>
    <row r="1151">
      <c r="A1151" s="32" t="s">
        <v>4633</v>
      </c>
      <c r="B1151" s="32" t="s">
        <v>11485</v>
      </c>
      <c r="C1151" s="32" t="s">
        <v>11486</v>
      </c>
      <c r="D1151" s="32" t="s">
        <v>11487</v>
      </c>
      <c r="E1151" s="32" t="s">
        <v>11488</v>
      </c>
      <c r="F1151" s="33" t="s">
        <v>11489</v>
      </c>
      <c r="G1151" s="35" t="s">
        <v>11490</v>
      </c>
      <c r="H1151" s="34"/>
      <c r="I1151" s="34"/>
    </row>
    <row r="1152">
      <c r="A1152" s="32" t="s">
        <v>4637</v>
      </c>
      <c r="B1152" s="32" t="s">
        <v>11491</v>
      </c>
      <c r="C1152" s="32" t="s">
        <v>11492</v>
      </c>
      <c r="D1152" s="32" t="s">
        <v>11493</v>
      </c>
      <c r="E1152" s="32" t="s">
        <v>11494</v>
      </c>
      <c r="F1152" s="33" t="s">
        <v>11495</v>
      </c>
      <c r="G1152" s="35" t="s">
        <v>11496</v>
      </c>
      <c r="H1152" s="34"/>
      <c r="I1152" s="34"/>
    </row>
    <row r="1153">
      <c r="A1153" s="32" t="s">
        <v>4641</v>
      </c>
      <c r="B1153" s="32" t="s">
        <v>11497</v>
      </c>
      <c r="C1153" s="32" t="s">
        <v>11498</v>
      </c>
      <c r="D1153" s="32" t="s">
        <v>11499</v>
      </c>
      <c r="E1153" s="32" t="s">
        <v>11500</v>
      </c>
      <c r="F1153" s="33" t="s">
        <v>11501</v>
      </c>
      <c r="G1153" s="35" t="s">
        <v>11502</v>
      </c>
      <c r="H1153" s="34"/>
      <c r="I1153" s="34"/>
    </row>
    <row r="1154">
      <c r="A1154" s="32" t="s">
        <v>4645</v>
      </c>
      <c r="B1154" s="32" t="s">
        <v>11503</v>
      </c>
      <c r="C1154" s="32" t="s">
        <v>11504</v>
      </c>
      <c r="D1154" s="32" t="s">
        <v>11505</v>
      </c>
      <c r="E1154" s="32" t="s">
        <v>11506</v>
      </c>
      <c r="F1154" s="33" t="s">
        <v>11507</v>
      </c>
      <c r="G1154" s="35" t="s">
        <v>11508</v>
      </c>
      <c r="H1154" s="34"/>
      <c r="I1154" s="34"/>
    </row>
    <row r="1155">
      <c r="A1155" s="32" t="s">
        <v>4649</v>
      </c>
      <c r="B1155" s="32" t="s">
        <v>11509</v>
      </c>
      <c r="C1155" s="32" t="s">
        <v>11510</v>
      </c>
      <c r="D1155" s="32" t="s">
        <v>11511</v>
      </c>
      <c r="E1155" s="32" t="s">
        <v>11512</v>
      </c>
      <c r="F1155" s="33" t="s">
        <v>11513</v>
      </c>
      <c r="G1155" s="35" t="s">
        <v>11514</v>
      </c>
      <c r="H1155" s="34"/>
      <c r="I1155" s="34"/>
    </row>
    <row r="1156">
      <c r="A1156" s="32" t="s">
        <v>4653</v>
      </c>
      <c r="B1156" s="32" t="s">
        <v>11515</v>
      </c>
      <c r="C1156" s="32" t="s">
        <v>11516</v>
      </c>
      <c r="D1156" s="32" t="s">
        <v>11517</v>
      </c>
      <c r="E1156" s="32" t="s">
        <v>11518</v>
      </c>
      <c r="F1156" s="33" t="s">
        <v>11519</v>
      </c>
      <c r="G1156" s="35" t="s">
        <v>11520</v>
      </c>
      <c r="H1156" s="34"/>
      <c r="I1156" s="34"/>
    </row>
    <row r="1157">
      <c r="A1157" s="32" t="s">
        <v>4657</v>
      </c>
      <c r="B1157" s="32" t="s">
        <v>11521</v>
      </c>
      <c r="C1157" s="32" t="s">
        <v>11522</v>
      </c>
      <c r="D1157" s="32" t="s">
        <v>11523</v>
      </c>
      <c r="E1157" s="32" t="s">
        <v>11524</v>
      </c>
      <c r="F1157" s="33" t="s">
        <v>11525</v>
      </c>
      <c r="G1157" s="35" t="s">
        <v>11526</v>
      </c>
      <c r="H1157" s="34"/>
      <c r="I1157" s="34"/>
    </row>
    <row r="1158">
      <c r="A1158" s="32" t="s">
        <v>4661</v>
      </c>
      <c r="B1158" s="32" t="s">
        <v>11527</v>
      </c>
      <c r="C1158" s="32" t="s">
        <v>11528</v>
      </c>
      <c r="D1158" s="32" t="s">
        <v>11529</v>
      </c>
      <c r="E1158" s="32" t="s">
        <v>11530</v>
      </c>
      <c r="F1158" s="33" t="s">
        <v>11531</v>
      </c>
      <c r="G1158" s="35" t="s">
        <v>11532</v>
      </c>
      <c r="H1158" s="34"/>
      <c r="I1158" s="34"/>
    </row>
    <row r="1159">
      <c r="A1159" s="32" t="s">
        <v>4665</v>
      </c>
      <c r="B1159" s="32" t="s">
        <v>11533</v>
      </c>
      <c r="C1159" s="32" t="s">
        <v>11534</v>
      </c>
      <c r="D1159" s="32" t="s">
        <v>11535</v>
      </c>
      <c r="E1159" s="32" t="s">
        <v>11536</v>
      </c>
      <c r="F1159" s="33" t="s">
        <v>11537</v>
      </c>
      <c r="G1159" s="35" t="s">
        <v>11538</v>
      </c>
      <c r="H1159" s="34"/>
      <c r="I1159" s="34"/>
    </row>
    <row r="1160">
      <c r="A1160" s="32" t="s">
        <v>4674</v>
      </c>
      <c r="B1160" s="32" t="s">
        <v>11539</v>
      </c>
      <c r="C1160" s="32" t="s">
        <v>11540</v>
      </c>
      <c r="D1160" s="32" t="s">
        <v>11541</v>
      </c>
      <c r="E1160" s="32" t="s">
        <v>11542</v>
      </c>
      <c r="F1160" s="33" t="s">
        <v>11543</v>
      </c>
      <c r="G1160" s="35" t="s">
        <v>11544</v>
      </c>
      <c r="H1160" s="34"/>
      <c r="I1160" s="34"/>
    </row>
    <row r="1161">
      <c r="A1161" s="32" t="s">
        <v>4678</v>
      </c>
      <c r="B1161" s="32" t="s">
        <v>11545</v>
      </c>
      <c r="C1161" s="32" t="s">
        <v>11546</v>
      </c>
      <c r="D1161" s="32" t="s">
        <v>11547</v>
      </c>
      <c r="E1161" s="32" t="s">
        <v>11548</v>
      </c>
      <c r="F1161" s="33" t="s">
        <v>11549</v>
      </c>
      <c r="G1161" s="35" t="s">
        <v>11550</v>
      </c>
      <c r="H1161" s="34"/>
      <c r="I1161" s="34"/>
    </row>
    <row r="1162">
      <c r="A1162" s="32" t="s">
        <v>4683</v>
      </c>
      <c r="B1162" s="32" t="s">
        <v>11551</v>
      </c>
      <c r="C1162" s="32" t="s">
        <v>11552</v>
      </c>
      <c r="D1162" s="32" t="s">
        <v>11553</v>
      </c>
      <c r="E1162" s="32" t="s">
        <v>11554</v>
      </c>
      <c r="F1162" s="33" t="s">
        <v>11555</v>
      </c>
      <c r="G1162" s="35" t="s">
        <v>11556</v>
      </c>
      <c r="H1162" s="34"/>
      <c r="I1162" s="34"/>
    </row>
    <row r="1163">
      <c r="A1163" s="32" t="s">
        <v>4687</v>
      </c>
      <c r="B1163" s="32" t="s">
        <v>11557</v>
      </c>
      <c r="C1163" s="32" t="s">
        <v>11558</v>
      </c>
      <c r="D1163" s="32" t="s">
        <v>11559</v>
      </c>
      <c r="E1163" s="32" t="s">
        <v>11560</v>
      </c>
      <c r="F1163" s="33" t="s">
        <v>11561</v>
      </c>
      <c r="G1163" s="35" t="s">
        <v>11562</v>
      </c>
      <c r="H1163" s="34"/>
      <c r="I1163" s="34"/>
    </row>
    <row r="1164">
      <c r="A1164" s="32" t="s">
        <v>4691</v>
      </c>
      <c r="B1164" s="32" t="s">
        <v>11563</v>
      </c>
      <c r="C1164" s="32" t="s">
        <v>11564</v>
      </c>
      <c r="D1164" s="32" t="s">
        <v>11565</v>
      </c>
      <c r="E1164" s="32" t="s">
        <v>11566</v>
      </c>
      <c r="F1164" s="33" t="s">
        <v>11567</v>
      </c>
      <c r="G1164" s="35" t="s">
        <v>11568</v>
      </c>
      <c r="H1164" s="34"/>
      <c r="I1164" s="34"/>
    </row>
    <row r="1165">
      <c r="A1165" s="32" t="s">
        <v>4694</v>
      </c>
      <c r="B1165" s="32" t="s">
        <v>11569</v>
      </c>
      <c r="C1165" s="32" t="s">
        <v>11570</v>
      </c>
      <c r="D1165" s="32" t="s">
        <v>11571</v>
      </c>
      <c r="E1165" s="32" t="s">
        <v>11572</v>
      </c>
      <c r="F1165" s="33" t="s">
        <v>11573</v>
      </c>
      <c r="G1165" s="35" t="s">
        <v>11574</v>
      </c>
      <c r="H1165" s="34"/>
      <c r="I1165" s="34"/>
    </row>
    <row r="1166">
      <c r="A1166" s="32" t="s">
        <v>4698</v>
      </c>
      <c r="B1166" s="32" t="s">
        <v>11575</v>
      </c>
      <c r="C1166" s="32" t="s">
        <v>11576</v>
      </c>
      <c r="D1166" s="32" t="s">
        <v>11577</v>
      </c>
      <c r="E1166" s="32" t="s">
        <v>11578</v>
      </c>
      <c r="F1166" s="33" t="s">
        <v>11579</v>
      </c>
      <c r="G1166" s="35" t="s">
        <v>11580</v>
      </c>
      <c r="H1166" s="34"/>
      <c r="I1166" s="34"/>
    </row>
    <row r="1167">
      <c r="A1167" s="32" t="s">
        <v>4702</v>
      </c>
      <c r="B1167" s="32" t="s">
        <v>11581</v>
      </c>
      <c r="C1167" s="32" t="s">
        <v>11582</v>
      </c>
      <c r="D1167" s="32" t="s">
        <v>11583</v>
      </c>
      <c r="E1167" s="32" t="s">
        <v>11584</v>
      </c>
      <c r="F1167" s="33" t="s">
        <v>11585</v>
      </c>
      <c r="G1167" s="35" t="s">
        <v>11586</v>
      </c>
      <c r="H1167" s="34"/>
      <c r="I1167" s="34"/>
    </row>
    <row r="1168">
      <c r="A1168" s="32" t="s">
        <v>4706</v>
      </c>
      <c r="B1168" s="32" t="s">
        <v>11587</v>
      </c>
      <c r="C1168" s="32" t="s">
        <v>11588</v>
      </c>
      <c r="D1168" s="32" t="s">
        <v>11589</v>
      </c>
      <c r="E1168" s="32" t="s">
        <v>11590</v>
      </c>
      <c r="F1168" s="33" t="s">
        <v>11591</v>
      </c>
      <c r="G1168" s="35" t="s">
        <v>11592</v>
      </c>
      <c r="H1168" s="34"/>
      <c r="I1168" s="34"/>
    </row>
    <row r="1169">
      <c r="A1169" s="32" t="s">
        <v>4710</v>
      </c>
      <c r="B1169" s="32" t="s">
        <v>11593</v>
      </c>
      <c r="C1169" s="32" t="s">
        <v>11594</v>
      </c>
      <c r="D1169" s="32" t="s">
        <v>11595</v>
      </c>
      <c r="E1169" s="32" t="s">
        <v>11596</v>
      </c>
      <c r="F1169" s="33" t="s">
        <v>11597</v>
      </c>
      <c r="G1169" s="35" t="s">
        <v>11598</v>
      </c>
      <c r="H1169" s="34"/>
      <c r="I1169" s="34"/>
    </row>
    <row r="1170">
      <c r="A1170" s="32" t="s">
        <v>4714</v>
      </c>
      <c r="B1170" s="32" t="s">
        <v>11599</v>
      </c>
      <c r="C1170" s="32" t="s">
        <v>11600</v>
      </c>
      <c r="D1170" s="32" t="s">
        <v>11601</v>
      </c>
      <c r="E1170" s="32" t="s">
        <v>11602</v>
      </c>
      <c r="F1170" s="33" t="s">
        <v>11603</v>
      </c>
      <c r="G1170" s="35" t="s">
        <v>11604</v>
      </c>
      <c r="H1170" s="34"/>
      <c r="I1170" s="34"/>
    </row>
    <row r="1171">
      <c r="A1171" s="32" t="s">
        <v>4718</v>
      </c>
      <c r="B1171" s="32" t="s">
        <v>11605</v>
      </c>
      <c r="C1171" s="32" t="s">
        <v>11606</v>
      </c>
      <c r="D1171" s="32" t="s">
        <v>11607</v>
      </c>
      <c r="E1171" s="32" t="s">
        <v>11608</v>
      </c>
      <c r="F1171" s="33" t="s">
        <v>11609</v>
      </c>
      <c r="G1171" s="35" t="s">
        <v>11610</v>
      </c>
      <c r="H1171" s="34"/>
      <c r="I1171" s="34"/>
    </row>
    <row r="1172">
      <c r="A1172" s="32" t="s">
        <v>4722</v>
      </c>
      <c r="B1172" s="32" t="s">
        <v>11611</v>
      </c>
      <c r="C1172" s="32" t="s">
        <v>11612</v>
      </c>
      <c r="D1172" s="32" t="s">
        <v>11613</v>
      </c>
      <c r="E1172" s="32" t="s">
        <v>11614</v>
      </c>
      <c r="F1172" s="33" t="s">
        <v>11615</v>
      </c>
      <c r="G1172" s="35" t="s">
        <v>11616</v>
      </c>
      <c r="H1172" s="34"/>
      <c r="I1172" s="34"/>
    </row>
    <row r="1173">
      <c r="A1173" s="32" t="s">
        <v>4726</v>
      </c>
      <c r="B1173" s="32" t="s">
        <v>11617</v>
      </c>
      <c r="C1173" s="32" t="s">
        <v>11618</v>
      </c>
      <c r="D1173" s="32" t="s">
        <v>11619</v>
      </c>
      <c r="E1173" s="32" t="s">
        <v>11620</v>
      </c>
      <c r="F1173" s="33" t="s">
        <v>11621</v>
      </c>
      <c r="G1173" s="35" t="s">
        <v>11622</v>
      </c>
      <c r="H1173" s="34"/>
      <c r="I1173" s="34"/>
    </row>
    <row r="1174">
      <c r="A1174" s="32" t="s">
        <v>4730</v>
      </c>
      <c r="B1174" s="32" t="s">
        <v>11623</v>
      </c>
      <c r="C1174" s="32" t="s">
        <v>11624</v>
      </c>
      <c r="D1174" s="32" t="s">
        <v>11625</v>
      </c>
      <c r="E1174" s="32" t="s">
        <v>11626</v>
      </c>
      <c r="F1174" s="33" t="s">
        <v>11627</v>
      </c>
      <c r="G1174" s="35" t="s">
        <v>11628</v>
      </c>
      <c r="H1174" s="34"/>
      <c r="I1174" s="34"/>
    </row>
    <row r="1175">
      <c r="A1175" s="32" t="s">
        <v>4734</v>
      </c>
      <c r="B1175" s="32" t="s">
        <v>11629</v>
      </c>
      <c r="C1175" s="32" t="s">
        <v>11630</v>
      </c>
      <c r="D1175" s="32" t="s">
        <v>11631</v>
      </c>
      <c r="E1175" s="32" t="s">
        <v>11632</v>
      </c>
      <c r="F1175" s="33" t="s">
        <v>11633</v>
      </c>
      <c r="G1175" s="35" t="s">
        <v>11634</v>
      </c>
      <c r="H1175" s="34"/>
      <c r="I1175" s="34"/>
    </row>
    <row r="1176">
      <c r="A1176" s="32" t="s">
        <v>4741</v>
      </c>
      <c r="B1176" s="32" t="s">
        <v>11635</v>
      </c>
      <c r="C1176" s="32" t="s">
        <v>11636</v>
      </c>
      <c r="D1176" s="32" t="s">
        <v>11637</v>
      </c>
      <c r="E1176" s="32" t="s">
        <v>11638</v>
      </c>
      <c r="F1176" s="33" t="s">
        <v>11639</v>
      </c>
      <c r="G1176" s="35" t="s">
        <v>11640</v>
      </c>
      <c r="H1176" s="34"/>
      <c r="I1176" s="34"/>
    </row>
    <row r="1177">
      <c r="A1177" s="32" t="s">
        <v>4747</v>
      </c>
      <c r="B1177" s="32" t="s">
        <v>11641</v>
      </c>
      <c r="C1177" s="32" t="s">
        <v>11642</v>
      </c>
      <c r="D1177" s="32" t="s">
        <v>11643</v>
      </c>
      <c r="E1177" s="32" t="s">
        <v>11644</v>
      </c>
      <c r="F1177" s="33" t="s">
        <v>11645</v>
      </c>
      <c r="G1177" s="35" t="s">
        <v>11646</v>
      </c>
      <c r="H1177" s="34"/>
      <c r="I1177" s="34"/>
    </row>
    <row r="1178">
      <c r="A1178" s="32" t="s">
        <v>4751</v>
      </c>
      <c r="B1178" s="32" t="s">
        <v>11647</v>
      </c>
      <c r="C1178" s="32" t="s">
        <v>11648</v>
      </c>
      <c r="D1178" s="32" t="s">
        <v>11649</v>
      </c>
      <c r="E1178" s="32" t="s">
        <v>11650</v>
      </c>
      <c r="F1178" s="33" t="s">
        <v>11651</v>
      </c>
      <c r="G1178" s="35" t="s">
        <v>11652</v>
      </c>
      <c r="H1178" s="34"/>
      <c r="I1178" s="34"/>
    </row>
    <row r="1179">
      <c r="A1179" s="32" t="s">
        <v>4757</v>
      </c>
      <c r="B1179" s="32" t="s">
        <v>11653</v>
      </c>
      <c r="C1179" s="32" t="s">
        <v>11654</v>
      </c>
      <c r="D1179" s="32" t="s">
        <v>11655</v>
      </c>
      <c r="E1179" s="32" t="s">
        <v>11656</v>
      </c>
      <c r="F1179" s="33" t="s">
        <v>11657</v>
      </c>
      <c r="G1179" s="35" t="s">
        <v>11658</v>
      </c>
      <c r="H1179" s="34"/>
      <c r="I1179" s="34"/>
    </row>
    <row r="1180">
      <c r="A1180" s="32" t="s">
        <v>4761</v>
      </c>
      <c r="B1180" s="32" t="s">
        <v>11659</v>
      </c>
      <c r="C1180" s="32" t="s">
        <v>11660</v>
      </c>
      <c r="D1180" s="32" t="s">
        <v>11661</v>
      </c>
      <c r="E1180" s="32" t="s">
        <v>11662</v>
      </c>
      <c r="F1180" s="33" t="s">
        <v>11663</v>
      </c>
      <c r="G1180" s="35" t="s">
        <v>11664</v>
      </c>
      <c r="H1180" s="34"/>
      <c r="I1180" s="34"/>
    </row>
    <row r="1181">
      <c r="A1181" s="32" t="s">
        <v>4765</v>
      </c>
      <c r="B1181" s="32" t="s">
        <v>11665</v>
      </c>
      <c r="C1181" s="32" t="s">
        <v>11666</v>
      </c>
      <c r="D1181" s="32" t="s">
        <v>11667</v>
      </c>
      <c r="E1181" s="32" t="s">
        <v>11668</v>
      </c>
      <c r="F1181" s="33" t="s">
        <v>11669</v>
      </c>
      <c r="G1181" s="35" t="s">
        <v>11670</v>
      </c>
      <c r="H1181" s="34"/>
      <c r="I1181" s="34"/>
    </row>
    <row r="1182">
      <c r="A1182" s="32" t="s">
        <v>4769</v>
      </c>
      <c r="B1182" s="32" t="s">
        <v>11671</v>
      </c>
      <c r="C1182" s="32" t="s">
        <v>11672</v>
      </c>
      <c r="D1182" s="32" t="s">
        <v>11673</v>
      </c>
      <c r="E1182" s="32" t="s">
        <v>11674</v>
      </c>
      <c r="F1182" s="33" t="s">
        <v>11675</v>
      </c>
      <c r="G1182" s="35" t="s">
        <v>11676</v>
      </c>
      <c r="H1182" s="34"/>
      <c r="I1182" s="34"/>
    </row>
    <row r="1183">
      <c r="A1183" s="32" t="s">
        <v>4773</v>
      </c>
      <c r="B1183" s="32" t="s">
        <v>11677</v>
      </c>
      <c r="C1183" s="32" t="s">
        <v>11678</v>
      </c>
      <c r="D1183" s="32" t="s">
        <v>11679</v>
      </c>
      <c r="E1183" s="32" t="s">
        <v>11680</v>
      </c>
      <c r="F1183" s="33" t="s">
        <v>11681</v>
      </c>
      <c r="G1183" s="35" t="s">
        <v>11682</v>
      </c>
      <c r="H1183" s="34"/>
      <c r="I1183" s="34"/>
    </row>
    <row r="1184">
      <c r="A1184" s="32" t="s">
        <v>4777</v>
      </c>
      <c r="B1184" s="32" t="s">
        <v>11683</v>
      </c>
      <c r="C1184" s="32" t="s">
        <v>11684</v>
      </c>
      <c r="D1184" s="32" t="s">
        <v>11685</v>
      </c>
      <c r="E1184" s="32" t="s">
        <v>11686</v>
      </c>
      <c r="F1184" s="33" t="s">
        <v>11687</v>
      </c>
      <c r="G1184" s="35" t="s">
        <v>11688</v>
      </c>
      <c r="H1184" s="34"/>
      <c r="I1184" s="34"/>
    </row>
    <row r="1185">
      <c r="A1185" s="32" t="s">
        <v>4781</v>
      </c>
      <c r="B1185" s="32" t="s">
        <v>11689</v>
      </c>
      <c r="C1185" s="32" t="s">
        <v>11690</v>
      </c>
      <c r="D1185" s="32" t="s">
        <v>11691</v>
      </c>
      <c r="E1185" s="32" t="s">
        <v>11692</v>
      </c>
      <c r="F1185" s="33" t="s">
        <v>11693</v>
      </c>
      <c r="G1185" s="35" t="s">
        <v>11694</v>
      </c>
      <c r="H1185" s="34"/>
      <c r="I1185" s="34"/>
    </row>
    <row r="1186">
      <c r="A1186" s="32" t="s">
        <v>4785</v>
      </c>
      <c r="B1186" s="32" t="s">
        <v>11695</v>
      </c>
      <c r="C1186" s="32" t="s">
        <v>11696</v>
      </c>
      <c r="D1186" s="32" t="s">
        <v>11697</v>
      </c>
      <c r="E1186" s="32" t="s">
        <v>11698</v>
      </c>
      <c r="F1186" s="33" t="s">
        <v>11699</v>
      </c>
      <c r="G1186" s="35" t="s">
        <v>11700</v>
      </c>
      <c r="H1186" s="34"/>
      <c r="I1186" s="34"/>
    </row>
    <row r="1187">
      <c r="A1187" s="32" t="s">
        <v>4789</v>
      </c>
      <c r="B1187" s="32" t="s">
        <v>11701</v>
      </c>
      <c r="C1187" s="32" t="s">
        <v>11702</v>
      </c>
      <c r="D1187" s="32" t="s">
        <v>11703</v>
      </c>
      <c r="E1187" s="32" t="s">
        <v>11704</v>
      </c>
      <c r="F1187" s="33" t="s">
        <v>11705</v>
      </c>
      <c r="G1187" s="35" t="s">
        <v>11706</v>
      </c>
      <c r="H1187" s="34"/>
      <c r="I1187" s="34"/>
    </row>
    <row r="1188">
      <c r="A1188" s="32" t="s">
        <v>4793</v>
      </c>
      <c r="B1188" s="32" t="s">
        <v>11707</v>
      </c>
      <c r="C1188" s="32" t="s">
        <v>11708</v>
      </c>
      <c r="D1188" s="32" t="s">
        <v>11709</v>
      </c>
      <c r="E1188" s="32" t="s">
        <v>11710</v>
      </c>
      <c r="F1188" s="33" t="s">
        <v>11711</v>
      </c>
      <c r="G1188" s="35" t="s">
        <v>11712</v>
      </c>
      <c r="H1188" s="34"/>
      <c r="I1188" s="34"/>
    </row>
    <row r="1189">
      <c r="A1189" s="32" t="s">
        <v>4797</v>
      </c>
      <c r="B1189" s="32" t="s">
        <v>11713</v>
      </c>
      <c r="C1189" s="32" t="s">
        <v>11714</v>
      </c>
      <c r="D1189" s="32" t="s">
        <v>11715</v>
      </c>
      <c r="E1189" s="32" t="s">
        <v>11716</v>
      </c>
      <c r="F1189" s="33" t="s">
        <v>11717</v>
      </c>
      <c r="G1189" s="35" t="s">
        <v>11718</v>
      </c>
      <c r="H1189" s="34"/>
      <c r="I1189" s="34"/>
    </row>
    <row r="1190">
      <c r="A1190" s="32" t="s">
        <v>4801</v>
      </c>
      <c r="B1190" s="32" t="s">
        <v>11719</v>
      </c>
      <c r="C1190" s="32" t="s">
        <v>11720</v>
      </c>
      <c r="D1190" s="32" t="s">
        <v>11721</v>
      </c>
      <c r="E1190" s="32" t="s">
        <v>11722</v>
      </c>
      <c r="F1190" s="33" t="s">
        <v>11723</v>
      </c>
      <c r="G1190" s="35" t="s">
        <v>11724</v>
      </c>
      <c r="H1190" s="34"/>
      <c r="I1190" s="34"/>
    </row>
    <row r="1191">
      <c r="A1191" s="32" t="s">
        <v>4805</v>
      </c>
      <c r="B1191" s="32" t="s">
        <v>11725</v>
      </c>
      <c r="C1191" s="32" t="s">
        <v>11726</v>
      </c>
      <c r="D1191" s="32" t="s">
        <v>11727</v>
      </c>
      <c r="E1191" s="32" t="s">
        <v>11728</v>
      </c>
      <c r="F1191" s="33" t="s">
        <v>11729</v>
      </c>
      <c r="G1191" s="35" t="s">
        <v>11730</v>
      </c>
      <c r="H1191" s="34"/>
      <c r="I1191" s="34"/>
    </row>
    <row r="1192">
      <c r="A1192" s="32" t="s">
        <v>4809</v>
      </c>
      <c r="B1192" s="32" t="s">
        <v>11731</v>
      </c>
      <c r="C1192" s="32" t="s">
        <v>11732</v>
      </c>
      <c r="D1192" s="32" t="s">
        <v>11733</v>
      </c>
      <c r="E1192" s="32" t="s">
        <v>11734</v>
      </c>
      <c r="F1192" s="33" t="s">
        <v>11735</v>
      </c>
      <c r="G1192" s="35" t="s">
        <v>11736</v>
      </c>
      <c r="H1192" s="34"/>
      <c r="I1192" s="34"/>
    </row>
    <row r="1193">
      <c r="A1193" s="32" t="s">
        <v>4813</v>
      </c>
      <c r="B1193" s="32" t="s">
        <v>11737</v>
      </c>
      <c r="C1193" s="32" t="s">
        <v>11738</v>
      </c>
      <c r="D1193" s="32" t="s">
        <v>11739</v>
      </c>
      <c r="E1193" s="32" t="s">
        <v>11740</v>
      </c>
      <c r="F1193" s="33" t="s">
        <v>11741</v>
      </c>
      <c r="G1193" s="35" t="s">
        <v>11742</v>
      </c>
      <c r="H1193" s="34"/>
      <c r="I1193" s="34"/>
    </row>
    <row r="1194">
      <c r="A1194" s="32" t="s">
        <v>4820</v>
      </c>
      <c r="B1194" s="32" t="s">
        <v>11743</v>
      </c>
      <c r="C1194" s="32" t="s">
        <v>11744</v>
      </c>
      <c r="D1194" s="32" t="s">
        <v>11745</v>
      </c>
      <c r="E1194" s="32" t="s">
        <v>11746</v>
      </c>
      <c r="F1194" s="33" t="s">
        <v>11747</v>
      </c>
      <c r="G1194" s="35" t="s">
        <v>11748</v>
      </c>
      <c r="H1194" s="34"/>
      <c r="I1194" s="34"/>
    </row>
    <row r="1195">
      <c r="A1195" s="32" t="s">
        <v>4824</v>
      </c>
      <c r="B1195" s="32" t="s">
        <v>11749</v>
      </c>
      <c r="C1195" s="32" t="s">
        <v>11750</v>
      </c>
      <c r="D1195" s="32" t="s">
        <v>11751</v>
      </c>
      <c r="E1195" s="32" t="s">
        <v>11752</v>
      </c>
      <c r="F1195" s="33" t="s">
        <v>11753</v>
      </c>
      <c r="G1195" s="35" t="s">
        <v>11754</v>
      </c>
      <c r="H1195" s="34"/>
      <c r="I1195" s="34"/>
    </row>
    <row r="1196">
      <c r="A1196" s="32" t="s">
        <v>4828</v>
      </c>
      <c r="B1196" s="32" t="s">
        <v>11755</v>
      </c>
      <c r="C1196" s="32" t="s">
        <v>11756</v>
      </c>
      <c r="D1196" s="32" t="s">
        <v>11757</v>
      </c>
      <c r="E1196" s="32" t="s">
        <v>11758</v>
      </c>
      <c r="F1196" s="33" t="s">
        <v>11759</v>
      </c>
      <c r="G1196" s="35" t="s">
        <v>11760</v>
      </c>
      <c r="H1196" s="34"/>
      <c r="I1196" s="34"/>
    </row>
    <row r="1197">
      <c r="A1197" s="32" t="s">
        <v>4832</v>
      </c>
      <c r="B1197" s="32" t="s">
        <v>11761</v>
      </c>
      <c r="C1197" s="32" t="s">
        <v>11762</v>
      </c>
      <c r="D1197" s="32" t="s">
        <v>11763</v>
      </c>
      <c r="E1197" s="32" t="s">
        <v>11764</v>
      </c>
      <c r="F1197" s="33" t="s">
        <v>11765</v>
      </c>
      <c r="G1197" s="35" t="s">
        <v>11766</v>
      </c>
      <c r="H1197" s="34"/>
      <c r="I1197" s="34"/>
    </row>
    <row r="1198">
      <c r="A1198" s="32" t="s">
        <v>4836</v>
      </c>
      <c r="B1198" s="32" t="s">
        <v>11767</v>
      </c>
      <c r="C1198" s="32" t="s">
        <v>11768</v>
      </c>
      <c r="D1198" s="32" t="s">
        <v>11769</v>
      </c>
      <c r="E1198" s="32" t="s">
        <v>11770</v>
      </c>
      <c r="F1198" s="33" t="s">
        <v>11771</v>
      </c>
      <c r="G1198" s="35" t="s">
        <v>11772</v>
      </c>
      <c r="H1198" s="34"/>
      <c r="I1198" s="34"/>
    </row>
    <row r="1199">
      <c r="A1199" s="32" t="s">
        <v>4840</v>
      </c>
      <c r="B1199" s="32" t="s">
        <v>11773</v>
      </c>
      <c r="C1199" s="32" t="s">
        <v>11774</v>
      </c>
      <c r="D1199" s="32" t="s">
        <v>11775</v>
      </c>
      <c r="E1199" s="32" t="s">
        <v>11776</v>
      </c>
      <c r="F1199" s="33" t="s">
        <v>11777</v>
      </c>
      <c r="G1199" s="35" t="s">
        <v>11778</v>
      </c>
      <c r="H1199" s="34"/>
      <c r="I1199" s="34"/>
    </row>
    <row r="1200">
      <c r="A1200" s="32" t="s">
        <v>4847</v>
      </c>
      <c r="B1200" s="32" t="s">
        <v>11779</v>
      </c>
      <c r="C1200" s="32" t="s">
        <v>11780</v>
      </c>
      <c r="D1200" s="32" t="s">
        <v>11781</v>
      </c>
      <c r="E1200" s="32" t="s">
        <v>11782</v>
      </c>
      <c r="F1200" s="33" t="s">
        <v>11783</v>
      </c>
      <c r="G1200" s="35" t="s">
        <v>11784</v>
      </c>
      <c r="H1200" s="34"/>
      <c r="I1200" s="34"/>
    </row>
    <row r="1201">
      <c r="A1201" s="32" t="s">
        <v>4851</v>
      </c>
      <c r="B1201" s="32" t="s">
        <v>11785</v>
      </c>
      <c r="C1201" s="32" t="s">
        <v>11786</v>
      </c>
      <c r="D1201" s="32" t="s">
        <v>11787</v>
      </c>
      <c r="E1201" s="32" t="s">
        <v>11788</v>
      </c>
      <c r="F1201" s="33" t="s">
        <v>11789</v>
      </c>
      <c r="G1201" s="35" t="s">
        <v>11790</v>
      </c>
      <c r="H1201" s="34"/>
      <c r="I1201" s="34"/>
    </row>
    <row r="1202">
      <c r="A1202" s="32" t="s">
        <v>4855</v>
      </c>
      <c r="B1202" s="32" t="s">
        <v>11791</v>
      </c>
      <c r="C1202" s="32" t="s">
        <v>11792</v>
      </c>
      <c r="D1202" s="32" t="s">
        <v>11793</v>
      </c>
      <c r="E1202" s="32" t="s">
        <v>11794</v>
      </c>
      <c r="F1202" s="33" t="s">
        <v>11795</v>
      </c>
      <c r="G1202" s="35" t="s">
        <v>11796</v>
      </c>
      <c r="H1202" s="34"/>
      <c r="I1202" s="34"/>
    </row>
    <row r="1203">
      <c r="A1203" s="32" t="s">
        <v>4861</v>
      </c>
      <c r="B1203" s="32" t="s">
        <v>11797</v>
      </c>
      <c r="C1203" s="32" t="s">
        <v>11798</v>
      </c>
      <c r="D1203" s="32" t="s">
        <v>11799</v>
      </c>
      <c r="E1203" s="32" t="s">
        <v>11800</v>
      </c>
      <c r="F1203" s="33" t="s">
        <v>11801</v>
      </c>
      <c r="G1203" s="35" t="s">
        <v>11802</v>
      </c>
      <c r="H1203" s="34"/>
      <c r="I1203" s="34"/>
    </row>
    <row r="1204">
      <c r="A1204" s="32" t="s">
        <v>4865</v>
      </c>
      <c r="B1204" s="32" t="s">
        <v>11803</v>
      </c>
      <c r="C1204" s="32" t="s">
        <v>11804</v>
      </c>
      <c r="D1204" s="32" t="s">
        <v>11805</v>
      </c>
      <c r="E1204" s="32" t="s">
        <v>11806</v>
      </c>
      <c r="F1204" s="33" t="s">
        <v>11807</v>
      </c>
      <c r="G1204" s="35" t="s">
        <v>11808</v>
      </c>
      <c r="H1204" s="34"/>
      <c r="I1204" s="34"/>
    </row>
    <row r="1205">
      <c r="A1205" s="32" t="s">
        <v>4869</v>
      </c>
      <c r="B1205" s="32" t="s">
        <v>11809</v>
      </c>
      <c r="C1205" s="32" t="s">
        <v>11810</v>
      </c>
      <c r="D1205" s="32" t="s">
        <v>11811</v>
      </c>
      <c r="E1205" s="32" t="s">
        <v>11812</v>
      </c>
      <c r="F1205" s="33" t="s">
        <v>11813</v>
      </c>
      <c r="G1205" s="35" t="s">
        <v>11814</v>
      </c>
      <c r="H1205" s="34"/>
      <c r="I1205" s="34"/>
    </row>
    <row r="1206">
      <c r="A1206" s="32" t="s">
        <v>4873</v>
      </c>
      <c r="B1206" s="32" t="s">
        <v>11815</v>
      </c>
      <c r="C1206" s="32" t="s">
        <v>11816</v>
      </c>
      <c r="D1206" s="32" t="s">
        <v>11817</v>
      </c>
      <c r="E1206" s="32" t="s">
        <v>11818</v>
      </c>
      <c r="F1206" s="33" t="s">
        <v>11819</v>
      </c>
      <c r="G1206" s="35" t="s">
        <v>11820</v>
      </c>
      <c r="H1206" s="34"/>
      <c r="I1206" s="34"/>
    </row>
    <row r="1207">
      <c r="A1207" s="32" t="s">
        <v>4877</v>
      </c>
      <c r="B1207" s="32" t="s">
        <v>11821</v>
      </c>
      <c r="C1207" s="32" t="s">
        <v>11822</v>
      </c>
      <c r="D1207" s="32" t="s">
        <v>11823</v>
      </c>
      <c r="E1207" s="32" t="s">
        <v>11824</v>
      </c>
      <c r="F1207" s="33" t="s">
        <v>11825</v>
      </c>
      <c r="G1207" s="35" t="s">
        <v>11826</v>
      </c>
      <c r="H1207" s="34"/>
      <c r="I1207" s="34"/>
    </row>
    <row r="1208">
      <c r="A1208" s="32" t="s">
        <v>4884</v>
      </c>
      <c r="B1208" s="32" t="s">
        <v>11827</v>
      </c>
      <c r="C1208" s="32" t="s">
        <v>11828</v>
      </c>
      <c r="D1208" s="32" t="s">
        <v>11829</v>
      </c>
      <c r="E1208" s="32" t="s">
        <v>11830</v>
      </c>
      <c r="F1208" s="33" t="s">
        <v>11831</v>
      </c>
      <c r="G1208" s="35" t="s">
        <v>11832</v>
      </c>
      <c r="H1208" s="34"/>
      <c r="I1208" s="34"/>
    </row>
    <row r="1209">
      <c r="A1209" s="32" t="s">
        <v>4890</v>
      </c>
      <c r="B1209" s="32" t="s">
        <v>11833</v>
      </c>
      <c r="C1209" s="32" t="s">
        <v>11834</v>
      </c>
      <c r="D1209" s="32" t="s">
        <v>11835</v>
      </c>
      <c r="E1209" s="32" t="s">
        <v>11836</v>
      </c>
      <c r="F1209" s="33" t="s">
        <v>11837</v>
      </c>
      <c r="G1209" s="35" t="s">
        <v>11838</v>
      </c>
      <c r="H1209" s="34"/>
      <c r="I1209" s="34"/>
    </row>
    <row r="1210">
      <c r="A1210" s="32" t="s">
        <v>4894</v>
      </c>
      <c r="B1210" s="32" t="s">
        <v>11839</v>
      </c>
      <c r="C1210" s="32" t="s">
        <v>11840</v>
      </c>
      <c r="D1210" s="32" t="s">
        <v>11841</v>
      </c>
      <c r="E1210" s="32" t="s">
        <v>11842</v>
      </c>
      <c r="F1210" s="33" t="s">
        <v>11843</v>
      </c>
      <c r="G1210" s="35" t="s">
        <v>11844</v>
      </c>
      <c r="H1210" s="34"/>
      <c r="I1210" s="34"/>
    </row>
    <row r="1211">
      <c r="A1211" s="32" t="s">
        <v>4898</v>
      </c>
      <c r="B1211" s="32" t="s">
        <v>11845</v>
      </c>
      <c r="C1211" s="32" t="s">
        <v>11846</v>
      </c>
      <c r="D1211" s="32" t="s">
        <v>11847</v>
      </c>
      <c r="E1211" s="32" t="s">
        <v>11848</v>
      </c>
      <c r="F1211" s="33" t="s">
        <v>11849</v>
      </c>
      <c r="G1211" s="35" t="s">
        <v>11850</v>
      </c>
      <c r="H1211" s="34"/>
      <c r="I1211" s="34"/>
    </row>
    <row r="1212">
      <c r="A1212" s="32" t="s">
        <v>4902</v>
      </c>
      <c r="B1212" s="32" t="s">
        <v>11851</v>
      </c>
      <c r="C1212" s="32" t="s">
        <v>11852</v>
      </c>
      <c r="D1212" s="32" t="s">
        <v>11853</v>
      </c>
      <c r="E1212" s="32" t="s">
        <v>11854</v>
      </c>
      <c r="F1212" s="33" t="s">
        <v>11855</v>
      </c>
      <c r="G1212" s="35" t="s">
        <v>11856</v>
      </c>
      <c r="H1212" s="34"/>
      <c r="I1212" s="34"/>
    </row>
    <row r="1213">
      <c r="A1213" s="32" t="s">
        <v>4906</v>
      </c>
      <c r="B1213" s="32" t="s">
        <v>11857</v>
      </c>
      <c r="C1213" s="32" t="s">
        <v>11858</v>
      </c>
      <c r="D1213" s="32" t="s">
        <v>11859</v>
      </c>
      <c r="E1213" s="32" t="s">
        <v>11860</v>
      </c>
      <c r="F1213" s="33" t="s">
        <v>11861</v>
      </c>
      <c r="G1213" s="35" t="s">
        <v>11862</v>
      </c>
      <c r="H1213" s="34"/>
      <c r="I1213" s="34"/>
    </row>
    <row r="1214">
      <c r="A1214" s="32" t="s">
        <v>4910</v>
      </c>
      <c r="B1214" s="32" t="s">
        <v>11863</v>
      </c>
      <c r="C1214" s="32" t="s">
        <v>11864</v>
      </c>
      <c r="D1214" s="32" t="s">
        <v>11865</v>
      </c>
      <c r="E1214" s="32" t="s">
        <v>11866</v>
      </c>
      <c r="F1214" s="33" t="s">
        <v>11867</v>
      </c>
      <c r="G1214" s="35" t="s">
        <v>11868</v>
      </c>
      <c r="H1214" s="34"/>
      <c r="I1214" s="34"/>
    </row>
    <row r="1215">
      <c r="A1215" s="32" t="s">
        <v>4914</v>
      </c>
      <c r="B1215" s="32" t="s">
        <v>11869</v>
      </c>
      <c r="C1215" s="32" t="s">
        <v>11870</v>
      </c>
      <c r="D1215" s="32" t="s">
        <v>11871</v>
      </c>
      <c r="E1215" s="32" t="s">
        <v>11872</v>
      </c>
      <c r="F1215" s="33" t="s">
        <v>11873</v>
      </c>
      <c r="G1215" s="35" t="s">
        <v>11874</v>
      </c>
      <c r="H1215" s="34"/>
      <c r="I1215" s="34"/>
    </row>
    <row r="1216">
      <c r="A1216" s="32" t="s">
        <v>4918</v>
      </c>
      <c r="B1216" s="32" t="s">
        <v>11875</v>
      </c>
      <c r="C1216" s="32" t="s">
        <v>11876</v>
      </c>
      <c r="D1216" s="32" t="s">
        <v>11877</v>
      </c>
      <c r="E1216" s="32" t="s">
        <v>11878</v>
      </c>
      <c r="F1216" s="33" t="s">
        <v>11879</v>
      </c>
      <c r="G1216" s="35" t="s">
        <v>11880</v>
      </c>
      <c r="H1216" s="34"/>
      <c r="I1216" s="34"/>
    </row>
    <row r="1217">
      <c r="A1217" s="32" t="s">
        <v>4922</v>
      </c>
      <c r="B1217" s="32" t="s">
        <v>11881</v>
      </c>
      <c r="C1217" s="32" t="s">
        <v>11882</v>
      </c>
      <c r="D1217" s="32" t="s">
        <v>11883</v>
      </c>
      <c r="E1217" s="32" t="s">
        <v>11884</v>
      </c>
      <c r="F1217" s="33" t="s">
        <v>11885</v>
      </c>
      <c r="G1217" s="35" t="s">
        <v>11886</v>
      </c>
      <c r="H1217" s="34"/>
      <c r="I1217" s="34"/>
    </row>
    <row r="1218">
      <c r="A1218" s="32" t="s">
        <v>4926</v>
      </c>
      <c r="B1218" s="32" t="s">
        <v>11887</v>
      </c>
      <c r="C1218" s="32" t="s">
        <v>11888</v>
      </c>
      <c r="D1218" s="32" t="s">
        <v>11889</v>
      </c>
      <c r="E1218" s="32" t="s">
        <v>11890</v>
      </c>
      <c r="F1218" s="33" t="s">
        <v>11891</v>
      </c>
      <c r="G1218" s="35" t="s">
        <v>11892</v>
      </c>
      <c r="H1218" s="34"/>
      <c r="I1218" s="34"/>
    </row>
    <row r="1219">
      <c r="A1219" s="32" t="s">
        <v>4930</v>
      </c>
      <c r="B1219" s="32" t="s">
        <v>11893</v>
      </c>
      <c r="C1219" s="32" t="s">
        <v>11894</v>
      </c>
      <c r="D1219" s="32" t="s">
        <v>11895</v>
      </c>
      <c r="E1219" s="32" t="s">
        <v>11896</v>
      </c>
      <c r="F1219" s="33" t="s">
        <v>11897</v>
      </c>
      <c r="G1219" s="35" t="s">
        <v>11898</v>
      </c>
      <c r="H1219" s="34"/>
      <c r="I1219" s="34"/>
    </row>
    <row r="1220">
      <c r="A1220" s="32" t="s">
        <v>4934</v>
      </c>
      <c r="B1220" s="32" t="s">
        <v>11899</v>
      </c>
      <c r="C1220" s="32" t="s">
        <v>11900</v>
      </c>
      <c r="D1220" s="32" t="s">
        <v>11901</v>
      </c>
      <c r="E1220" s="32" t="s">
        <v>11902</v>
      </c>
      <c r="F1220" s="33" t="s">
        <v>11903</v>
      </c>
      <c r="G1220" s="35" t="s">
        <v>11904</v>
      </c>
      <c r="H1220" s="34"/>
      <c r="I1220" s="34"/>
    </row>
    <row r="1221">
      <c r="A1221" s="32" t="s">
        <v>4938</v>
      </c>
      <c r="B1221" s="32" t="s">
        <v>11905</v>
      </c>
      <c r="C1221" s="32" t="s">
        <v>11906</v>
      </c>
      <c r="D1221" s="32" t="s">
        <v>11907</v>
      </c>
      <c r="E1221" s="32" t="s">
        <v>11908</v>
      </c>
      <c r="F1221" s="33" t="s">
        <v>11909</v>
      </c>
      <c r="G1221" s="35" t="s">
        <v>11910</v>
      </c>
      <c r="H1221" s="34"/>
      <c r="I1221" s="34"/>
    </row>
    <row r="1222">
      <c r="A1222" s="32" t="s">
        <v>4942</v>
      </c>
      <c r="B1222" s="32" t="s">
        <v>11911</v>
      </c>
      <c r="C1222" s="32" t="s">
        <v>11912</v>
      </c>
      <c r="D1222" s="32" t="s">
        <v>11913</v>
      </c>
      <c r="E1222" s="32" t="s">
        <v>11914</v>
      </c>
      <c r="F1222" s="33" t="s">
        <v>11915</v>
      </c>
      <c r="G1222" s="35" t="s">
        <v>11916</v>
      </c>
      <c r="H1222" s="34"/>
      <c r="I1222" s="34"/>
    </row>
    <row r="1223">
      <c r="A1223" s="32" t="s">
        <v>4946</v>
      </c>
      <c r="B1223" s="32" t="s">
        <v>11917</v>
      </c>
      <c r="C1223" s="32" t="s">
        <v>11918</v>
      </c>
      <c r="D1223" s="32" t="s">
        <v>11919</v>
      </c>
      <c r="E1223" s="32" t="s">
        <v>11920</v>
      </c>
      <c r="F1223" s="33" t="s">
        <v>11921</v>
      </c>
      <c r="G1223" s="35" t="s">
        <v>11922</v>
      </c>
      <c r="H1223" s="34"/>
      <c r="I1223" s="34"/>
    </row>
    <row r="1224">
      <c r="A1224" s="32" t="s">
        <v>4952</v>
      </c>
      <c r="B1224" s="32" t="s">
        <v>11923</v>
      </c>
      <c r="C1224" s="32" t="s">
        <v>11924</v>
      </c>
      <c r="D1224" s="32" t="s">
        <v>11925</v>
      </c>
      <c r="E1224" s="32" t="s">
        <v>11926</v>
      </c>
      <c r="F1224" s="33" t="s">
        <v>11927</v>
      </c>
      <c r="G1224" s="35" t="s">
        <v>11928</v>
      </c>
      <c r="H1224" s="34"/>
      <c r="I1224" s="34"/>
    </row>
    <row r="1225">
      <c r="A1225" s="32" t="s">
        <v>4956</v>
      </c>
      <c r="B1225" s="32" t="s">
        <v>11929</v>
      </c>
      <c r="C1225" s="32" t="s">
        <v>11930</v>
      </c>
      <c r="D1225" s="32" t="s">
        <v>11931</v>
      </c>
      <c r="E1225" s="32" t="s">
        <v>11932</v>
      </c>
      <c r="F1225" s="33" t="s">
        <v>11933</v>
      </c>
      <c r="G1225" s="35" t="s">
        <v>11934</v>
      </c>
      <c r="H1225" s="34"/>
      <c r="I1225" s="34"/>
    </row>
    <row r="1226">
      <c r="A1226" s="32" t="s">
        <v>4960</v>
      </c>
      <c r="B1226" s="32" t="s">
        <v>11935</v>
      </c>
      <c r="C1226" s="32" t="s">
        <v>11936</v>
      </c>
      <c r="D1226" s="32" t="s">
        <v>11937</v>
      </c>
      <c r="E1226" s="32" t="s">
        <v>11938</v>
      </c>
      <c r="F1226" s="33" t="s">
        <v>11939</v>
      </c>
      <c r="G1226" s="35" t="s">
        <v>11940</v>
      </c>
      <c r="H1226" s="34"/>
      <c r="I1226" s="34"/>
    </row>
    <row r="1227">
      <c r="A1227" s="32" t="s">
        <v>4965</v>
      </c>
      <c r="B1227" s="32" t="s">
        <v>11941</v>
      </c>
      <c r="C1227" s="32" t="s">
        <v>11942</v>
      </c>
      <c r="D1227" s="32" t="s">
        <v>11943</v>
      </c>
      <c r="E1227" s="32" t="s">
        <v>11944</v>
      </c>
      <c r="F1227" s="33" t="s">
        <v>11945</v>
      </c>
      <c r="G1227" s="35" t="s">
        <v>11946</v>
      </c>
      <c r="H1227" s="34"/>
      <c r="I1227" s="34"/>
    </row>
    <row r="1228">
      <c r="A1228" s="32" t="s">
        <v>4969</v>
      </c>
      <c r="B1228" s="32" t="s">
        <v>11947</v>
      </c>
      <c r="C1228" s="32" t="s">
        <v>11948</v>
      </c>
      <c r="D1228" s="32" t="s">
        <v>11949</v>
      </c>
      <c r="E1228" s="32" t="s">
        <v>11950</v>
      </c>
      <c r="F1228" s="33" t="s">
        <v>11951</v>
      </c>
      <c r="G1228" s="35" t="s">
        <v>11952</v>
      </c>
      <c r="H1228" s="34"/>
      <c r="I1228" s="34"/>
    </row>
    <row r="1229">
      <c r="A1229" s="32" t="s">
        <v>4973</v>
      </c>
      <c r="B1229" s="32" t="s">
        <v>11953</v>
      </c>
      <c r="C1229" s="32" t="s">
        <v>11954</v>
      </c>
      <c r="D1229" s="32" t="s">
        <v>11955</v>
      </c>
      <c r="E1229" s="32" t="s">
        <v>11956</v>
      </c>
      <c r="F1229" s="33" t="s">
        <v>11957</v>
      </c>
      <c r="G1229" s="35" t="s">
        <v>11958</v>
      </c>
      <c r="H1229" s="34"/>
      <c r="I1229" s="34"/>
    </row>
    <row r="1230">
      <c r="A1230" s="32" t="s">
        <v>4977</v>
      </c>
      <c r="B1230" s="32" t="s">
        <v>11959</v>
      </c>
      <c r="C1230" s="32" t="s">
        <v>11960</v>
      </c>
      <c r="D1230" s="32" t="s">
        <v>11961</v>
      </c>
      <c r="E1230" s="32" t="s">
        <v>11962</v>
      </c>
      <c r="F1230" s="33" t="s">
        <v>11963</v>
      </c>
      <c r="G1230" s="35" t="s">
        <v>11964</v>
      </c>
      <c r="H1230" s="34"/>
      <c r="I1230" s="34"/>
    </row>
    <row r="1231">
      <c r="A1231" s="32" t="s">
        <v>4981</v>
      </c>
      <c r="B1231" s="32" t="s">
        <v>11965</v>
      </c>
      <c r="C1231" s="32" t="s">
        <v>11966</v>
      </c>
      <c r="D1231" s="32" t="s">
        <v>11967</v>
      </c>
      <c r="E1231" s="32" t="s">
        <v>11968</v>
      </c>
      <c r="F1231" s="33" t="s">
        <v>11969</v>
      </c>
      <c r="G1231" s="35" t="s">
        <v>10830</v>
      </c>
      <c r="H1231" s="34"/>
      <c r="I1231" s="34"/>
    </row>
    <row r="1232">
      <c r="A1232" s="32" t="s">
        <v>4985</v>
      </c>
      <c r="B1232" s="32" t="s">
        <v>11970</v>
      </c>
      <c r="C1232" s="32" t="s">
        <v>11971</v>
      </c>
      <c r="D1232" s="32" t="s">
        <v>11972</v>
      </c>
      <c r="E1232" s="32" t="s">
        <v>11973</v>
      </c>
      <c r="F1232" s="33" t="s">
        <v>11974</v>
      </c>
      <c r="G1232" s="35" t="s">
        <v>11975</v>
      </c>
      <c r="H1232" s="34"/>
      <c r="I1232" s="34"/>
    </row>
    <row r="1233">
      <c r="A1233" s="32" t="s">
        <v>4989</v>
      </c>
      <c r="B1233" s="32" t="s">
        <v>11976</v>
      </c>
      <c r="C1233" s="32" t="s">
        <v>11977</v>
      </c>
      <c r="D1233" s="32" t="s">
        <v>11978</v>
      </c>
      <c r="E1233" s="32" t="s">
        <v>11979</v>
      </c>
      <c r="F1233" s="33" t="s">
        <v>11980</v>
      </c>
      <c r="G1233" s="35" t="s">
        <v>11981</v>
      </c>
      <c r="H1233" s="34"/>
      <c r="I1233" s="34"/>
    </row>
    <row r="1234">
      <c r="A1234" s="32" t="s">
        <v>4993</v>
      </c>
      <c r="B1234" s="32" t="s">
        <v>11982</v>
      </c>
      <c r="C1234" s="32" t="s">
        <v>11983</v>
      </c>
      <c r="D1234" s="32" t="s">
        <v>11984</v>
      </c>
      <c r="E1234" s="32" t="s">
        <v>11985</v>
      </c>
      <c r="F1234" s="33" t="s">
        <v>11986</v>
      </c>
      <c r="G1234" s="35" t="s">
        <v>11987</v>
      </c>
      <c r="H1234" s="34"/>
      <c r="I1234" s="34"/>
    </row>
    <row r="1235">
      <c r="A1235" s="32" t="s">
        <v>4997</v>
      </c>
      <c r="B1235" s="32" t="s">
        <v>11988</v>
      </c>
      <c r="C1235" s="32" t="s">
        <v>11989</v>
      </c>
      <c r="D1235" s="32" t="s">
        <v>11990</v>
      </c>
      <c r="E1235" s="32" t="s">
        <v>11991</v>
      </c>
      <c r="F1235" s="33" t="s">
        <v>11992</v>
      </c>
      <c r="G1235" s="35" t="s">
        <v>11993</v>
      </c>
      <c r="H1235" s="34"/>
      <c r="I1235" s="34"/>
    </row>
    <row r="1236">
      <c r="A1236" s="32" t="s">
        <v>5001</v>
      </c>
      <c r="B1236" s="32" t="s">
        <v>11994</v>
      </c>
      <c r="C1236" s="32" t="s">
        <v>11995</v>
      </c>
      <c r="D1236" s="32" t="s">
        <v>11996</v>
      </c>
      <c r="E1236" s="32" t="s">
        <v>11997</v>
      </c>
      <c r="F1236" s="33" t="s">
        <v>11998</v>
      </c>
      <c r="G1236" s="35" t="s">
        <v>11999</v>
      </c>
      <c r="H1236" s="34"/>
      <c r="I1236" s="34"/>
    </row>
    <row r="1237">
      <c r="A1237" s="32" t="s">
        <v>5005</v>
      </c>
      <c r="B1237" s="32" t="s">
        <v>12000</v>
      </c>
      <c r="C1237" s="32" t="s">
        <v>12001</v>
      </c>
      <c r="D1237" s="32" t="s">
        <v>12002</v>
      </c>
      <c r="E1237" s="32" t="s">
        <v>12003</v>
      </c>
      <c r="F1237" s="33" t="s">
        <v>12004</v>
      </c>
      <c r="G1237" s="35" t="s">
        <v>12005</v>
      </c>
      <c r="H1237" s="34"/>
      <c r="I1237" s="34"/>
    </row>
    <row r="1238">
      <c r="A1238" s="32" t="s">
        <v>5009</v>
      </c>
      <c r="B1238" s="32" t="s">
        <v>12006</v>
      </c>
      <c r="C1238" s="32" t="s">
        <v>12007</v>
      </c>
      <c r="D1238" s="32" t="s">
        <v>12008</v>
      </c>
      <c r="E1238" s="32" t="s">
        <v>12009</v>
      </c>
      <c r="F1238" s="33" t="s">
        <v>12010</v>
      </c>
      <c r="G1238" s="35" t="s">
        <v>12011</v>
      </c>
      <c r="H1238" s="34"/>
      <c r="I1238" s="34"/>
    </row>
    <row r="1239">
      <c r="A1239" s="32" t="s">
        <v>5013</v>
      </c>
      <c r="B1239" s="32" t="s">
        <v>12012</v>
      </c>
      <c r="C1239" s="32" t="s">
        <v>12013</v>
      </c>
      <c r="D1239" s="32" t="s">
        <v>12014</v>
      </c>
      <c r="E1239" s="32" t="s">
        <v>12015</v>
      </c>
      <c r="F1239" s="33" t="s">
        <v>12016</v>
      </c>
      <c r="G1239" s="35" t="s">
        <v>12017</v>
      </c>
      <c r="H1239" s="34"/>
      <c r="I1239" s="34"/>
    </row>
    <row r="1240">
      <c r="A1240" s="32" t="s">
        <v>5017</v>
      </c>
      <c r="B1240" s="32" t="s">
        <v>12018</v>
      </c>
      <c r="C1240" s="32" t="s">
        <v>12019</v>
      </c>
      <c r="D1240" s="32" t="s">
        <v>12020</v>
      </c>
      <c r="E1240" s="32" t="s">
        <v>12021</v>
      </c>
      <c r="F1240" s="33" t="s">
        <v>12022</v>
      </c>
      <c r="G1240" s="35" t="s">
        <v>12023</v>
      </c>
      <c r="H1240" s="34"/>
      <c r="I1240" s="34"/>
    </row>
    <row r="1241">
      <c r="A1241" s="32" t="s">
        <v>5021</v>
      </c>
      <c r="B1241" s="32" t="s">
        <v>12024</v>
      </c>
      <c r="C1241" s="32" t="s">
        <v>12025</v>
      </c>
      <c r="D1241" s="32" t="s">
        <v>12026</v>
      </c>
      <c r="E1241" s="32" t="s">
        <v>12027</v>
      </c>
      <c r="F1241" s="33" t="s">
        <v>12028</v>
      </c>
      <c r="G1241" s="35" t="s">
        <v>12029</v>
      </c>
      <c r="H1241" s="34"/>
      <c r="I1241" s="34"/>
    </row>
    <row r="1242">
      <c r="A1242" s="32" t="s">
        <v>5025</v>
      </c>
      <c r="B1242" s="32" t="s">
        <v>12030</v>
      </c>
      <c r="C1242" s="32" t="s">
        <v>12031</v>
      </c>
      <c r="D1242" s="32" t="s">
        <v>12032</v>
      </c>
      <c r="E1242" s="32" t="s">
        <v>12033</v>
      </c>
      <c r="F1242" s="33" t="s">
        <v>12034</v>
      </c>
      <c r="G1242" s="35" t="s">
        <v>12035</v>
      </c>
      <c r="H1242" s="34"/>
      <c r="I1242" s="34"/>
    </row>
    <row r="1243">
      <c r="A1243" s="32" t="s">
        <v>5029</v>
      </c>
      <c r="B1243" s="32" t="s">
        <v>12036</v>
      </c>
      <c r="C1243" s="32" t="s">
        <v>12037</v>
      </c>
      <c r="D1243" s="32" t="s">
        <v>12038</v>
      </c>
      <c r="E1243" s="32" t="s">
        <v>12039</v>
      </c>
      <c r="F1243" s="33" t="s">
        <v>12040</v>
      </c>
      <c r="G1243" s="35" t="s">
        <v>12041</v>
      </c>
      <c r="H1243" s="34"/>
      <c r="I1243" s="34"/>
    </row>
    <row r="1244">
      <c r="A1244" s="32" t="s">
        <v>5033</v>
      </c>
      <c r="B1244" s="32" t="s">
        <v>12042</v>
      </c>
      <c r="C1244" s="32" t="s">
        <v>12043</v>
      </c>
      <c r="D1244" s="32" t="s">
        <v>12044</v>
      </c>
      <c r="E1244" s="32" t="s">
        <v>12045</v>
      </c>
      <c r="F1244" s="33" t="s">
        <v>12046</v>
      </c>
      <c r="G1244" s="35" t="s">
        <v>12047</v>
      </c>
      <c r="H1244" s="34"/>
      <c r="I1244" s="34"/>
    </row>
    <row r="1245">
      <c r="A1245" s="32" t="s">
        <v>5037</v>
      </c>
      <c r="B1245" s="32" t="s">
        <v>12048</v>
      </c>
      <c r="C1245" s="32" t="s">
        <v>12049</v>
      </c>
      <c r="D1245" s="32" t="s">
        <v>12050</v>
      </c>
      <c r="E1245" s="32" t="s">
        <v>12051</v>
      </c>
      <c r="F1245" s="33" t="s">
        <v>12052</v>
      </c>
      <c r="G1245" s="35" t="s">
        <v>12053</v>
      </c>
      <c r="H1245" s="34"/>
      <c r="I1245" s="34"/>
    </row>
    <row r="1246">
      <c r="A1246" s="32" t="s">
        <v>5041</v>
      </c>
      <c r="B1246" s="32" t="s">
        <v>12054</v>
      </c>
      <c r="C1246" s="32" t="s">
        <v>12055</v>
      </c>
      <c r="D1246" s="32" t="s">
        <v>12056</v>
      </c>
      <c r="E1246" s="32" t="s">
        <v>12057</v>
      </c>
      <c r="F1246" s="33" t="s">
        <v>12058</v>
      </c>
      <c r="G1246" s="35" t="s">
        <v>12059</v>
      </c>
      <c r="H1246" s="34"/>
      <c r="I1246" s="34"/>
    </row>
    <row r="1247">
      <c r="A1247" s="32" t="s">
        <v>5045</v>
      </c>
      <c r="B1247" s="32" t="s">
        <v>12060</v>
      </c>
      <c r="C1247" s="32" t="s">
        <v>12061</v>
      </c>
      <c r="D1247" s="32" t="s">
        <v>12062</v>
      </c>
      <c r="E1247" s="32" t="s">
        <v>12063</v>
      </c>
      <c r="F1247" s="33" t="s">
        <v>12064</v>
      </c>
      <c r="G1247" s="35" t="s">
        <v>12065</v>
      </c>
      <c r="H1247" s="34"/>
      <c r="I1247" s="34"/>
    </row>
    <row r="1248">
      <c r="A1248" s="32" t="s">
        <v>5049</v>
      </c>
      <c r="B1248" s="32" t="s">
        <v>12066</v>
      </c>
      <c r="C1248" s="32" t="s">
        <v>12067</v>
      </c>
      <c r="D1248" s="32" t="s">
        <v>12068</v>
      </c>
      <c r="E1248" s="32" t="s">
        <v>12069</v>
      </c>
      <c r="F1248" s="33" t="s">
        <v>12070</v>
      </c>
      <c r="G1248" s="35" t="s">
        <v>12071</v>
      </c>
      <c r="H1248" s="34"/>
      <c r="I1248" s="34"/>
    </row>
    <row r="1249">
      <c r="A1249" s="32" t="s">
        <v>5053</v>
      </c>
      <c r="B1249" s="32" t="s">
        <v>12072</v>
      </c>
      <c r="C1249" s="32" t="s">
        <v>12073</v>
      </c>
      <c r="D1249" s="32" t="s">
        <v>12074</v>
      </c>
      <c r="E1249" s="32" t="s">
        <v>12075</v>
      </c>
      <c r="F1249" s="33" t="s">
        <v>12076</v>
      </c>
      <c r="G1249" s="35" t="s">
        <v>12077</v>
      </c>
      <c r="H1249" s="34"/>
      <c r="I1249" s="34"/>
    </row>
    <row r="1250">
      <c r="A1250" s="32" t="s">
        <v>5063</v>
      </c>
      <c r="B1250" s="32" t="s">
        <v>12078</v>
      </c>
      <c r="C1250" s="32" t="s">
        <v>12079</v>
      </c>
      <c r="D1250" s="32" t="s">
        <v>12080</v>
      </c>
      <c r="E1250" s="32" t="s">
        <v>12081</v>
      </c>
      <c r="F1250" s="33" t="s">
        <v>12082</v>
      </c>
      <c r="G1250" s="35" t="s">
        <v>12083</v>
      </c>
      <c r="H1250" s="34"/>
      <c r="I1250" s="34"/>
    </row>
    <row r="1251">
      <c r="A1251" s="32" t="s">
        <v>5067</v>
      </c>
      <c r="B1251" s="32" t="s">
        <v>12084</v>
      </c>
      <c r="C1251" s="32" t="s">
        <v>12085</v>
      </c>
      <c r="D1251" s="32" t="s">
        <v>12086</v>
      </c>
      <c r="E1251" s="32" t="s">
        <v>12087</v>
      </c>
      <c r="F1251" s="33" t="s">
        <v>12088</v>
      </c>
      <c r="G1251" s="35" t="s">
        <v>12089</v>
      </c>
      <c r="H1251" s="34"/>
      <c r="I1251" s="34"/>
    </row>
    <row r="1252">
      <c r="A1252" s="32" t="s">
        <v>5071</v>
      </c>
      <c r="B1252" s="32" t="s">
        <v>12090</v>
      </c>
      <c r="C1252" s="32" t="s">
        <v>12091</v>
      </c>
      <c r="D1252" s="32" t="s">
        <v>12092</v>
      </c>
      <c r="E1252" s="32" t="s">
        <v>12093</v>
      </c>
      <c r="F1252" s="33" t="s">
        <v>12094</v>
      </c>
      <c r="G1252" s="35" t="s">
        <v>12095</v>
      </c>
      <c r="H1252" s="34"/>
      <c r="I1252" s="34"/>
    </row>
    <row r="1253">
      <c r="A1253" s="32" t="s">
        <v>5075</v>
      </c>
      <c r="B1253" s="32" t="s">
        <v>12096</v>
      </c>
      <c r="C1253" s="32" t="s">
        <v>12097</v>
      </c>
      <c r="D1253" s="32" t="s">
        <v>12098</v>
      </c>
      <c r="E1253" s="32" t="s">
        <v>12099</v>
      </c>
      <c r="F1253" s="33" t="s">
        <v>12100</v>
      </c>
      <c r="G1253" s="35" t="s">
        <v>12101</v>
      </c>
      <c r="H1253" s="34"/>
      <c r="I1253" s="34"/>
    </row>
    <row r="1254">
      <c r="A1254" s="32" t="s">
        <v>5079</v>
      </c>
      <c r="B1254" s="32" t="s">
        <v>12102</v>
      </c>
      <c r="C1254" s="32" t="s">
        <v>12103</v>
      </c>
      <c r="D1254" s="32" t="s">
        <v>12104</v>
      </c>
      <c r="E1254" s="32" t="s">
        <v>12105</v>
      </c>
      <c r="F1254" s="33" t="s">
        <v>12106</v>
      </c>
      <c r="G1254" s="35" t="s">
        <v>12107</v>
      </c>
      <c r="H1254" s="34"/>
      <c r="I1254" s="34"/>
    </row>
    <row r="1255">
      <c r="A1255" s="32" t="s">
        <v>5083</v>
      </c>
      <c r="B1255" s="32" t="s">
        <v>12108</v>
      </c>
      <c r="C1255" s="32" t="s">
        <v>12109</v>
      </c>
      <c r="D1255" s="32" t="s">
        <v>12110</v>
      </c>
      <c r="E1255" s="32" t="s">
        <v>12111</v>
      </c>
      <c r="F1255" s="33" t="s">
        <v>12112</v>
      </c>
      <c r="G1255" s="35" t="s">
        <v>12113</v>
      </c>
      <c r="H1255" s="34"/>
      <c r="I1255" s="34"/>
    </row>
    <row r="1256">
      <c r="A1256" s="32" t="s">
        <v>5087</v>
      </c>
      <c r="B1256" s="32" t="s">
        <v>12114</v>
      </c>
      <c r="C1256" s="32" t="s">
        <v>12115</v>
      </c>
      <c r="D1256" s="32" t="s">
        <v>12116</v>
      </c>
      <c r="E1256" s="32" t="s">
        <v>12117</v>
      </c>
      <c r="F1256" s="33" t="s">
        <v>12118</v>
      </c>
      <c r="G1256" s="35" t="s">
        <v>12119</v>
      </c>
      <c r="H1256" s="34"/>
      <c r="I1256" s="34"/>
    </row>
    <row r="1257">
      <c r="A1257" s="32" t="s">
        <v>5091</v>
      </c>
      <c r="B1257" s="32" t="s">
        <v>12120</v>
      </c>
      <c r="C1257" s="32" t="s">
        <v>12121</v>
      </c>
      <c r="D1257" s="32" t="s">
        <v>12122</v>
      </c>
      <c r="E1257" s="32" t="s">
        <v>12123</v>
      </c>
      <c r="F1257" s="33" t="s">
        <v>12124</v>
      </c>
      <c r="G1257" s="35" t="s">
        <v>12125</v>
      </c>
      <c r="H1257" s="34"/>
      <c r="I1257" s="34"/>
    </row>
    <row r="1258">
      <c r="A1258" s="32" t="s">
        <v>5095</v>
      </c>
      <c r="B1258" s="32" t="s">
        <v>12126</v>
      </c>
      <c r="C1258" s="32" t="s">
        <v>12127</v>
      </c>
      <c r="D1258" s="32" t="s">
        <v>12128</v>
      </c>
      <c r="E1258" s="32" t="s">
        <v>12129</v>
      </c>
      <c r="F1258" s="33" t="s">
        <v>12130</v>
      </c>
      <c r="G1258" s="35" t="s">
        <v>12131</v>
      </c>
      <c r="H1258" s="34"/>
      <c r="I1258" s="34"/>
    </row>
    <row r="1259">
      <c r="A1259" s="32" t="s">
        <v>5099</v>
      </c>
      <c r="B1259" s="32" t="s">
        <v>12132</v>
      </c>
      <c r="C1259" s="32" t="s">
        <v>12133</v>
      </c>
      <c r="D1259" s="32" t="s">
        <v>12134</v>
      </c>
      <c r="E1259" s="32" t="s">
        <v>12135</v>
      </c>
      <c r="F1259" s="33" t="s">
        <v>12136</v>
      </c>
      <c r="G1259" s="35" t="s">
        <v>12137</v>
      </c>
      <c r="H1259" s="34"/>
      <c r="I1259" s="34"/>
    </row>
    <row r="1260">
      <c r="A1260" s="32" t="s">
        <v>5103</v>
      </c>
      <c r="B1260" s="32" t="s">
        <v>12138</v>
      </c>
      <c r="C1260" s="32" t="s">
        <v>12139</v>
      </c>
      <c r="D1260" s="32" t="s">
        <v>12140</v>
      </c>
      <c r="E1260" s="32" t="s">
        <v>12141</v>
      </c>
      <c r="F1260" s="33" t="s">
        <v>12142</v>
      </c>
      <c r="G1260" s="35" t="s">
        <v>12143</v>
      </c>
      <c r="H1260" s="34"/>
      <c r="I1260" s="34"/>
    </row>
    <row r="1261">
      <c r="A1261" s="32" t="s">
        <v>5107</v>
      </c>
      <c r="B1261" s="32" t="s">
        <v>12144</v>
      </c>
      <c r="C1261" s="32" t="s">
        <v>12145</v>
      </c>
      <c r="D1261" s="32" t="s">
        <v>12146</v>
      </c>
      <c r="E1261" s="32" t="s">
        <v>12147</v>
      </c>
      <c r="F1261" s="33" t="s">
        <v>12148</v>
      </c>
      <c r="G1261" s="35" t="s">
        <v>12149</v>
      </c>
      <c r="H1261" s="34"/>
      <c r="I1261" s="34"/>
    </row>
    <row r="1262">
      <c r="A1262" s="32" t="s">
        <v>5111</v>
      </c>
      <c r="B1262" s="32" t="s">
        <v>12150</v>
      </c>
      <c r="C1262" s="32" t="s">
        <v>12151</v>
      </c>
      <c r="D1262" s="32" t="s">
        <v>12152</v>
      </c>
      <c r="E1262" s="32" t="s">
        <v>12153</v>
      </c>
      <c r="F1262" s="33" t="s">
        <v>12154</v>
      </c>
      <c r="G1262" s="35" t="s">
        <v>12155</v>
      </c>
      <c r="H1262" s="34"/>
      <c r="I1262" s="34"/>
    </row>
    <row r="1263">
      <c r="A1263" s="32" t="s">
        <v>5117</v>
      </c>
      <c r="B1263" s="32" t="s">
        <v>12156</v>
      </c>
      <c r="C1263" s="32" t="s">
        <v>12157</v>
      </c>
      <c r="D1263" s="32" t="s">
        <v>12158</v>
      </c>
      <c r="E1263" s="32" t="s">
        <v>12159</v>
      </c>
      <c r="F1263" s="33" t="s">
        <v>12160</v>
      </c>
      <c r="G1263" s="35" t="s">
        <v>12161</v>
      </c>
      <c r="H1263" s="34"/>
      <c r="I1263" s="34"/>
    </row>
    <row r="1264">
      <c r="A1264" s="32" t="s">
        <v>5121</v>
      </c>
      <c r="B1264" s="32" t="s">
        <v>12162</v>
      </c>
      <c r="C1264" s="32" t="s">
        <v>12163</v>
      </c>
      <c r="D1264" s="32" t="s">
        <v>12164</v>
      </c>
      <c r="E1264" s="32" t="s">
        <v>12165</v>
      </c>
      <c r="F1264" s="33" t="s">
        <v>12166</v>
      </c>
      <c r="G1264" s="35" t="s">
        <v>12167</v>
      </c>
      <c r="H1264" s="34"/>
      <c r="I1264" s="34"/>
    </row>
    <row r="1265">
      <c r="A1265" s="32" t="s">
        <v>5125</v>
      </c>
      <c r="B1265" s="32" t="s">
        <v>12168</v>
      </c>
      <c r="C1265" s="32" t="s">
        <v>12169</v>
      </c>
      <c r="D1265" s="32" t="s">
        <v>12170</v>
      </c>
      <c r="E1265" s="32" t="s">
        <v>12171</v>
      </c>
      <c r="F1265" s="33" t="s">
        <v>12172</v>
      </c>
      <c r="G1265" s="35" t="s">
        <v>12173</v>
      </c>
      <c r="H1265" s="34"/>
      <c r="I1265" s="34"/>
    </row>
    <row r="1266">
      <c r="A1266" s="32" t="s">
        <v>5131</v>
      </c>
      <c r="B1266" s="32" t="s">
        <v>12174</v>
      </c>
      <c r="C1266" s="32" t="s">
        <v>12175</v>
      </c>
      <c r="D1266" s="32" t="s">
        <v>12176</v>
      </c>
      <c r="E1266" s="32" t="s">
        <v>12177</v>
      </c>
      <c r="F1266" s="33" t="s">
        <v>12178</v>
      </c>
      <c r="G1266" s="35" t="s">
        <v>12179</v>
      </c>
      <c r="H1266" s="34"/>
      <c r="I1266" s="34"/>
    </row>
    <row r="1267">
      <c r="A1267" s="32" t="s">
        <v>5135</v>
      </c>
      <c r="B1267" s="32" t="s">
        <v>12180</v>
      </c>
      <c r="C1267" s="32" t="s">
        <v>12181</v>
      </c>
      <c r="D1267" s="32" t="s">
        <v>12182</v>
      </c>
      <c r="E1267" s="32" t="s">
        <v>12183</v>
      </c>
      <c r="F1267" s="33" t="s">
        <v>12184</v>
      </c>
      <c r="G1267" s="35" t="s">
        <v>12185</v>
      </c>
      <c r="H1267" s="34"/>
      <c r="I1267" s="34"/>
    </row>
    <row r="1268">
      <c r="A1268" s="32" t="s">
        <v>5139</v>
      </c>
      <c r="B1268" s="32" t="s">
        <v>12186</v>
      </c>
      <c r="C1268" s="32" t="s">
        <v>12187</v>
      </c>
      <c r="D1268" s="32" t="s">
        <v>12188</v>
      </c>
      <c r="E1268" s="32" t="s">
        <v>12189</v>
      </c>
      <c r="F1268" s="33" t="s">
        <v>12190</v>
      </c>
      <c r="G1268" s="35" t="s">
        <v>12191</v>
      </c>
      <c r="H1268" s="34"/>
      <c r="I1268" s="34"/>
    </row>
    <row r="1269">
      <c r="A1269" s="32" t="s">
        <v>5143</v>
      </c>
      <c r="B1269" s="32" t="s">
        <v>12192</v>
      </c>
      <c r="C1269" s="32" t="s">
        <v>12193</v>
      </c>
      <c r="D1269" s="32" t="s">
        <v>12194</v>
      </c>
      <c r="E1269" s="32" t="s">
        <v>12195</v>
      </c>
      <c r="F1269" s="33" t="s">
        <v>12196</v>
      </c>
      <c r="G1269" s="35" t="s">
        <v>12197</v>
      </c>
      <c r="H1269" s="34"/>
      <c r="I1269" s="34"/>
    </row>
    <row r="1270">
      <c r="A1270" s="32" t="s">
        <v>5147</v>
      </c>
      <c r="B1270" s="32" t="s">
        <v>12198</v>
      </c>
      <c r="C1270" s="32" t="s">
        <v>12199</v>
      </c>
      <c r="D1270" s="32" t="s">
        <v>12200</v>
      </c>
      <c r="E1270" s="32" t="s">
        <v>12201</v>
      </c>
      <c r="F1270" s="33" t="s">
        <v>12202</v>
      </c>
      <c r="G1270" s="35" t="s">
        <v>12203</v>
      </c>
      <c r="H1270" s="34"/>
      <c r="I1270" s="34"/>
    </row>
    <row r="1271">
      <c r="A1271" s="32" t="s">
        <v>5151</v>
      </c>
      <c r="B1271" s="32" t="s">
        <v>12204</v>
      </c>
      <c r="C1271" s="32" t="s">
        <v>12205</v>
      </c>
      <c r="D1271" s="32" t="s">
        <v>12206</v>
      </c>
      <c r="E1271" s="32" t="s">
        <v>12207</v>
      </c>
      <c r="F1271" s="33" t="s">
        <v>12208</v>
      </c>
      <c r="G1271" s="35" t="s">
        <v>12209</v>
      </c>
      <c r="H1271" s="34"/>
      <c r="I1271" s="34"/>
    </row>
    <row r="1272">
      <c r="A1272" s="32" t="s">
        <v>5155</v>
      </c>
      <c r="B1272" s="32" t="s">
        <v>12210</v>
      </c>
      <c r="C1272" s="32" t="s">
        <v>12211</v>
      </c>
      <c r="D1272" s="32" t="s">
        <v>12212</v>
      </c>
      <c r="E1272" s="32" t="s">
        <v>12213</v>
      </c>
      <c r="F1272" s="33" t="s">
        <v>12214</v>
      </c>
      <c r="G1272" s="35" t="s">
        <v>12215</v>
      </c>
      <c r="H1272" s="34"/>
      <c r="I1272" s="34"/>
    </row>
    <row r="1273">
      <c r="A1273" s="32" t="s">
        <v>5161</v>
      </c>
      <c r="B1273" s="32" t="s">
        <v>12216</v>
      </c>
      <c r="C1273" s="32" t="s">
        <v>12217</v>
      </c>
      <c r="D1273" s="32" t="s">
        <v>12218</v>
      </c>
      <c r="E1273" s="32" t="s">
        <v>12219</v>
      </c>
      <c r="F1273" s="33" t="s">
        <v>12220</v>
      </c>
      <c r="G1273" s="35" t="s">
        <v>12221</v>
      </c>
      <c r="H1273" s="34"/>
      <c r="I1273" s="34"/>
    </row>
    <row r="1274">
      <c r="A1274" s="32" t="s">
        <v>5165</v>
      </c>
      <c r="B1274" s="32" t="s">
        <v>12222</v>
      </c>
      <c r="C1274" s="32" t="s">
        <v>12223</v>
      </c>
      <c r="D1274" s="32" t="s">
        <v>12224</v>
      </c>
      <c r="E1274" s="32" t="s">
        <v>12225</v>
      </c>
      <c r="F1274" s="33" t="s">
        <v>12226</v>
      </c>
      <c r="G1274" s="35" t="s">
        <v>12227</v>
      </c>
      <c r="H1274" s="34"/>
      <c r="I1274" s="34"/>
    </row>
    <row r="1275">
      <c r="A1275" s="32" t="s">
        <v>5169</v>
      </c>
      <c r="B1275" s="32" t="s">
        <v>12228</v>
      </c>
      <c r="C1275" s="32" t="s">
        <v>12229</v>
      </c>
      <c r="D1275" s="32" t="s">
        <v>12230</v>
      </c>
      <c r="E1275" s="32" t="s">
        <v>12231</v>
      </c>
      <c r="F1275" s="33" t="s">
        <v>12232</v>
      </c>
      <c r="G1275" s="35" t="s">
        <v>12233</v>
      </c>
      <c r="H1275" s="34"/>
      <c r="I1275" s="34"/>
    </row>
    <row r="1276">
      <c r="A1276" s="32" t="s">
        <v>5173</v>
      </c>
      <c r="B1276" s="32" t="s">
        <v>12234</v>
      </c>
      <c r="C1276" s="32" t="s">
        <v>12235</v>
      </c>
      <c r="D1276" s="32" t="s">
        <v>12236</v>
      </c>
      <c r="E1276" s="32" t="s">
        <v>12237</v>
      </c>
      <c r="F1276" s="33" t="s">
        <v>12238</v>
      </c>
      <c r="G1276" s="35" t="s">
        <v>12239</v>
      </c>
      <c r="H1276" s="34"/>
      <c r="I1276" s="34"/>
    </row>
    <row r="1277">
      <c r="A1277" s="32" t="s">
        <v>5179</v>
      </c>
      <c r="B1277" s="32" t="s">
        <v>12240</v>
      </c>
      <c r="C1277" s="32" t="s">
        <v>12241</v>
      </c>
      <c r="D1277" s="32" t="s">
        <v>12242</v>
      </c>
      <c r="E1277" s="32" t="s">
        <v>12243</v>
      </c>
      <c r="F1277" s="33" t="s">
        <v>12244</v>
      </c>
      <c r="G1277" s="35" t="s">
        <v>12245</v>
      </c>
      <c r="H1277" s="34"/>
      <c r="I1277" s="34"/>
    </row>
    <row r="1278">
      <c r="A1278" s="32" t="s">
        <v>5183</v>
      </c>
      <c r="B1278" s="32" t="s">
        <v>12246</v>
      </c>
      <c r="C1278" s="32" t="s">
        <v>12247</v>
      </c>
      <c r="D1278" s="32" t="s">
        <v>12248</v>
      </c>
      <c r="E1278" s="32" t="s">
        <v>12249</v>
      </c>
      <c r="F1278" s="33" t="s">
        <v>12250</v>
      </c>
      <c r="G1278" s="35" t="s">
        <v>12251</v>
      </c>
      <c r="H1278" s="34"/>
      <c r="I1278" s="34"/>
    </row>
    <row r="1279">
      <c r="A1279" s="32" t="s">
        <v>5187</v>
      </c>
      <c r="B1279" s="32" t="s">
        <v>12252</v>
      </c>
      <c r="C1279" s="32" t="s">
        <v>12253</v>
      </c>
      <c r="D1279" s="32" t="s">
        <v>12254</v>
      </c>
      <c r="E1279" s="32" t="s">
        <v>12255</v>
      </c>
      <c r="F1279" s="33" t="s">
        <v>12256</v>
      </c>
      <c r="G1279" s="35" t="s">
        <v>12257</v>
      </c>
      <c r="H1279" s="34"/>
      <c r="I1279" s="34"/>
    </row>
    <row r="1280">
      <c r="A1280" s="32" t="s">
        <v>5191</v>
      </c>
      <c r="B1280" s="32" t="s">
        <v>12258</v>
      </c>
      <c r="C1280" s="32" t="s">
        <v>12259</v>
      </c>
      <c r="D1280" s="32" t="s">
        <v>12260</v>
      </c>
      <c r="E1280" s="32" t="s">
        <v>12261</v>
      </c>
      <c r="F1280" s="33" t="s">
        <v>12262</v>
      </c>
      <c r="G1280" s="35" t="s">
        <v>12263</v>
      </c>
      <c r="H1280" s="34"/>
      <c r="I1280" s="34"/>
    </row>
    <row r="1281">
      <c r="A1281" s="32" t="s">
        <v>5195</v>
      </c>
      <c r="B1281" s="32" t="s">
        <v>12264</v>
      </c>
      <c r="C1281" s="32" t="s">
        <v>12265</v>
      </c>
      <c r="D1281" s="32" t="s">
        <v>12266</v>
      </c>
      <c r="E1281" s="32" t="s">
        <v>12267</v>
      </c>
      <c r="F1281" s="33" t="s">
        <v>12268</v>
      </c>
      <c r="G1281" s="35" t="s">
        <v>12269</v>
      </c>
      <c r="H1281" s="34"/>
      <c r="I1281" s="34"/>
    </row>
    <row r="1282">
      <c r="A1282" s="32" t="s">
        <v>5199</v>
      </c>
      <c r="B1282" s="32" t="s">
        <v>12270</v>
      </c>
      <c r="C1282" s="32" t="s">
        <v>12271</v>
      </c>
      <c r="D1282" s="32" t="s">
        <v>12272</v>
      </c>
      <c r="E1282" s="32" t="s">
        <v>12273</v>
      </c>
      <c r="F1282" s="33" t="s">
        <v>12274</v>
      </c>
      <c r="G1282" s="35" t="s">
        <v>12275</v>
      </c>
      <c r="H1282" s="34"/>
      <c r="I1282" s="34"/>
    </row>
    <row r="1283">
      <c r="A1283" s="32" t="s">
        <v>5203</v>
      </c>
      <c r="B1283" s="32" t="s">
        <v>12276</v>
      </c>
      <c r="C1283" s="32" t="s">
        <v>12277</v>
      </c>
      <c r="D1283" s="32" t="s">
        <v>12278</v>
      </c>
      <c r="E1283" s="32" t="s">
        <v>12279</v>
      </c>
      <c r="F1283" s="33" t="s">
        <v>12280</v>
      </c>
      <c r="G1283" s="35" t="s">
        <v>12281</v>
      </c>
      <c r="H1283" s="34"/>
      <c r="I1283" s="34"/>
    </row>
    <row r="1284">
      <c r="A1284" s="32" t="s">
        <v>5207</v>
      </c>
      <c r="B1284" s="32" t="s">
        <v>12282</v>
      </c>
      <c r="C1284" s="32" t="s">
        <v>12283</v>
      </c>
      <c r="D1284" s="32" t="s">
        <v>12284</v>
      </c>
      <c r="E1284" s="32" t="s">
        <v>12285</v>
      </c>
      <c r="F1284" s="33" t="s">
        <v>12286</v>
      </c>
      <c r="G1284" s="35" t="s">
        <v>12287</v>
      </c>
      <c r="H1284" s="34"/>
      <c r="I1284" s="34"/>
    </row>
    <row r="1285">
      <c r="A1285" s="32" t="s">
        <v>5211</v>
      </c>
      <c r="B1285" s="32" t="s">
        <v>12288</v>
      </c>
      <c r="C1285" s="32" t="s">
        <v>12289</v>
      </c>
      <c r="D1285" s="32" t="s">
        <v>12290</v>
      </c>
      <c r="E1285" s="32" t="s">
        <v>12291</v>
      </c>
      <c r="F1285" s="33" t="s">
        <v>12292</v>
      </c>
      <c r="G1285" s="35" t="s">
        <v>12293</v>
      </c>
      <c r="H1285" s="34"/>
      <c r="I1285" s="34"/>
    </row>
    <row r="1286">
      <c r="A1286" s="32" t="s">
        <v>5215</v>
      </c>
      <c r="B1286" s="32" t="s">
        <v>12294</v>
      </c>
      <c r="C1286" s="32" t="s">
        <v>12295</v>
      </c>
      <c r="D1286" s="32" t="s">
        <v>12296</v>
      </c>
      <c r="E1286" s="32" t="s">
        <v>12297</v>
      </c>
      <c r="F1286" s="33" t="s">
        <v>12298</v>
      </c>
      <c r="G1286" s="35" t="s">
        <v>12299</v>
      </c>
      <c r="H1286" s="34"/>
      <c r="I1286" s="34"/>
    </row>
    <row r="1287">
      <c r="A1287" s="32" t="s">
        <v>5219</v>
      </c>
      <c r="B1287" s="32" t="s">
        <v>12300</v>
      </c>
      <c r="C1287" s="32" t="s">
        <v>12301</v>
      </c>
      <c r="D1287" s="32" t="s">
        <v>12302</v>
      </c>
      <c r="E1287" s="32" t="s">
        <v>12303</v>
      </c>
      <c r="F1287" s="33" t="s">
        <v>12304</v>
      </c>
      <c r="G1287" s="35" t="s">
        <v>12305</v>
      </c>
      <c r="H1287" s="34"/>
      <c r="I1287" s="34"/>
    </row>
    <row r="1288">
      <c r="A1288" s="32" t="s">
        <v>5223</v>
      </c>
      <c r="B1288" s="32" t="s">
        <v>12306</v>
      </c>
      <c r="C1288" s="32" t="s">
        <v>12307</v>
      </c>
      <c r="D1288" s="32" t="s">
        <v>12308</v>
      </c>
      <c r="E1288" s="32" t="s">
        <v>12309</v>
      </c>
      <c r="F1288" s="33" t="s">
        <v>12310</v>
      </c>
      <c r="G1288" s="35" t="s">
        <v>12311</v>
      </c>
      <c r="H1288" s="34"/>
      <c r="I1288" s="34"/>
    </row>
    <row r="1289">
      <c r="A1289" s="32" t="s">
        <v>5227</v>
      </c>
      <c r="B1289" s="32" t="s">
        <v>12312</v>
      </c>
      <c r="C1289" s="32" t="s">
        <v>12313</v>
      </c>
      <c r="D1289" s="32" t="s">
        <v>12314</v>
      </c>
      <c r="E1289" s="32" t="s">
        <v>12315</v>
      </c>
      <c r="F1289" s="33" t="s">
        <v>12316</v>
      </c>
      <c r="G1289" s="35" t="s">
        <v>12317</v>
      </c>
      <c r="H1289" s="34"/>
      <c r="I1289" s="34"/>
    </row>
    <row r="1290">
      <c r="A1290" s="32" t="s">
        <v>5231</v>
      </c>
      <c r="B1290" s="32" t="s">
        <v>12318</v>
      </c>
      <c r="C1290" s="32" t="s">
        <v>12319</v>
      </c>
      <c r="D1290" s="32" t="s">
        <v>12320</v>
      </c>
      <c r="E1290" s="32" t="s">
        <v>12321</v>
      </c>
      <c r="F1290" s="33" t="s">
        <v>12322</v>
      </c>
      <c r="G1290" s="35" t="s">
        <v>12323</v>
      </c>
      <c r="H1290" s="34"/>
      <c r="I1290" s="34"/>
    </row>
    <row r="1291">
      <c r="A1291" s="32" t="s">
        <v>5235</v>
      </c>
      <c r="B1291" s="32" t="s">
        <v>12324</v>
      </c>
      <c r="C1291" s="32" t="s">
        <v>12325</v>
      </c>
      <c r="D1291" s="32" t="s">
        <v>12326</v>
      </c>
      <c r="E1291" s="32" t="s">
        <v>12327</v>
      </c>
      <c r="F1291" s="33" t="s">
        <v>12328</v>
      </c>
      <c r="G1291" s="35" t="s">
        <v>12329</v>
      </c>
      <c r="H1291" s="34"/>
      <c r="I1291" s="34"/>
    </row>
    <row r="1292">
      <c r="A1292" s="32" t="s">
        <v>5239</v>
      </c>
      <c r="B1292" s="32" t="s">
        <v>12330</v>
      </c>
      <c r="C1292" s="32" t="s">
        <v>12331</v>
      </c>
      <c r="D1292" s="32" t="s">
        <v>12332</v>
      </c>
      <c r="E1292" s="32" t="s">
        <v>12333</v>
      </c>
      <c r="F1292" s="33" t="s">
        <v>12334</v>
      </c>
      <c r="G1292" s="35" t="s">
        <v>12335</v>
      </c>
      <c r="H1292" s="34"/>
      <c r="I1292" s="34"/>
    </row>
    <row r="1293">
      <c r="A1293" s="32" t="s">
        <v>5243</v>
      </c>
      <c r="B1293" s="32" t="s">
        <v>12336</v>
      </c>
      <c r="C1293" s="32" t="s">
        <v>12337</v>
      </c>
      <c r="D1293" s="32" t="s">
        <v>12338</v>
      </c>
      <c r="E1293" s="32" t="s">
        <v>12339</v>
      </c>
      <c r="F1293" s="33" t="s">
        <v>12340</v>
      </c>
      <c r="G1293" s="35" t="s">
        <v>12341</v>
      </c>
      <c r="H1293" s="34"/>
      <c r="I1293" s="34"/>
    </row>
    <row r="1294">
      <c r="A1294" s="32" t="s">
        <v>5247</v>
      </c>
      <c r="B1294" s="32" t="s">
        <v>12342</v>
      </c>
      <c r="C1294" s="32" t="s">
        <v>12343</v>
      </c>
      <c r="D1294" s="32" t="s">
        <v>12344</v>
      </c>
      <c r="E1294" s="32" t="s">
        <v>12345</v>
      </c>
      <c r="F1294" s="33" t="s">
        <v>12346</v>
      </c>
      <c r="G1294" s="35" t="s">
        <v>12347</v>
      </c>
      <c r="H1294" s="34"/>
      <c r="I1294" s="34"/>
    </row>
    <row r="1295">
      <c r="A1295" s="32" t="s">
        <v>5251</v>
      </c>
      <c r="B1295" s="32" t="s">
        <v>12348</v>
      </c>
      <c r="C1295" s="32" t="s">
        <v>12349</v>
      </c>
      <c r="D1295" s="32" t="s">
        <v>12350</v>
      </c>
      <c r="E1295" s="32" t="s">
        <v>12351</v>
      </c>
      <c r="F1295" s="33" t="s">
        <v>12352</v>
      </c>
      <c r="G1295" s="35" t="s">
        <v>12353</v>
      </c>
      <c r="H1295" s="34"/>
      <c r="I1295" s="34"/>
    </row>
    <row r="1296">
      <c r="A1296" s="32" t="s">
        <v>5255</v>
      </c>
      <c r="B1296" s="32" t="s">
        <v>12354</v>
      </c>
      <c r="C1296" s="32" t="s">
        <v>12355</v>
      </c>
      <c r="D1296" s="32" t="s">
        <v>12356</v>
      </c>
      <c r="E1296" s="32" t="s">
        <v>12357</v>
      </c>
      <c r="F1296" s="33" t="s">
        <v>12358</v>
      </c>
      <c r="G1296" s="35" t="s">
        <v>12359</v>
      </c>
      <c r="H1296" s="34"/>
      <c r="I1296" s="34"/>
    </row>
    <row r="1297">
      <c r="A1297" s="32" t="s">
        <v>5259</v>
      </c>
      <c r="B1297" s="32" t="s">
        <v>12360</v>
      </c>
      <c r="C1297" s="32" t="s">
        <v>12361</v>
      </c>
      <c r="D1297" s="32" t="s">
        <v>12362</v>
      </c>
      <c r="E1297" s="32" t="s">
        <v>12363</v>
      </c>
      <c r="F1297" s="33" t="s">
        <v>12364</v>
      </c>
      <c r="G1297" s="35" t="s">
        <v>12365</v>
      </c>
      <c r="H1297" s="34"/>
      <c r="I1297" s="34"/>
    </row>
    <row r="1298">
      <c r="A1298" s="32" t="s">
        <v>5263</v>
      </c>
      <c r="B1298" s="32" t="s">
        <v>12366</v>
      </c>
      <c r="C1298" s="32" t="s">
        <v>12367</v>
      </c>
      <c r="D1298" s="32" t="s">
        <v>12368</v>
      </c>
      <c r="E1298" s="32" t="s">
        <v>12369</v>
      </c>
      <c r="F1298" s="33" t="s">
        <v>12370</v>
      </c>
      <c r="G1298" s="35" t="s">
        <v>12371</v>
      </c>
      <c r="H1298" s="34"/>
      <c r="I1298" s="34"/>
    </row>
    <row r="1299">
      <c r="A1299" s="32" t="s">
        <v>5267</v>
      </c>
      <c r="B1299" s="32" t="s">
        <v>12372</v>
      </c>
      <c r="C1299" s="32" t="s">
        <v>12373</v>
      </c>
      <c r="D1299" s="32" t="s">
        <v>12374</v>
      </c>
      <c r="E1299" s="32" t="s">
        <v>12375</v>
      </c>
      <c r="F1299" s="33" t="s">
        <v>12376</v>
      </c>
      <c r="G1299" s="35" t="s">
        <v>12377</v>
      </c>
      <c r="H1299" s="34"/>
      <c r="I1299" s="34"/>
    </row>
    <row r="1300">
      <c r="A1300" s="32" t="s">
        <v>5271</v>
      </c>
      <c r="B1300" s="32" t="s">
        <v>12378</v>
      </c>
      <c r="C1300" s="32" t="s">
        <v>12379</v>
      </c>
      <c r="D1300" s="32" t="s">
        <v>12380</v>
      </c>
      <c r="E1300" s="32" t="s">
        <v>12381</v>
      </c>
      <c r="F1300" s="33" t="s">
        <v>12382</v>
      </c>
      <c r="G1300" s="35" t="s">
        <v>12383</v>
      </c>
      <c r="H1300" s="34"/>
      <c r="I1300" s="34"/>
    </row>
    <row r="1301">
      <c r="A1301" s="32" t="s">
        <v>5275</v>
      </c>
      <c r="B1301" s="32" t="s">
        <v>12384</v>
      </c>
      <c r="C1301" s="32" t="s">
        <v>12385</v>
      </c>
      <c r="D1301" s="32" t="s">
        <v>12386</v>
      </c>
      <c r="E1301" s="32" t="s">
        <v>12387</v>
      </c>
      <c r="F1301" s="33" t="s">
        <v>12388</v>
      </c>
      <c r="G1301" s="35" t="s">
        <v>12389</v>
      </c>
      <c r="H1301" s="34"/>
      <c r="I1301" s="34"/>
    </row>
    <row r="1302">
      <c r="A1302" s="32" t="s">
        <v>5279</v>
      </c>
      <c r="B1302" s="32" t="s">
        <v>12390</v>
      </c>
      <c r="C1302" s="32" t="s">
        <v>12391</v>
      </c>
      <c r="D1302" s="32" t="s">
        <v>12392</v>
      </c>
      <c r="E1302" s="32" t="s">
        <v>12393</v>
      </c>
      <c r="F1302" s="33" t="s">
        <v>12394</v>
      </c>
      <c r="G1302" s="35" t="s">
        <v>12395</v>
      </c>
      <c r="H1302" s="34"/>
      <c r="I1302" s="34"/>
    </row>
    <row r="1303">
      <c r="A1303" s="32" t="s">
        <v>5283</v>
      </c>
      <c r="B1303" s="32" t="s">
        <v>12396</v>
      </c>
      <c r="C1303" s="32" t="s">
        <v>12397</v>
      </c>
      <c r="D1303" s="32" t="s">
        <v>12398</v>
      </c>
      <c r="E1303" s="32" t="s">
        <v>12399</v>
      </c>
      <c r="F1303" s="33" t="s">
        <v>12400</v>
      </c>
      <c r="G1303" s="35" t="s">
        <v>12401</v>
      </c>
      <c r="H1303" s="34"/>
      <c r="I1303" s="34"/>
    </row>
    <row r="1304">
      <c r="A1304" s="32" t="s">
        <v>5287</v>
      </c>
      <c r="B1304" s="32" t="s">
        <v>12402</v>
      </c>
      <c r="C1304" s="32" t="s">
        <v>12403</v>
      </c>
      <c r="D1304" s="32" t="s">
        <v>12404</v>
      </c>
      <c r="E1304" s="32" t="s">
        <v>12405</v>
      </c>
      <c r="F1304" s="33" t="s">
        <v>12406</v>
      </c>
      <c r="G1304" s="35" t="s">
        <v>12407</v>
      </c>
      <c r="H1304" s="34"/>
      <c r="I1304" s="34"/>
    </row>
    <row r="1305">
      <c r="A1305" s="32" t="s">
        <v>5291</v>
      </c>
      <c r="B1305" s="32" t="s">
        <v>12408</v>
      </c>
      <c r="C1305" s="32" t="s">
        <v>12409</v>
      </c>
      <c r="D1305" s="32" t="s">
        <v>12410</v>
      </c>
      <c r="E1305" s="32" t="s">
        <v>12411</v>
      </c>
      <c r="F1305" s="33" t="s">
        <v>12412</v>
      </c>
      <c r="G1305" s="35" t="s">
        <v>12413</v>
      </c>
      <c r="H1305" s="34"/>
      <c r="I1305" s="34"/>
    </row>
    <row r="1306">
      <c r="A1306" s="32" t="s">
        <v>5295</v>
      </c>
      <c r="B1306" s="32" t="s">
        <v>12414</v>
      </c>
      <c r="C1306" s="32" t="s">
        <v>12415</v>
      </c>
      <c r="D1306" s="32" t="s">
        <v>12416</v>
      </c>
      <c r="E1306" s="32" t="s">
        <v>12417</v>
      </c>
      <c r="F1306" s="33" t="s">
        <v>12418</v>
      </c>
      <c r="G1306" s="35" t="s">
        <v>12419</v>
      </c>
      <c r="H1306" s="34"/>
      <c r="I1306" s="34"/>
    </row>
    <row r="1307">
      <c r="A1307" s="32" t="s">
        <v>5302</v>
      </c>
      <c r="B1307" s="32" t="s">
        <v>12420</v>
      </c>
      <c r="C1307" s="32" t="s">
        <v>12421</v>
      </c>
      <c r="D1307" s="32" t="s">
        <v>12422</v>
      </c>
      <c r="E1307" s="32" t="s">
        <v>12423</v>
      </c>
      <c r="F1307" s="33" t="s">
        <v>12424</v>
      </c>
      <c r="G1307" s="35" t="s">
        <v>12425</v>
      </c>
      <c r="H1307" s="34"/>
      <c r="I1307" s="34"/>
    </row>
    <row r="1308">
      <c r="A1308" s="32" t="s">
        <v>5306</v>
      </c>
      <c r="B1308" s="32" t="s">
        <v>12426</v>
      </c>
      <c r="C1308" s="32" t="s">
        <v>12427</v>
      </c>
      <c r="D1308" s="32" t="s">
        <v>12428</v>
      </c>
      <c r="E1308" s="32" t="s">
        <v>12429</v>
      </c>
      <c r="F1308" s="33" t="s">
        <v>12430</v>
      </c>
      <c r="G1308" s="35" t="s">
        <v>12431</v>
      </c>
      <c r="H1308" s="34"/>
      <c r="I1308" s="34"/>
    </row>
    <row r="1309">
      <c r="A1309" s="32" t="s">
        <v>5311</v>
      </c>
      <c r="B1309" s="32" t="s">
        <v>12432</v>
      </c>
      <c r="C1309" s="32" t="s">
        <v>12433</v>
      </c>
      <c r="D1309" s="32" t="s">
        <v>12434</v>
      </c>
      <c r="E1309" s="32" t="s">
        <v>12435</v>
      </c>
      <c r="F1309" s="33" t="s">
        <v>12436</v>
      </c>
      <c r="G1309" s="35" t="s">
        <v>12437</v>
      </c>
      <c r="H1309" s="34"/>
      <c r="I1309" s="34"/>
    </row>
    <row r="1310">
      <c r="A1310" s="32" t="s">
        <v>5315</v>
      </c>
      <c r="B1310" s="32" t="s">
        <v>12438</v>
      </c>
      <c r="C1310" s="32" t="s">
        <v>12439</v>
      </c>
      <c r="D1310" s="32" t="s">
        <v>12440</v>
      </c>
      <c r="E1310" s="32" t="s">
        <v>12441</v>
      </c>
      <c r="F1310" s="33" t="s">
        <v>12442</v>
      </c>
      <c r="G1310" s="35" t="s">
        <v>12443</v>
      </c>
      <c r="H1310" s="34"/>
      <c r="I1310" s="34"/>
    </row>
    <row r="1311">
      <c r="A1311" s="32" t="s">
        <v>5319</v>
      </c>
      <c r="B1311" s="32" t="s">
        <v>12444</v>
      </c>
      <c r="C1311" s="32" t="s">
        <v>12445</v>
      </c>
      <c r="D1311" s="32" t="s">
        <v>12446</v>
      </c>
      <c r="E1311" s="32" t="s">
        <v>12447</v>
      </c>
      <c r="F1311" s="33" t="s">
        <v>12448</v>
      </c>
      <c r="G1311" s="35" t="s">
        <v>12449</v>
      </c>
      <c r="H1311" s="34"/>
      <c r="I1311" s="34"/>
    </row>
    <row r="1312">
      <c r="A1312" s="32" t="s">
        <v>5323</v>
      </c>
      <c r="B1312" s="32" t="s">
        <v>12450</v>
      </c>
      <c r="C1312" s="32" t="s">
        <v>12451</v>
      </c>
      <c r="D1312" s="32" t="s">
        <v>12452</v>
      </c>
      <c r="E1312" s="32" t="s">
        <v>12453</v>
      </c>
      <c r="F1312" s="33" t="s">
        <v>12454</v>
      </c>
      <c r="G1312" s="35" t="s">
        <v>12455</v>
      </c>
      <c r="H1312" s="34"/>
      <c r="I1312" s="34"/>
    </row>
    <row r="1313">
      <c r="A1313" s="32" t="s">
        <v>5327</v>
      </c>
      <c r="B1313" s="32" t="s">
        <v>12456</v>
      </c>
      <c r="C1313" s="32" t="s">
        <v>12457</v>
      </c>
      <c r="D1313" s="32" t="s">
        <v>12458</v>
      </c>
      <c r="E1313" s="32" t="s">
        <v>12459</v>
      </c>
      <c r="F1313" s="33" t="s">
        <v>12460</v>
      </c>
      <c r="G1313" s="35" t="s">
        <v>12461</v>
      </c>
      <c r="H1313" s="34"/>
      <c r="I1313" s="34"/>
    </row>
    <row r="1314">
      <c r="A1314" s="32" t="s">
        <v>5330</v>
      </c>
      <c r="B1314" s="32" t="s">
        <v>12462</v>
      </c>
      <c r="C1314" s="32" t="s">
        <v>12463</v>
      </c>
      <c r="D1314" s="32" t="s">
        <v>12464</v>
      </c>
      <c r="E1314" s="32" t="s">
        <v>12465</v>
      </c>
      <c r="F1314" s="33" t="s">
        <v>12466</v>
      </c>
      <c r="G1314" s="35" t="s">
        <v>12467</v>
      </c>
      <c r="H1314" s="34"/>
      <c r="I1314" s="34"/>
    </row>
    <row r="1315">
      <c r="A1315" s="32" t="s">
        <v>5334</v>
      </c>
      <c r="B1315" s="32" t="s">
        <v>12468</v>
      </c>
      <c r="C1315" s="32" t="s">
        <v>12469</v>
      </c>
      <c r="D1315" s="32" t="s">
        <v>12470</v>
      </c>
      <c r="E1315" s="32" t="s">
        <v>12471</v>
      </c>
      <c r="F1315" s="33" t="s">
        <v>12472</v>
      </c>
      <c r="G1315" s="35" t="s">
        <v>12473</v>
      </c>
      <c r="H1315" s="34"/>
      <c r="I1315" s="34"/>
    </row>
    <row r="1316">
      <c r="A1316" s="32" t="s">
        <v>5338</v>
      </c>
      <c r="B1316" s="32" t="s">
        <v>12474</v>
      </c>
      <c r="C1316" s="32" t="s">
        <v>12475</v>
      </c>
      <c r="D1316" s="32" t="s">
        <v>12476</v>
      </c>
      <c r="E1316" s="32" t="s">
        <v>12477</v>
      </c>
      <c r="F1316" s="33" t="s">
        <v>12478</v>
      </c>
      <c r="G1316" s="35" t="s">
        <v>12479</v>
      </c>
      <c r="H1316" s="34"/>
      <c r="I1316" s="34"/>
    </row>
    <row r="1317">
      <c r="A1317" s="32" t="s">
        <v>5342</v>
      </c>
      <c r="B1317" s="32" t="s">
        <v>12480</v>
      </c>
      <c r="C1317" s="32" t="s">
        <v>12481</v>
      </c>
      <c r="D1317" s="32" t="s">
        <v>12482</v>
      </c>
      <c r="E1317" s="32" t="s">
        <v>12483</v>
      </c>
      <c r="F1317" s="33" t="s">
        <v>12484</v>
      </c>
      <c r="G1317" s="35" t="s">
        <v>12485</v>
      </c>
      <c r="H1317" s="34"/>
      <c r="I1317" s="34"/>
    </row>
    <row r="1318">
      <c r="A1318" s="32" t="s">
        <v>5346</v>
      </c>
      <c r="B1318" s="32" t="s">
        <v>12486</v>
      </c>
      <c r="C1318" s="32" t="s">
        <v>12487</v>
      </c>
      <c r="D1318" s="32" t="s">
        <v>12488</v>
      </c>
      <c r="E1318" s="32" t="s">
        <v>12489</v>
      </c>
      <c r="F1318" s="33" t="s">
        <v>12490</v>
      </c>
      <c r="G1318" s="35" t="s">
        <v>12491</v>
      </c>
      <c r="H1318" s="34"/>
      <c r="I1318" s="34"/>
    </row>
    <row r="1319">
      <c r="A1319" s="32" t="s">
        <v>5350</v>
      </c>
      <c r="B1319" s="32" t="s">
        <v>12492</v>
      </c>
      <c r="C1319" s="32" t="s">
        <v>12493</v>
      </c>
      <c r="D1319" s="32" t="s">
        <v>12494</v>
      </c>
      <c r="E1319" s="32" t="s">
        <v>12495</v>
      </c>
      <c r="F1319" s="33" t="s">
        <v>12496</v>
      </c>
      <c r="G1319" s="35" t="s">
        <v>12497</v>
      </c>
      <c r="H1319" s="34"/>
      <c r="I1319" s="34"/>
    </row>
    <row r="1320">
      <c r="A1320" s="32" t="s">
        <v>5354</v>
      </c>
      <c r="B1320" s="32" t="s">
        <v>12498</v>
      </c>
      <c r="C1320" s="32" t="s">
        <v>12499</v>
      </c>
      <c r="D1320" s="32" t="s">
        <v>12500</v>
      </c>
      <c r="E1320" s="32" t="s">
        <v>12501</v>
      </c>
      <c r="F1320" s="33" t="s">
        <v>12502</v>
      </c>
      <c r="G1320" s="35" t="s">
        <v>12503</v>
      </c>
      <c r="H1320" s="34"/>
      <c r="I1320" s="34"/>
    </row>
    <row r="1321">
      <c r="A1321" s="32" t="s">
        <v>5358</v>
      </c>
      <c r="B1321" s="32" t="s">
        <v>12504</v>
      </c>
      <c r="C1321" s="32" t="s">
        <v>12505</v>
      </c>
      <c r="D1321" s="32" t="s">
        <v>12506</v>
      </c>
      <c r="E1321" s="32" t="s">
        <v>12507</v>
      </c>
      <c r="F1321" s="33" t="s">
        <v>12508</v>
      </c>
      <c r="G1321" s="35" t="s">
        <v>12509</v>
      </c>
      <c r="H1321" s="34"/>
      <c r="I1321" s="34"/>
    </row>
    <row r="1322">
      <c r="A1322" s="32" t="s">
        <v>5362</v>
      </c>
      <c r="B1322" s="32" t="s">
        <v>12510</v>
      </c>
      <c r="C1322" s="32" t="s">
        <v>12511</v>
      </c>
      <c r="D1322" s="32" t="s">
        <v>12512</v>
      </c>
      <c r="E1322" s="32" t="s">
        <v>12513</v>
      </c>
      <c r="F1322" s="33" t="s">
        <v>12514</v>
      </c>
      <c r="G1322" s="35" t="s">
        <v>12515</v>
      </c>
      <c r="H1322" s="34"/>
      <c r="I1322" s="34"/>
    </row>
    <row r="1323">
      <c r="A1323" s="32" t="s">
        <v>5366</v>
      </c>
      <c r="B1323" s="32" t="s">
        <v>12516</v>
      </c>
      <c r="C1323" s="32" t="s">
        <v>12517</v>
      </c>
      <c r="D1323" s="32" t="s">
        <v>12518</v>
      </c>
      <c r="E1323" s="32" t="s">
        <v>12519</v>
      </c>
      <c r="F1323" s="33" t="s">
        <v>12520</v>
      </c>
      <c r="G1323" s="35" t="s">
        <v>12521</v>
      </c>
      <c r="H1323" s="34"/>
      <c r="I1323" s="34"/>
    </row>
    <row r="1324">
      <c r="A1324" s="32" t="s">
        <v>5370</v>
      </c>
      <c r="B1324" s="32" t="s">
        <v>12522</v>
      </c>
      <c r="C1324" s="32" t="s">
        <v>12523</v>
      </c>
      <c r="D1324" s="32" t="s">
        <v>12524</v>
      </c>
      <c r="E1324" s="32" t="s">
        <v>12525</v>
      </c>
      <c r="F1324" s="33" t="s">
        <v>12526</v>
      </c>
      <c r="G1324" s="35" t="s">
        <v>12527</v>
      </c>
      <c r="H1324" s="34"/>
      <c r="I1324" s="34"/>
    </row>
    <row r="1325">
      <c r="A1325" s="32" t="s">
        <v>5374</v>
      </c>
      <c r="B1325" s="32" t="s">
        <v>12528</v>
      </c>
      <c r="C1325" s="32" t="s">
        <v>12529</v>
      </c>
      <c r="D1325" s="32" t="s">
        <v>12530</v>
      </c>
      <c r="E1325" s="32" t="s">
        <v>12531</v>
      </c>
      <c r="F1325" s="33" t="s">
        <v>12532</v>
      </c>
      <c r="G1325" s="35" t="s">
        <v>12533</v>
      </c>
      <c r="H1325" s="34"/>
      <c r="I1325" s="34"/>
    </row>
    <row r="1326">
      <c r="A1326" s="32" t="s">
        <v>5378</v>
      </c>
      <c r="B1326" s="32" t="s">
        <v>12534</v>
      </c>
      <c r="C1326" s="32" t="s">
        <v>12535</v>
      </c>
      <c r="D1326" s="32" t="s">
        <v>12536</v>
      </c>
      <c r="E1326" s="32" t="s">
        <v>12537</v>
      </c>
      <c r="F1326" s="33" t="s">
        <v>12538</v>
      </c>
      <c r="G1326" s="35" t="s">
        <v>12539</v>
      </c>
      <c r="H1326" s="34"/>
      <c r="I1326" s="34"/>
    </row>
    <row r="1327">
      <c r="A1327" s="32" t="s">
        <v>5382</v>
      </c>
      <c r="B1327" s="32" t="s">
        <v>12540</v>
      </c>
      <c r="C1327" s="32" t="s">
        <v>12541</v>
      </c>
      <c r="D1327" s="32" t="s">
        <v>12542</v>
      </c>
      <c r="E1327" s="32" t="s">
        <v>12543</v>
      </c>
      <c r="F1327" s="33" t="s">
        <v>12544</v>
      </c>
      <c r="G1327" s="35" t="s">
        <v>12545</v>
      </c>
      <c r="H1327" s="34"/>
      <c r="I1327" s="34"/>
    </row>
    <row r="1328">
      <c r="A1328" s="32" t="s">
        <v>5386</v>
      </c>
      <c r="B1328" s="32" t="s">
        <v>12546</v>
      </c>
      <c r="C1328" s="32" t="s">
        <v>12547</v>
      </c>
      <c r="D1328" s="32" t="s">
        <v>12548</v>
      </c>
      <c r="E1328" s="32" t="s">
        <v>12549</v>
      </c>
      <c r="F1328" s="33" t="s">
        <v>12550</v>
      </c>
      <c r="G1328" s="35" t="s">
        <v>12551</v>
      </c>
      <c r="H1328" s="34"/>
      <c r="I1328" s="34"/>
    </row>
    <row r="1329">
      <c r="A1329" s="32" t="s">
        <v>5390</v>
      </c>
      <c r="B1329" s="32" t="s">
        <v>12552</v>
      </c>
      <c r="C1329" s="32" t="s">
        <v>12553</v>
      </c>
      <c r="D1329" s="32" t="s">
        <v>12554</v>
      </c>
      <c r="E1329" s="32" t="s">
        <v>12555</v>
      </c>
      <c r="F1329" s="33" t="s">
        <v>12556</v>
      </c>
      <c r="G1329" s="35" t="s">
        <v>12557</v>
      </c>
      <c r="H1329" s="34"/>
      <c r="I1329" s="34"/>
    </row>
    <row r="1330">
      <c r="A1330" s="32" t="s">
        <v>5394</v>
      </c>
      <c r="B1330" s="32" t="s">
        <v>12558</v>
      </c>
      <c r="C1330" s="32" t="s">
        <v>12559</v>
      </c>
      <c r="D1330" s="32" t="s">
        <v>12560</v>
      </c>
      <c r="E1330" s="32" t="s">
        <v>12561</v>
      </c>
      <c r="F1330" s="33" t="s">
        <v>12562</v>
      </c>
      <c r="G1330" s="35" t="s">
        <v>12563</v>
      </c>
      <c r="H1330" s="34"/>
      <c r="I1330" s="34"/>
    </row>
    <row r="1331">
      <c r="A1331" s="32" t="s">
        <v>5398</v>
      </c>
      <c r="B1331" s="32" t="s">
        <v>12564</v>
      </c>
      <c r="C1331" s="32" t="s">
        <v>12565</v>
      </c>
      <c r="D1331" s="32" t="s">
        <v>12566</v>
      </c>
      <c r="E1331" s="32" t="s">
        <v>12567</v>
      </c>
      <c r="F1331" s="33" t="s">
        <v>12568</v>
      </c>
      <c r="G1331" s="35" t="s">
        <v>12569</v>
      </c>
      <c r="H1331" s="34"/>
      <c r="I1331" s="34"/>
    </row>
    <row r="1332">
      <c r="A1332" s="32" t="s">
        <v>5402</v>
      </c>
      <c r="B1332" s="32" t="s">
        <v>12570</v>
      </c>
      <c r="C1332" s="32" t="s">
        <v>12571</v>
      </c>
      <c r="D1332" s="32" t="s">
        <v>12572</v>
      </c>
      <c r="E1332" s="32" t="s">
        <v>12573</v>
      </c>
      <c r="F1332" s="33" t="s">
        <v>12574</v>
      </c>
      <c r="G1332" s="35" t="s">
        <v>12575</v>
      </c>
      <c r="H1332" s="34"/>
      <c r="I1332" s="34"/>
    </row>
    <row r="1333">
      <c r="A1333" s="32" t="s">
        <v>5406</v>
      </c>
      <c r="B1333" s="32" t="s">
        <v>12576</v>
      </c>
      <c r="C1333" s="32" t="s">
        <v>12577</v>
      </c>
      <c r="D1333" s="32" t="s">
        <v>12578</v>
      </c>
      <c r="E1333" s="32" t="s">
        <v>12579</v>
      </c>
      <c r="F1333" s="33" t="s">
        <v>12580</v>
      </c>
      <c r="G1333" s="35" t="s">
        <v>12581</v>
      </c>
      <c r="H1333" s="34"/>
      <c r="I1333" s="34"/>
    </row>
    <row r="1334">
      <c r="A1334" s="32" t="s">
        <v>5410</v>
      </c>
      <c r="B1334" s="32" t="s">
        <v>12582</v>
      </c>
      <c r="C1334" s="32" t="s">
        <v>12583</v>
      </c>
      <c r="D1334" s="32" t="s">
        <v>12584</v>
      </c>
      <c r="E1334" s="32" t="s">
        <v>12585</v>
      </c>
      <c r="F1334" s="33" t="s">
        <v>12586</v>
      </c>
      <c r="G1334" s="35" t="s">
        <v>12587</v>
      </c>
      <c r="H1334" s="34"/>
      <c r="I1334" s="34"/>
    </row>
    <row r="1335">
      <c r="A1335" s="32" t="s">
        <v>5414</v>
      </c>
      <c r="B1335" s="32" t="s">
        <v>12588</v>
      </c>
      <c r="C1335" s="32" t="s">
        <v>12589</v>
      </c>
      <c r="D1335" s="32" t="s">
        <v>12590</v>
      </c>
      <c r="E1335" s="32" t="s">
        <v>12591</v>
      </c>
      <c r="F1335" s="33" t="s">
        <v>12592</v>
      </c>
      <c r="G1335" s="35" t="s">
        <v>12593</v>
      </c>
      <c r="H1335" s="34"/>
      <c r="I1335" s="34"/>
    </row>
    <row r="1336">
      <c r="A1336" s="32" t="s">
        <v>5418</v>
      </c>
      <c r="B1336" s="32" t="s">
        <v>12594</v>
      </c>
      <c r="C1336" s="32" t="s">
        <v>12595</v>
      </c>
      <c r="D1336" s="32" t="s">
        <v>12596</v>
      </c>
      <c r="E1336" s="32" t="s">
        <v>12597</v>
      </c>
      <c r="F1336" s="33" t="s">
        <v>12598</v>
      </c>
      <c r="G1336" s="35" t="s">
        <v>12599</v>
      </c>
      <c r="H1336" s="34"/>
      <c r="I1336" s="34"/>
    </row>
    <row r="1337">
      <c r="A1337" s="32" t="s">
        <v>5422</v>
      </c>
      <c r="B1337" s="32" t="s">
        <v>12600</v>
      </c>
      <c r="C1337" s="32" t="s">
        <v>12601</v>
      </c>
      <c r="D1337" s="32" t="s">
        <v>12602</v>
      </c>
      <c r="E1337" s="32" t="s">
        <v>12603</v>
      </c>
      <c r="F1337" s="33" t="s">
        <v>12604</v>
      </c>
      <c r="G1337" s="35" t="s">
        <v>12605</v>
      </c>
      <c r="H1337" s="34"/>
      <c r="I1337" s="34"/>
    </row>
    <row r="1338">
      <c r="A1338" s="32" t="s">
        <v>5428</v>
      </c>
      <c r="B1338" s="32" t="s">
        <v>12606</v>
      </c>
      <c r="C1338" s="32" t="s">
        <v>12607</v>
      </c>
      <c r="D1338" s="32" t="s">
        <v>12608</v>
      </c>
      <c r="E1338" s="32" t="s">
        <v>12609</v>
      </c>
      <c r="F1338" s="33" t="s">
        <v>12610</v>
      </c>
      <c r="G1338" s="35" t="s">
        <v>12611</v>
      </c>
      <c r="H1338" s="34"/>
      <c r="I1338" s="34"/>
    </row>
    <row r="1339">
      <c r="A1339" s="32" t="s">
        <v>5434</v>
      </c>
      <c r="B1339" s="32" t="s">
        <v>12612</v>
      </c>
      <c r="C1339" s="32" t="s">
        <v>12613</v>
      </c>
      <c r="D1339" s="32" t="s">
        <v>12614</v>
      </c>
      <c r="E1339" s="32" t="s">
        <v>12615</v>
      </c>
      <c r="F1339" s="33" t="s">
        <v>12616</v>
      </c>
      <c r="G1339" s="35" t="s">
        <v>12617</v>
      </c>
      <c r="H1339" s="34"/>
      <c r="I1339" s="34"/>
    </row>
    <row r="1340">
      <c r="A1340" s="32" t="s">
        <v>5438</v>
      </c>
      <c r="B1340" s="32" t="s">
        <v>12618</v>
      </c>
      <c r="C1340" s="32" t="s">
        <v>12619</v>
      </c>
      <c r="D1340" s="32" t="s">
        <v>12620</v>
      </c>
      <c r="E1340" s="32" t="s">
        <v>12621</v>
      </c>
      <c r="F1340" s="33" t="s">
        <v>12622</v>
      </c>
      <c r="G1340" s="35" t="s">
        <v>12623</v>
      </c>
      <c r="H1340" s="34"/>
      <c r="I1340" s="34"/>
    </row>
    <row r="1341">
      <c r="A1341" s="32" t="s">
        <v>5442</v>
      </c>
      <c r="B1341" s="32" t="s">
        <v>12624</v>
      </c>
      <c r="C1341" s="32" t="s">
        <v>12625</v>
      </c>
      <c r="D1341" s="32" t="s">
        <v>12626</v>
      </c>
      <c r="E1341" s="32" t="s">
        <v>12627</v>
      </c>
      <c r="F1341" s="33" t="s">
        <v>12628</v>
      </c>
      <c r="G1341" s="35" t="s">
        <v>12629</v>
      </c>
      <c r="H1341" s="34"/>
      <c r="I1341" s="34"/>
    </row>
    <row r="1342">
      <c r="A1342" s="32" t="s">
        <v>5446</v>
      </c>
      <c r="B1342" s="32" t="s">
        <v>12630</v>
      </c>
      <c r="C1342" s="32" t="s">
        <v>12631</v>
      </c>
      <c r="D1342" s="32" t="s">
        <v>12632</v>
      </c>
      <c r="E1342" s="32" t="s">
        <v>12633</v>
      </c>
      <c r="F1342" s="33" t="s">
        <v>12634</v>
      </c>
      <c r="G1342" s="35" t="s">
        <v>12635</v>
      </c>
      <c r="H1342" s="34"/>
      <c r="I1342" s="34"/>
    </row>
    <row r="1343">
      <c r="A1343" s="32" t="s">
        <v>5450</v>
      </c>
      <c r="B1343" s="32" t="s">
        <v>12636</v>
      </c>
      <c r="C1343" s="32" t="s">
        <v>12637</v>
      </c>
      <c r="D1343" s="32" t="s">
        <v>12638</v>
      </c>
      <c r="E1343" s="32" t="s">
        <v>12639</v>
      </c>
      <c r="F1343" s="33" t="s">
        <v>12640</v>
      </c>
      <c r="G1343" s="35" t="s">
        <v>12641</v>
      </c>
      <c r="H1343" s="34"/>
      <c r="I1343" s="34"/>
    </row>
    <row r="1344">
      <c r="A1344" s="32" t="s">
        <v>5454</v>
      </c>
      <c r="B1344" s="32" t="s">
        <v>12642</v>
      </c>
      <c r="C1344" s="32" t="s">
        <v>12643</v>
      </c>
      <c r="D1344" s="32" t="s">
        <v>12644</v>
      </c>
      <c r="E1344" s="32" t="s">
        <v>12645</v>
      </c>
      <c r="F1344" s="33" t="s">
        <v>12646</v>
      </c>
      <c r="G1344" s="35" t="s">
        <v>12647</v>
      </c>
      <c r="H1344" s="34"/>
      <c r="I1344" s="34"/>
    </row>
    <row r="1345">
      <c r="A1345" s="32" t="s">
        <v>5458</v>
      </c>
      <c r="B1345" s="32" t="s">
        <v>12648</v>
      </c>
      <c r="C1345" s="32" t="s">
        <v>12649</v>
      </c>
      <c r="D1345" s="32" t="s">
        <v>12650</v>
      </c>
      <c r="E1345" s="32" t="s">
        <v>12651</v>
      </c>
      <c r="F1345" s="33" t="s">
        <v>12652</v>
      </c>
      <c r="G1345" s="35" t="s">
        <v>12653</v>
      </c>
      <c r="H1345" s="34"/>
      <c r="I1345" s="34"/>
    </row>
    <row r="1346">
      <c r="A1346" s="32" t="s">
        <v>5462</v>
      </c>
      <c r="B1346" s="32" t="s">
        <v>12654</v>
      </c>
      <c r="C1346" s="32" t="s">
        <v>12655</v>
      </c>
      <c r="D1346" s="32" t="s">
        <v>12656</v>
      </c>
      <c r="E1346" s="32" t="s">
        <v>12657</v>
      </c>
      <c r="F1346" s="33" t="s">
        <v>12658</v>
      </c>
      <c r="G1346" s="35" t="s">
        <v>12659</v>
      </c>
      <c r="H1346" s="34"/>
      <c r="I1346" s="34"/>
    </row>
    <row r="1347">
      <c r="A1347" s="32" t="s">
        <v>5466</v>
      </c>
      <c r="B1347" s="32" t="s">
        <v>12660</v>
      </c>
      <c r="C1347" s="32" t="s">
        <v>12661</v>
      </c>
      <c r="D1347" s="32" t="s">
        <v>12662</v>
      </c>
      <c r="E1347" s="32" t="s">
        <v>12663</v>
      </c>
      <c r="F1347" s="33" t="s">
        <v>12664</v>
      </c>
      <c r="G1347" s="35" t="s">
        <v>12665</v>
      </c>
      <c r="H1347" s="34"/>
      <c r="I1347" s="34"/>
    </row>
    <row r="1348">
      <c r="A1348" s="32" t="s">
        <v>5470</v>
      </c>
      <c r="B1348" s="32" t="s">
        <v>12666</v>
      </c>
      <c r="C1348" s="32" t="s">
        <v>12667</v>
      </c>
      <c r="D1348" s="32" t="s">
        <v>12668</v>
      </c>
      <c r="E1348" s="32" t="s">
        <v>12669</v>
      </c>
      <c r="F1348" s="33" t="s">
        <v>12670</v>
      </c>
      <c r="G1348" s="35" t="s">
        <v>12671</v>
      </c>
      <c r="H1348" s="34"/>
      <c r="I1348" s="34"/>
    </row>
    <row r="1349">
      <c r="A1349" s="32" t="s">
        <v>5474</v>
      </c>
      <c r="B1349" s="32" t="s">
        <v>12672</v>
      </c>
      <c r="C1349" s="32" t="s">
        <v>12673</v>
      </c>
      <c r="D1349" s="32" t="s">
        <v>12674</v>
      </c>
      <c r="E1349" s="32" t="s">
        <v>12675</v>
      </c>
      <c r="F1349" s="33" t="s">
        <v>12676</v>
      </c>
      <c r="G1349" s="35" t="s">
        <v>12677</v>
      </c>
      <c r="H1349" s="34"/>
      <c r="I1349" s="34"/>
    </row>
    <row r="1350">
      <c r="A1350" s="32" t="s">
        <v>5478</v>
      </c>
      <c r="B1350" s="32" t="s">
        <v>12678</v>
      </c>
      <c r="C1350" s="32" t="s">
        <v>12679</v>
      </c>
      <c r="D1350" s="32" t="s">
        <v>12680</v>
      </c>
      <c r="E1350" s="32" t="s">
        <v>12681</v>
      </c>
      <c r="F1350" s="33" t="s">
        <v>12682</v>
      </c>
      <c r="G1350" s="35" t="s">
        <v>12683</v>
      </c>
      <c r="H1350" s="34"/>
      <c r="I1350" s="34"/>
    </row>
    <row r="1351">
      <c r="A1351" s="32" t="s">
        <v>5482</v>
      </c>
      <c r="B1351" s="32" t="s">
        <v>12684</v>
      </c>
      <c r="C1351" s="32" t="s">
        <v>12685</v>
      </c>
      <c r="D1351" s="32" t="s">
        <v>12686</v>
      </c>
      <c r="E1351" s="32" t="s">
        <v>12687</v>
      </c>
      <c r="F1351" s="33" t="s">
        <v>12688</v>
      </c>
      <c r="G1351" s="35" t="s">
        <v>12689</v>
      </c>
      <c r="H1351" s="34"/>
      <c r="I1351" s="34"/>
    </row>
    <row r="1352">
      <c r="A1352" s="32" t="s">
        <v>5486</v>
      </c>
      <c r="B1352" s="32" t="s">
        <v>12690</v>
      </c>
      <c r="C1352" s="32" t="s">
        <v>12691</v>
      </c>
      <c r="D1352" s="32" t="s">
        <v>12692</v>
      </c>
      <c r="E1352" s="32" t="s">
        <v>12693</v>
      </c>
      <c r="F1352" s="33" t="s">
        <v>12694</v>
      </c>
      <c r="G1352" s="35" t="s">
        <v>12695</v>
      </c>
      <c r="H1352" s="34"/>
      <c r="I1352" s="34"/>
    </row>
    <row r="1353">
      <c r="A1353" s="32" t="s">
        <v>5490</v>
      </c>
      <c r="B1353" s="32" t="s">
        <v>12696</v>
      </c>
      <c r="C1353" s="32" t="s">
        <v>12697</v>
      </c>
      <c r="D1353" s="32" t="s">
        <v>12698</v>
      </c>
      <c r="E1353" s="32" t="s">
        <v>12699</v>
      </c>
      <c r="F1353" s="33" t="s">
        <v>12700</v>
      </c>
      <c r="G1353" s="35" t="s">
        <v>12701</v>
      </c>
      <c r="H1353" s="34"/>
      <c r="I1353" s="34"/>
    </row>
    <row r="1354">
      <c r="A1354" s="32" t="s">
        <v>5494</v>
      </c>
      <c r="B1354" s="32" t="s">
        <v>12702</v>
      </c>
      <c r="C1354" s="32" t="s">
        <v>12703</v>
      </c>
      <c r="D1354" s="32" t="s">
        <v>12704</v>
      </c>
      <c r="E1354" s="32" t="s">
        <v>12705</v>
      </c>
      <c r="F1354" s="33" t="s">
        <v>12706</v>
      </c>
      <c r="G1354" s="35" t="s">
        <v>12707</v>
      </c>
      <c r="H1354" s="34"/>
      <c r="I1354" s="34"/>
    </row>
    <row r="1355">
      <c r="A1355" s="32" t="s">
        <v>5498</v>
      </c>
      <c r="B1355" s="32" t="s">
        <v>12708</v>
      </c>
      <c r="C1355" s="32" t="s">
        <v>12709</v>
      </c>
      <c r="D1355" s="32" t="s">
        <v>12710</v>
      </c>
      <c r="E1355" s="32" t="s">
        <v>12711</v>
      </c>
      <c r="F1355" s="33" t="s">
        <v>12712</v>
      </c>
      <c r="G1355" s="35" t="s">
        <v>12713</v>
      </c>
      <c r="H1355" s="34"/>
      <c r="I1355" s="34"/>
    </row>
    <row r="1356">
      <c r="A1356" s="32" t="s">
        <v>5502</v>
      </c>
      <c r="B1356" s="32" t="s">
        <v>12714</v>
      </c>
      <c r="C1356" s="32" t="s">
        <v>12715</v>
      </c>
      <c r="D1356" s="32" t="s">
        <v>12716</v>
      </c>
      <c r="E1356" s="32" t="s">
        <v>12717</v>
      </c>
      <c r="F1356" s="33" t="s">
        <v>12718</v>
      </c>
      <c r="G1356" s="35" t="s">
        <v>12719</v>
      </c>
      <c r="H1356" s="34"/>
      <c r="I1356" s="34"/>
    </row>
    <row r="1357">
      <c r="A1357" s="32" t="s">
        <v>5509</v>
      </c>
      <c r="B1357" s="32" t="s">
        <v>12720</v>
      </c>
      <c r="C1357" s="32" t="s">
        <v>12721</v>
      </c>
      <c r="D1357" s="32" t="s">
        <v>12722</v>
      </c>
      <c r="E1357" s="32" t="s">
        <v>12723</v>
      </c>
      <c r="F1357" s="33" t="s">
        <v>12724</v>
      </c>
      <c r="G1357" s="35" t="s">
        <v>12725</v>
      </c>
      <c r="H1357" s="34"/>
      <c r="I1357" s="34"/>
    </row>
    <row r="1358">
      <c r="A1358" s="32" t="s">
        <v>5513</v>
      </c>
      <c r="B1358" s="32" t="s">
        <v>12726</v>
      </c>
      <c r="C1358" s="32" t="s">
        <v>12727</v>
      </c>
      <c r="D1358" s="32" t="s">
        <v>12728</v>
      </c>
      <c r="E1358" s="32" t="s">
        <v>12729</v>
      </c>
      <c r="F1358" s="33" t="s">
        <v>12730</v>
      </c>
      <c r="G1358" s="35" t="s">
        <v>12731</v>
      </c>
      <c r="H1358" s="34"/>
      <c r="I1358" s="34"/>
    </row>
    <row r="1359">
      <c r="A1359" s="32" t="s">
        <v>5517</v>
      </c>
      <c r="B1359" s="32" t="s">
        <v>12732</v>
      </c>
      <c r="C1359" s="32" t="s">
        <v>12733</v>
      </c>
      <c r="D1359" s="32" t="s">
        <v>12734</v>
      </c>
      <c r="E1359" s="32" t="s">
        <v>12735</v>
      </c>
      <c r="F1359" s="33" t="s">
        <v>12736</v>
      </c>
      <c r="G1359" s="35" t="s">
        <v>12737</v>
      </c>
      <c r="H1359" s="34"/>
      <c r="I1359" s="34"/>
    </row>
    <row r="1360">
      <c r="A1360" s="32" t="s">
        <v>5521</v>
      </c>
      <c r="B1360" s="32" t="s">
        <v>12738</v>
      </c>
      <c r="C1360" s="32" t="s">
        <v>12739</v>
      </c>
      <c r="D1360" s="32" t="s">
        <v>12740</v>
      </c>
      <c r="E1360" s="32" t="s">
        <v>12741</v>
      </c>
      <c r="F1360" s="33" t="s">
        <v>12742</v>
      </c>
      <c r="G1360" s="35" t="s">
        <v>12743</v>
      </c>
      <c r="H1360" s="34"/>
      <c r="I1360" s="34"/>
    </row>
    <row r="1361">
      <c r="A1361" s="32" t="s">
        <v>5526</v>
      </c>
      <c r="B1361" s="32" t="s">
        <v>12744</v>
      </c>
      <c r="C1361" s="32" t="s">
        <v>12745</v>
      </c>
      <c r="D1361" s="32" t="s">
        <v>12746</v>
      </c>
      <c r="E1361" s="32" t="s">
        <v>12747</v>
      </c>
      <c r="F1361" s="33" t="s">
        <v>12748</v>
      </c>
      <c r="G1361" s="35" t="s">
        <v>12749</v>
      </c>
      <c r="H1361" s="34"/>
      <c r="I1361" s="34"/>
    </row>
    <row r="1362">
      <c r="A1362" s="32" t="s">
        <v>5530</v>
      </c>
      <c r="B1362" s="32" t="s">
        <v>12750</v>
      </c>
      <c r="C1362" s="32" t="s">
        <v>12751</v>
      </c>
      <c r="D1362" s="32" t="s">
        <v>12752</v>
      </c>
      <c r="E1362" s="32" t="s">
        <v>12753</v>
      </c>
      <c r="F1362" s="33" t="s">
        <v>12754</v>
      </c>
      <c r="G1362" s="35" t="s">
        <v>12755</v>
      </c>
      <c r="H1362" s="34"/>
      <c r="I1362" s="34"/>
    </row>
    <row r="1363">
      <c r="A1363" s="32" t="s">
        <v>5534</v>
      </c>
      <c r="B1363" s="32" t="s">
        <v>12756</v>
      </c>
      <c r="C1363" s="32" t="s">
        <v>12757</v>
      </c>
      <c r="D1363" s="32" t="s">
        <v>12758</v>
      </c>
      <c r="E1363" s="32" t="s">
        <v>12759</v>
      </c>
      <c r="F1363" s="33" t="s">
        <v>12760</v>
      </c>
      <c r="G1363" s="35" t="s">
        <v>12761</v>
      </c>
      <c r="H1363" s="34"/>
      <c r="I1363" s="34"/>
    </row>
    <row r="1364">
      <c r="A1364" s="32" t="s">
        <v>5538</v>
      </c>
      <c r="B1364" s="32" t="s">
        <v>12762</v>
      </c>
      <c r="C1364" s="32" t="s">
        <v>12763</v>
      </c>
      <c r="D1364" s="32" t="s">
        <v>12764</v>
      </c>
      <c r="E1364" s="32" t="s">
        <v>12765</v>
      </c>
      <c r="F1364" s="33" t="s">
        <v>12766</v>
      </c>
      <c r="G1364" s="35" t="s">
        <v>12767</v>
      </c>
      <c r="H1364" s="34"/>
      <c r="I1364" s="34"/>
    </row>
    <row r="1365">
      <c r="A1365" s="32" t="s">
        <v>5544</v>
      </c>
      <c r="B1365" s="32" t="s">
        <v>12768</v>
      </c>
      <c r="C1365" s="32" t="s">
        <v>12769</v>
      </c>
      <c r="D1365" s="32" t="s">
        <v>12770</v>
      </c>
      <c r="E1365" s="32" t="s">
        <v>12771</v>
      </c>
      <c r="F1365" s="33" t="s">
        <v>12772</v>
      </c>
      <c r="G1365" s="35" t="s">
        <v>12773</v>
      </c>
      <c r="H1365" s="34"/>
      <c r="I1365" s="34"/>
    </row>
    <row r="1366">
      <c r="A1366" s="32" t="s">
        <v>5548</v>
      </c>
      <c r="B1366" s="32" t="s">
        <v>12774</v>
      </c>
      <c r="C1366" s="32" t="s">
        <v>12775</v>
      </c>
      <c r="D1366" s="32" t="s">
        <v>12776</v>
      </c>
      <c r="E1366" s="32" t="s">
        <v>12777</v>
      </c>
      <c r="F1366" s="33" t="s">
        <v>12778</v>
      </c>
      <c r="G1366" s="35" t="s">
        <v>12779</v>
      </c>
      <c r="H1366" s="34"/>
      <c r="I1366" s="34"/>
    </row>
    <row r="1367">
      <c r="A1367" s="32" t="s">
        <v>5552</v>
      </c>
      <c r="B1367" s="32" t="s">
        <v>12780</v>
      </c>
      <c r="C1367" s="32" t="s">
        <v>12781</v>
      </c>
      <c r="D1367" s="32" t="s">
        <v>12782</v>
      </c>
      <c r="E1367" s="32" t="s">
        <v>12783</v>
      </c>
      <c r="F1367" s="33" t="s">
        <v>12784</v>
      </c>
      <c r="G1367" s="35" t="s">
        <v>12785</v>
      </c>
      <c r="H1367" s="34"/>
      <c r="I1367" s="34"/>
    </row>
    <row r="1368">
      <c r="A1368" s="32" t="s">
        <v>5556</v>
      </c>
      <c r="B1368" s="32" t="s">
        <v>12786</v>
      </c>
      <c r="C1368" s="32" t="s">
        <v>12787</v>
      </c>
      <c r="D1368" s="32" t="s">
        <v>12788</v>
      </c>
      <c r="E1368" s="32" t="s">
        <v>12789</v>
      </c>
      <c r="F1368" s="33" t="s">
        <v>12790</v>
      </c>
      <c r="G1368" s="35" t="s">
        <v>12791</v>
      </c>
      <c r="H1368" s="34"/>
      <c r="I1368" s="34"/>
    </row>
    <row r="1369">
      <c r="A1369" s="32" t="s">
        <v>5560</v>
      </c>
      <c r="B1369" s="32" t="s">
        <v>12792</v>
      </c>
      <c r="C1369" s="32" t="s">
        <v>12793</v>
      </c>
      <c r="D1369" s="32" t="s">
        <v>12794</v>
      </c>
      <c r="E1369" s="32" t="s">
        <v>12795</v>
      </c>
      <c r="F1369" s="33" t="s">
        <v>12796</v>
      </c>
      <c r="G1369" s="35" t="s">
        <v>12797</v>
      </c>
      <c r="H1369" s="34"/>
      <c r="I1369" s="34"/>
    </row>
    <row r="1370">
      <c r="A1370" s="32" t="s">
        <v>5564</v>
      </c>
      <c r="B1370" s="32" t="s">
        <v>12798</v>
      </c>
      <c r="C1370" s="32" t="s">
        <v>12799</v>
      </c>
      <c r="D1370" s="32" t="s">
        <v>12800</v>
      </c>
      <c r="E1370" s="32" t="s">
        <v>12801</v>
      </c>
      <c r="F1370" s="33" t="s">
        <v>12802</v>
      </c>
      <c r="G1370" s="35" t="s">
        <v>12803</v>
      </c>
      <c r="H1370" s="34"/>
      <c r="I1370" s="34"/>
    </row>
    <row r="1371">
      <c r="A1371" s="32" t="s">
        <v>5568</v>
      </c>
      <c r="B1371" s="32" t="s">
        <v>12804</v>
      </c>
      <c r="C1371" s="32" t="s">
        <v>12805</v>
      </c>
      <c r="D1371" s="32" t="s">
        <v>12806</v>
      </c>
      <c r="E1371" s="32" t="s">
        <v>12807</v>
      </c>
      <c r="F1371" s="33" t="s">
        <v>12808</v>
      </c>
      <c r="G1371" s="35" t="s">
        <v>12809</v>
      </c>
      <c r="H1371" s="34"/>
      <c r="I1371" s="34"/>
    </row>
    <row r="1372">
      <c r="A1372" s="32" t="s">
        <v>5574</v>
      </c>
      <c r="B1372" s="32" t="s">
        <v>12810</v>
      </c>
      <c r="C1372" s="32" t="s">
        <v>12811</v>
      </c>
      <c r="D1372" s="32" t="s">
        <v>12812</v>
      </c>
      <c r="E1372" s="32" t="s">
        <v>12813</v>
      </c>
      <c r="F1372" s="33" t="s">
        <v>12814</v>
      </c>
      <c r="G1372" s="35" t="s">
        <v>12815</v>
      </c>
      <c r="H1372" s="34"/>
      <c r="I1372" s="34"/>
    </row>
    <row r="1373">
      <c r="A1373" s="32" t="s">
        <v>5578</v>
      </c>
      <c r="B1373" s="32" t="s">
        <v>12816</v>
      </c>
      <c r="C1373" s="32" t="s">
        <v>12817</v>
      </c>
      <c r="D1373" s="32" t="s">
        <v>12818</v>
      </c>
      <c r="E1373" s="32" t="s">
        <v>12819</v>
      </c>
      <c r="F1373" s="33" t="s">
        <v>12820</v>
      </c>
      <c r="G1373" s="35" t="s">
        <v>12821</v>
      </c>
      <c r="H1373" s="34"/>
      <c r="I1373" s="34"/>
    </row>
    <row r="1374">
      <c r="A1374" s="32" t="s">
        <v>5582</v>
      </c>
      <c r="B1374" s="32" t="s">
        <v>12822</v>
      </c>
      <c r="C1374" s="32" t="s">
        <v>12823</v>
      </c>
      <c r="D1374" s="32" t="s">
        <v>12824</v>
      </c>
      <c r="E1374" s="32" t="s">
        <v>12825</v>
      </c>
      <c r="F1374" s="33" t="s">
        <v>12826</v>
      </c>
      <c r="G1374" s="35" t="s">
        <v>12827</v>
      </c>
      <c r="H1374" s="34"/>
      <c r="I1374" s="34"/>
    </row>
    <row r="1375">
      <c r="A1375" s="32" t="s">
        <v>5586</v>
      </c>
      <c r="B1375" s="32" t="s">
        <v>12828</v>
      </c>
      <c r="C1375" s="32" t="s">
        <v>12829</v>
      </c>
      <c r="D1375" s="32" t="s">
        <v>12830</v>
      </c>
      <c r="E1375" s="32" t="s">
        <v>12831</v>
      </c>
      <c r="F1375" s="33" t="s">
        <v>12832</v>
      </c>
      <c r="G1375" s="35" t="s">
        <v>12833</v>
      </c>
      <c r="H1375" s="34"/>
      <c r="I1375" s="34"/>
    </row>
    <row r="1376">
      <c r="A1376" s="32" t="s">
        <v>5590</v>
      </c>
      <c r="B1376" s="32" t="s">
        <v>12834</v>
      </c>
      <c r="C1376" s="32" t="s">
        <v>12835</v>
      </c>
      <c r="D1376" s="32" t="s">
        <v>12836</v>
      </c>
      <c r="E1376" s="32" t="s">
        <v>12837</v>
      </c>
      <c r="F1376" s="33" t="s">
        <v>12838</v>
      </c>
      <c r="G1376" s="35" t="s">
        <v>12839</v>
      </c>
      <c r="H1376" s="34"/>
      <c r="I1376" s="34"/>
    </row>
    <row r="1377">
      <c r="A1377" s="32" t="s">
        <v>5594</v>
      </c>
      <c r="B1377" s="32" t="s">
        <v>12840</v>
      </c>
      <c r="C1377" s="32" t="s">
        <v>12841</v>
      </c>
      <c r="D1377" s="32" t="s">
        <v>12842</v>
      </c>
      <c r="E1377" s="32" t="s">
        <v>12843</v>
      </c>
      <c r="F1377" s="33" t="s">
        <v>12844</v>
      </c>
      <c r="G1377" s="35" t="s">
        <v>12845</v>
      </c>
      <c r="H1377" s="34"/>
      <c r="I1377" s="34"/>
    </row>
    <row r="1378">
      <c r="A1378" s="32" t="s">
        <v>5601</v>
      </c>
      <c r="B1378" s="32" t="s">
        <v>12846</v>
      </c>
      <c r="C1378" s="32" t="s">
        <v>12847</v>
      </c>
      <c r="D1378" s="32" t="s">
        <v>12848</v>
      </c>
      <c r="E1378" s="32" t="s">
        <v>12849</v>
      </c>
      <c r="F1378" s="33" t="s">
        <v>12850</v>
      </c>
      <c r="G1378" s="35" t="s">
        <v>12851</v>
      </c>
      <c r="H1378" s="34"/>
      <c r="I1378" s="34"/>
    </row>
    <row r="1379">
      <c r="A1379" s="32" t="s">
        <v>5605</v>
      </c>
      <c r="B1379" s="32" t="s">
        <v>12852</v>
      </c>
      <c r="C1379" s="32" t="s">
        <v>12853</v>
      </c>
      <c r="D1379" s="32" t="s">
        <v>12854</v>
      </c>
      <c r="E1379" s="32" t="s">
        <v>12855</v>
      </c>
      <c r="F1379" s="33" t="s">
        <v>12856</v>
      </c>
      <c r="G1379" s="35" t="s">
        <v>12857</v>
      </c>
      <c r="H1379" s="34"/>
      <c r="I1379" s="34"/>
    </row>
    <row r="1380">
      <c r="A1380" s="32" t="s">
        <v>5609</v>
      </c>
      <c r="B1380" s="32" t="s">
        <v>12858</v>
      </c>
      <c r="C1380" s="32" t="s">
        <v>12859</v>
      </c>
      <c r="D1380" s="32" t="s">
        <v>12860</v>
      </c>
      <c r="E1380" s="32" t="s">
        <v>12861</v>
      </c>
      <c r="F1380" s="33" t="s">
        <v>12862</v>
      </c>
      <c r="G1380" s="35" t="s">
        <v>12863</v>
      </c>
      <c r="H1380" s="34"/>
      <c r="I1380" s="34"/>
    </row>
    <row r="1381">
      <c r="A1381" s="32" t="s">
        <v>5613</v>
      </c>
      <c r="B1381" s="32" t="s">
        <v>12864</v>
      </c>
      <c r="C1381" s="32" t="s">
        <v>12865</v>
      </c>
      <c r="D1381" s="32" t="s">
        <v>12866</v>
      </c>
      <c r="E1381" s="32" t="s">
        <v>12867</v>
      </c>
      <c r="F1381" s="33" t="s">
        <v>12868</v>
      </c>
      <c r="G1381" s="35" t="s">
        <v>12869</v>
      </c>
      <c r="H1381" s="34"/>
      <c r="I1381" s="34"/>
    </row>
    <row r="1382">
      <c r="A1382" s="32" t="s">
        <v>5617</v>
      </c>
      <c r="B1382" s="32" t="s">
        <v>12870</v>
      </c>
      <c r="C1382" s="32" t="s">
        <v>12871</v>
      </c>
      <c r="D1382" s="32" t="s">
        <v>12872</v>
      </c>
      <c r="E1382" s="32" t="s">
        <v>12873</v>
      </c>
      <c r="F1382" s="33" t="s">
        <v>12874</v>
      </c>
      <c r="G1382" s="35" t="s">
        <v>12875</v>
      </c>
      <c r="H1382" s="34"/>
      <c r="I1382" s="34"/>
    </row>
    <row r="1383">
      <c r="A1383" s="32" t="s">
        <v>5621</v>
      </c>
      <c r="B1383" s="32" t="s">
        <v>12876</v>
      </c>
      <c r="C1383" s="32" t="s">
        <v>12877</v>
      </c>
      <c r="D1383" s="32" t="s">
        <v>12878</v>
      </c>
      <c r="E1383" s="32" t="s">
        <v>12879</v>
      </c>
      <c r="F1383" s="33" t="s">
        <v>12880</v>
      </c>
      <c r="G1383" s="35" t="s">
        <v>12881</v>
      </c>
      <c r="H1383" s="34"/>
      <c r="I1383" s="34"/>
    </row>
    <row r="1384">
      <c r="A1384" s="32" t="s">
        <v>5625</v>
      </c>
      <c r="B1384" s="32" t="s">
        <v>12882</v>
      </c>
      <c r="C1384" s="32" t="s">
        <v>12883</v>
      </c>
      <c r="D1384" s="32" t="s">
        <v>12884</v>
      </c>
      <c r="E1384" s="32" t="s">
        <v>12885</v>
      </c>
      <c r="F1384" s="33" t="s">
        <v>12886</v>
      </c>
      <c r="G1384" s="35" t="s">
        <v>12887</v>
      </c>
      <c r="H1384" s="34"/>
      <c r="I1384" s="34"/>
    </row>
    <row r="1385">
      <c r="A1385" s="32" t="s">
        <v>5629</v>
      </c>
      <c r="B1385" s="32" t="s">
        <v>12888</v>
      </c>
      <c r="C1385" s="32" t="s">
        <v>12889</v>
      </c>
      <c r="D1385" s="32" t="s">
        <v>12890</v>
      </c>
      <c r="E1385" s="32" t="s">
        <v>12891</v>
      </c>
      <c r="F1385" s="33" t="s">
        <v>12892</v>
      </c>
      <c r="G1385" s="35" t="s">
        <v>12893</v>
      </c>
      <c r="H1385" s="34"/>
      <c r="I1385" s="34"/>
    </row>
    <row r="1386">
      <c r="A1386" s="32" t="s">
        <v>5633</v>
      </c>
      <c r="B1386" s="32" t="s">
        <v>12894</v>
      </c>
      <c r="C1386" s="32" t="s">
        <v>12895</v>
      </c>
      <c r="D1386" s="32" t="s">
        <v>12896</v>
      </c>
      <c r="E1386" s="32" t="s">
        <v>12897</v>
      </c>
      <c r="F1386" s="33" t="s">
        <v>12898</v>
      </c>
      <c r="G1386" s="35" t="s">
        <v>12899</v>
      </c>
      <c r="H1386" s="34"/>
      <c r="I1386" s="34"/>
    </row>
    <row r="1387">
      <c r="A1387" s="32" t="s">
        <v>5637</v>
      </c>
      <c r="B1387" s="32" t="s">
        <v>12900</v>
      </c>
      <c r="C1387" s="32" t="s">
        <v>12901</v>
      </c>
      <c r="D1387" s="32" t="s">
        <v>12902</v>
      </c>
      <c r="E1387" s="32" t="s">
        <v>12903</v>
      </c>
      <c r="F1387" s="33" t="s">
        <v>12904</v>
      </c>
      <c r="G1387" s="35" t="s">
        <v>12905</v>
      </c>
      <c r="H1387" s="34"/>
      <c r="I1387" s="34"/>
    </row>
    <row r="1388">
      <c r="A1388" s="32" t="s">
        <v>5641</v>
      </c>
      <c r="B1388" s="32" t="s">
        <v>12906</v>
      </c>
      <c r="C1388" s="32" t="s">
        <v>12907</v>
      </c>
      <c r="D1388" s="32" t="s">
        <v>12908</v>
      </c>
      <c r="E1388" s="32" t="s">
        <v>12909</v>
      </c>
      <c r="F1388" s="33" t="s">
        <v>12910</v>
      </c>
      <c r="G1388" s="35" t="s">
        <v>12911</v>
      </c>
      <c r="H1388" s="34"/>
      <c r="I1388" s="34"/>
    </row>
    <row r="1389">
      <c r="A1389" s="32" t="s">
        <v>5645</v>
      </c>
      <c r="B1389" s="32" t="s">
        <v>12912</v>
      </c>
      <c r="C1389" s="32" t="s">
        <v>12913</v>
      </c>
      <c r="D1389" s="32" t="s">
        <v>12914</v>
      </c>
      <c r="E1389" s="32" t="s">
        <v>12915</v>
      </c>
      <c r="F1389" s="33" t="s">
        <v>12916</v>
      </c>
      <c r="G1389" s="35" t="s">
        <v>12917</v>
      </c>
      <c r="H1389" s="34"/>
      <c r="I1389" s="34"/>
    </row>
    <row r="1390">
      <c r="A1390" s="32" t="s">
        <v>5649</v>
      </c>
      <c r="B1390" s="32" t="s">
        <v>12918</v>
      </c>
      <c r="C1390" s="32" t="s">
        <v>12919</v>
      </c>
      <c r="D1390" s="32" t="s">
        <v>12920</v>
      </c>
      <c r="E1390" s="32" t="s">
        <v>12921</v>
      </c>
      <c r="F1390" s="33" t="s">
        <v>12922</v>
      </c>
      <c r="G1390" s="35" t="s">
        <v>12923</v>
      </c>
      <c r="H1390" s="34"/>
      <c r="I1390" s="34"/>
    </row>
    <row r="1391">
      <c r="A1391" s="32" t="s">
        <v>5653</v>
      </c>
      <c r="B1391" s="32" t="s">
        <v>12924</v>
      </c>
      <c r="C1391" s="32" t="s">
        <v>12925</v>
      </c>
      <c r="D1391" s="32" t="s">
        <v>12926</v>
      </c>
      <c r="E1391" s="32" t="s">
        <v>12927</v>
      </c>
      <c r="F1391" s="33" t="s">
        <v>12928</v>
      </c>
      <c r="G1391" s="35" t="s">
        <v>12929</v>
      </c>
      <c r="H1391" s="34"/>
      <c r="I1391" s="34"/>
    </row>
    <row r="1392">
      <c r="A1392" s="32" t="s">
        <v>5657</v>
      </c>
      <c r="B1392" s="32" t="s">
        <v>12930</v>
      </c>
      <c r="C1392" s="32" t="s">
        <v>12931</v>
      </c>
      <c r="D1392" s="32" t="s">
        <v>12932</v>
      </c>
      <c r="E1392" s="32" t="s">
        <v>12933</v>
      </c>
      <c r="F1392" s="33" t="s">
        <v>12934</v>
      </c>
      <c r="G1392" s="35" t="s">
        <v>12935</v>
      </c>
      <c r="H1392" s="34"/>
      <c r="I1392" s="34"/>
    </row>
    <row r="1393">
      <c r="A1393" s="32" t="s">
        <v>5661</v>
      </c>
      <c r="B1393" s="32" t="s">
        <v>12936</v>
      </c>
      <c r="C1393" s="32" t="s">
        <v>12937</v>
      </c>
      <c r="D1393" s="32" t="s">
        <v>12938</v>
      </c>
      <c r="E1393" s="32" t="s">
        <v>12939</v>
      </c>
      <c r="F1393" s="33" t="s">
        <v>12940</v>
      </c>
      <c r="G1393" s="35" t="s">
        <v>12941</v>
      </c>
      <c r="H1393" s="34"/>
      <c r="I1393" s="34"/>
    </row>
    <row r="1394">
      <c r="A1394" s="32" t="s">
        <v>5665</v>
      </c>
      <c r="B1394" s="32" t="s">
        <v>12942</v>
      </c>
      <c r="C1394" s="32" t="s">
        <v>12943</v>
      </c>
      <c r="D1394" s="32" t="s">
        <v>12944</v>
      </c>
      <c r="E1394" s="32" t="s">
        <v>12945</v>
      </c>
      <c r="F1394" s="33" t="s">
        <v>12946</v>
      </c>
      <c r="G1394" s="35" t="s">
        <v>12947</v>
      </c>
      <c r="H1394" s="34"/>
      <c r="I1394" s="34"/>
    </row>
    <row r="1395">
      <c r="A1395" s="32" t="s">
        <v>5669</v>
      </c>
      <c r="B1395" s="32" t="s">
        <v>12948</v>
      </c>
      <c r="C1395" s="32" t="s">
        <v>12949</v>
      </c>
      <c r="D1395" s="32" t="s">
        <v>12950</v>
      </c>
      <c r="E1395" s="32" t="s">
        <v>12951</v>
      </c>
      <c r="F1395" s="33" t="s">
        <v>12952</v>
      </c>
      <c r="G1395" s="35" t="s">
        <v>12953</v>
      </c>
      <c r="H1395" s="34"/>
      <c r="I1395" s="34"/>
    </row>
    <row r="1396">
      <c r="A1396" s="32" t="s">
        <v>5673</v>
      </c>
      <c r="B1396" s="32" t="s">
        <v>12954</v>
      </c>
      <c r="C1396" s="32" t="s">
        <v>12955</v>
      </c>
      <c r="D1396" s="32" t="s">
        <v>12956</v>
      </c>
      <c r="E1396" s="32" t="s">
        <v>12957</v>
      </c>
      <c r="F1396" s="33" t="s">
        <v>12958</v>
      </c>
      <c r="G1396" s="35" t="s">
        <v>12959</v>
      </c>
      <c r="H1396" s="34"/>
      <c r="I1396" s="34"/>
    </row>
    <row r="1397">
      <c r="A1397" s="32" t="s">
        <v>5677</v>
      </c>
      <c r="B1397" s="32" t="s">
        <v>12960</v>
      </c>
      <c r="C1397" s="32" t="s">
        <v>12961</v>
      </c>
      <c r="D1397" s="32" t="s">
        <v>12962</v>
      </c>
      <c r="E1397" s="32" t="s">
        <v>12963</v>
      </c>
      <c r="F1397" s="33" t="s">
        <v>12964</v>
      </c>
      <c r="G1397" s="35" t="s">
        <v>12965</v>
      </c>
      <c r="H1397" s="34"/>
      <c r="I1397" s="34"/>
    </row>
    <row r="1398">
      <c r="A1398" s="32" t="s">
        <v>5681</v>
      </c>
      <c r="B1398" s="32" t="s">
        <v>12966</v>
      </c>
      <c r="C1398" s="32" t="s">
        <v>12967</v>
      </c>
      <c r="D1398" s="32" t="s">
        <v>12968</v>
      </c>
      <c r="E1398" s="32" t="s">
        <v>12969</v>
      </c>
      <c r="F1398" s="33" t="s">
        <v>12970</v>
      </c>
      <c r="G1398" s="35" t="s">
        <v>12971</v>
      </c>
      <c r="H1398" s="34"/>
      <c r="I1398" s="34"/>
    </row>
    <row r="1399">
      <c r="A1399" s="32" t="s">
        <v>5685</v>
      </c>
      <c r="B1399" s="32" t="s">
        <v>12972</v>
      </c>
      <c r="C1399" s="32" t="s">
        <v>12973</v>
      </c>
      <c r="D1399" s="32" t="s">
        <v>12974</v>
      </c>
      <c r="E1399" s="32" t="s">
        <v>12975</v>
      </c>
      <c r="F1399" s="33" t="s">
        <v>12976</v>
      </c>
      <c r="G1399" s="35" t="s">
        <v>12977</v>
      </c>
      <c r="H1399" s="34"/>
      <c r="I1399" s="34"/>
    </row>
    <row r="1400">
      <c r="A1400" s="32" t="s">
        <v>5689</v>
      </c>
      <c r="B1400" s="32" t="s">
        <v>12978</v>
      </c>
      <c r="C1400" s="32" t="s">
        <v>12979</v>
      </c>
      <c r="D1400" s="32" t="s">
        <v>12980</v>
      </c>
      <c r="E1400" s="32" t="s">
        <v>12981</v>
      </c>
      <c r="F1400" s="33" t="s">
        <v>12982</v>
      </c>
      <c r="G1400" s="35" t="s">
        <v>12983</v>
      </c>
      <c r="H1400" s="34"/>
      <c r="I1400" s="34"/>
    </row>
    <row r="1401">
      <c r="A1401" s="32" t="s">
        <v>5693</v>
      </c>
      <c r="B1401" s="32" t="s">
        <v>12984</v>
      </c>
      <c r="C1401" s="32" t="s">
        <v>12985</v>
      </c>
      <c r="D1401" s="32" t="s">
        <v>12986</v>
      </c>
      <c r="E1401" s="32" t="s">
        <v>12987</v>
      </c>
      <c r="F1401" s="33" t="s">
        <v>12988</v>
      </c>
      <c r="G1401" s="35" t="s">
        <v>12989</v>
      </c>
      <c r="H1401" s="34"/>
      <c r="I1401" s="34"/>
    </row>
    <row r="1402">
      <c r="A1402" s="32" t="s">
        <v>5699</v>
      </c>
      <c r="B1402" s="32" t="s">
        <v>12990</v>
      </c>
      <c r="C1402" s="32" t="s">
        <v>12991</v>
      </c>
      <c r="D1402" s="32" t="s">
        <v>12992</v>
      </c>
      <c r="E1402" s="32" t="s">
        <v>12993</v>
      </c>
      <c r="F1402" s="33" t="s">
        <v>12994</v>
      </c>
      <c r="G1402" s="35" t="s">
        <v>12995</v>
      </c>
      <c r="H1402" s="34"/>
      <c r="I1402" s="34"/>
    </row>
    <row r="1403">
      <c r="A1403" s="32" t="s">
        <v>5703</v>
      </c>
      <c r="B1403" s="32" t="s">
        <v>12996</v>
      </c>
      <c r="C1403" s="32" t="s">
        <v>12997</v>
      </c>
      <c r="D1403" s="32" t="s">
        <v>12998</v>
      </c>
      <c r="E1403" s="32" t="s">
        <v>12999</v>
      </c>
      <c r="F1403" s="33" t="s">
        <v>13000</v>
      </c>
      <c r="G1403" s="35" t="s">
        <v>13001</v>
      </c>
      <c r="H1403" s="34"/>
      <c r="I1403" s="34"/>
    </row>
    <row r="1404">
      <c r="A1404" s="32" t="s">
        <v>5707</v>
      </c>
      <c r="B1404" s="32" t="s">
        <v>13002</v>
      </c>
      <c r="C1404" s="32" t="s">
        <v>13003</v>
      </c>
      <c r="D1404" s="32" t="s">
        <v>13004</v>
      </c>
      <c r="E1404" s="32" t="s">
        <v>13005</v>
      </c>
      <c r="F1404" s="33" t="s">
        <v>13006</v>
      </c>
      <c r="G1404" s="35" t="s">
        <v>13007</v>
      </c>
      <c r="H1404" s="34"/>
      <c r="I1404" s="34"/>
    </row>
    <row r="1405">
      <c r="A1405" s="32" t="s">
        <v>5711</v>
      </c>
      <c r="B1405" s="32" t="s">
        <v>13008</v>
      </c>
      <c r="C1405" s="32" t="s">
        <v>13009</v>
      </c>
      <c r="D1405" s="32" t="s">
        <v>13010</v>
      </c>
      <c r="E1405" s="32" t="s">
        <v>13011</v>
      </c>
      <c r="F1405" s="33" t="s">
        <v>13012</v>
      </c>
      <c r="G1405" s="35" t="s">
        <v>13013</v>
      </c>
      <c r="H1405" s="34"/>
      <c r="I1405" s="34"/>
    </row>
    <row r="1406">
      <c r="A1406" s="32" t="s">
        <v>5715</v>
      </c>
      <c r="B1406" s="32" t="s">
        <v>13014</v>
      </c>
      <c r="C1406" s="32" t="s">
        <v>13015</v>
      </c>
      <c r="D1406" s="32" t="s">
        <v>13016</v>
      </c>
      <c r="E1406" s="32" t="s">
        <v>13017</v>
      </c>
      <c r="F1406" s="33" t="s">
        <v>13018</v>
      </c>
      <c r="G1406" s="35" t="s">
        <v>13019</v>
      </c>
      <c r="H1406" s="34"/>
      <c r="I1406" s="34"/>
    </row>
    <row r="1407">
      <c r="A1407" s="32" t="s">
        <v>5719</v>
      </c>
      <c r="B1407" s="32" t="s">
        <v>13020</v>
      </c>
      <c r="C1407" s="32" t="s">
        <v>13021</v>
      </c>
      <c r="D1407" s="32" t="s">
        <v>13022</v>
      </c>
      <c r="E1407" s="32" t="s">
        <v>13023</v>
      </c>
      <c r="F1407" s="33" t="s">
        <v>13024</v>
      </c>
      <c r="G1407" s="35" t="s">
        <v>13025</v>
      </c>
      <c r="H1407" s="34"/>
      <c r="I1407" s="34"/>
    </row>
    <row r="1408">
      <c r="A1408" s="32" t="s">
        <v>5723</v>
      </c>
      <c r="B1408" s="32" t="s">
        <v>13026</v>
      </c>
      <c r="C1408" s="32" t="s">
        <v>13027</v>
      </c>
      <c r="D1408" s="32" t="s">
        <v>13028</v>
      </c>
      <c r="E1408" s="32" t="s">
        <v>13029</v>
      </c>
      <c r="F1408" s="33" t="s">
        <v>13030</v>
      </c>
      <c r="G1408" s="35" t="s">
        <v>13031</v>
      </c>
      <c r="H1408" s="34"/>
      <c r="I1408" s="34"/>
    </row>
    <row r="1409">
      <c r="A1409" s="32" t="s">
        <v>5727</v>
      </c>
      <c r="B1409" s="32" t="s">
        <v>13032</v>
      </c>
      <c r="C1409" s="32" t="s">
        <v>13033</v>
      </c>
      <c r="D1409" s="32" t="s">
        <v>13034</v>
      </c>
      <c r="E1409" s="32" t="s">
        <v>13035</v>
      </c>
      <c r="F1409" s="33" t="s">
        <v>13036</v>
      </c>
      <c r="G1409" s="35" t="s">
        <v>13037</v>
      </c>
      <c r="H1409" s="34"/>
      <c r="I1409" s="34"/>
    </row>
    <row r="1410">
      <c r="A1410" s="32" t="s">
        <v>5731</v>
      </c>
      <c r="B1410" s="32" t="s">
        <v>13038</v>
      </c>
      <c r="C1410" s="32" t="s">
        <v>13039</v>
      </c>
      <c r="D1410" s="32" t="s">
        <v>13040</v>
      </c>
      <c r="E1410" s="32" t="s">
        <v>13041</v>
      </c>
      <c r="F1410" s="33" t="s">
        <v>13042</v>
      </c>
      <c r="G1410" s="35" t="s">
        <v>13043</v>
      </c>
      <c r="H1410" s="34"/>
      <c r="I1410" s="34"/>
    </row>
    <row r="1411">
      <c r="A1411" s="32" t="s">
        <v>5735</v>
      </c>
      <c r="B1411" s="32" t="s">
        <v>13044</v>
      </c>
      <c r="C1411" s="32" t="s">
        <v>13045</v>
      </c>
      <c r="D1411" s="32" t="s">
        <v>13046</v>
      </c>
      <c r="E1411" s="32" t="s">
        <v>13047</v>
      </c>
      <c r="F1411" s="33" t="s">
        <v>13048</v>
      </c>
      <c r="G1411" s="35" t="s">
        <v>13049</v>
      </c>
      <c r="H1411" s="34"/>
      <c r="I1411" s="34"/>
    </row>
    <row r="1412">
      <c r="A1412" s="32" t="s">
        <v>5739</v>
      </c>
      <c r="B1412" s="32" t="s">
        <v>13050</v>
      </c>
      <c r="C1412" s="32" t="s">
        <v>13051</v>
      </c>
      <c r="D1412" s="32" t="s">
        <v>13052</v>
      </c>
      <c r="E1412" s="32" t="s">
        <v>13053</v>
      </c>
      <c r="F1412" s="33" t="s">
        <v>13054</v>
      </c>
      <c r="G1412" s="35" t="s">
        <v>13055</v>
      </c>
      <c r="H1412" s="34"/>
      <c r="I1412" s="34"/>
    </row>
    <row r="1413">
      <c r="A1413" s="32" t="s">
        <v>5743</v>
      </c>
      <c r="B1413" s="32" t="s">
        <v>13056</v>
      </c>
      <c r="C1413" s="32" t="s">
        <v>13057</v>
      </c>
      <c r="D1413" s="32" t="s">
        <v>13058</v>
      </c>
      <c r="E1413" s="32" t="s">
        <v>13059</v>
      </c>
      <c r="F1413" s="33" t="s">
        <v>13060</v>
      </c>
      <c r="G1413" s="35" t="s">
        <v>13061</v>
      </c>
      <c r="H1413" s="34"/>
      <c r="I1413" s="34"/>
    </row>
    <row r="1414">
      <c r="A1414" s="32" t="s">
        <v>5747</v>
      </c>
      <c r="B1414" s="32" t="s">
        <v>13062</v>
      </c>
      <c r="C1414" s="32" t="s">
        <v>13063</v>
      </c>
      <c r="D1414" s="32" t="s">
        <v>13064</v>
      </c>
      <c r="E1414" s="32" t="s">
        <v>13065</v>
      </c>
      <c r="F1414" s="33" t="s">
        <v>13066</v>
      </c>
      <c r="G1414" s="35" t="s">
        <v>13067</v>
      </c>
      <c r="H1414" s="34"/>
      <c r="I1414" s="34"/>
    </row>
    <row r="1415">
      <c r="A1415" s="32" t="s">
        <v>5751</v>
      </c>
      <c r="B1415" s="32" t="s">
        <v>13068</v>
      </c>
      <c r="C1415" s="32" t="s">
        <v>13069</v>
      </c>
      <c r="D1415" s="32" t="s">
        <v>13070</v>
      </c>
      <c r="E1415" s="32" t="s">
        <v>13071</v>
      </c>
      <c r="F1415" s="33" t="s">
        <v>13072</v>
      </c>
      <c r="G1415" s="35" t="s">
        <v>13073</v>
      </c>
      <c r="H1415" s="34"/>
      <c r="I1415" s="34"/>
    </row>
    <row r="1416">
      <c r="A1416" s="32" t="s">
        <v>5755</v>
      </c>
      <c r="B1416" s="32" t="s">
        <v>13074</v>
      </c>
      <c r="C1416" s="32" t="s">
        <v>13075</v>
      </c>
      <c r="D1416" s="32" t="s">
        <v>13076</v>
      </c>
      <c r="E1416" s="32" t="s">
        <v>13077</v>
      </c>
      <c r="F1416" s="33" t="s">
        <v>13078</v>
      </c>
      <c r="G1416" s="35" t="s">
        <v>13079</v>
      </c>
      <c r="H1416" s="34"/>
      <c r="I1416" s="34"/>
    </row>
    <row r="1417">
      <c r="A1417" s="32" t="s">
        <v>5759</v>
      </c>
      <c r="B1417" s="32" t="s">
        <v>13080</v>
      </c>
      <c r="C1417" s="32" t="s">
        <v>13081</v>
      </c>
      <c r="D1417" s="32" t="s">
        <v>13082</v>
      </c>
      <c r="E1417" s="32" t="s">
        <v>13083</v>
      </c>
      <c r="F1417" s="33" t="s">
        <v>13084</v>
      </c>
      <c r="G1417" s="35" t="s">
        <v>13085</v>
      </c>
      <c r="H1417" s="34"/>
      <c r="I1417" s="34"/>
    </row>
    <row r="1418">
      <c r="A1418" s="32" t="s">
        <v>5763</v>
      </c>
      <c r="B1418" s="32" t="s">
        <v>13086</v>
      </c>
      <c r="C1418" s="32" t="s">
        <v>13087</v>
      </c>
      <c r="D1418" s="32" t="s">
        <v>13088</v>
      </c>
      <c r="E1418" s="32" t="s">
        <v>13089</v>
      </c>
      <c r="F1418" s="33" t="s">
        <v>13090</v>
      </c>
      <c r="G1418" s="35" t="s">
        <v>13091</v>
      </c>
      <c r="H1418" s="34"/>
      <c r="I1418" s="34"/>
    </row>
    <row r="1419">
      <c r="A1419" s="32" t="s">
        <v>5767</v>
      </c>
      <c r="B1419" s="32" t="s">
        <v>13092</v>
      </c>
      <c r="C1419" s="32" t="s">
        <v>13093</v>
      </c>
      <c r="D1419" s="32" t="s">
        <v>13094</v>
      </c>
      <c r="E1419" s="32" t="s">
        <v>13095</v>
      </c>
      <c r="F1419" s="33" t="s">
        <v>13096</v>
      </c>
      <c r="G1419" s="35" t="s">
        <v>13097</v>
      </c>
      <c r="H1419" s="34"/>
      <c r="I1419" s="34"/>
    </row>
    <row r="1420">
      <c r="A1420" s="32" t="s">
        <v>5771</v>
      </c>
      <c r="B1420" s="32" t="s">
        <v>13098</v>
      </c>
      <c r="C1420" s="32" t="s">
        <v>13099</v>
      </c>
      <c r="D1420" s="32" t="s">
        <v>13100</v>
      </c>
      <c r="E1420" s="32" t="s">
        <v>13101</v>
      </c>
      <c r="F1420" s="33" t="s">
        <v>13102</v>
      </c>
      <c r="G1420" s="35" t="s">
        <v>13103</v>
      </c>
      <c r="H1420" s="34"/>
      <c r="I1420" s="34"/>
    </row>
    <row r="1421">
      <c r="A1421" s="32" t="s">
        <v>5777</v>
      </c>
      <c r="B1421" s="32" t="s">
        <v>13104</v>
      </c>
      <c r="C1421" s="32" t="s">
        <v>13105</v>
      </c>
      <c r="D1421" s="32" t="s">
        <v>13106</v>
      </c>
      <c r="E1421" s="32" t="s">
        <v>13107</v>
      </c>
      <c r="F1421" s="33" t="s">
        <v>13108</v>
      </c>
      <c r="G1421" s="35" t="s">
        <v>13109</v>
      </c>
      <c r="H1421" s="34"/>
      <c r="I1421" s="34"/>
    </row>
    <row r="1422">
      <c r="A1422" s="32" t="s">
        <v>5781</v>
      </c>
      <c r="B1422" s="32" t="s">
        <v>13110</v>
      </c>
      <c r="C1422" s="32" t="s">
        <v>13111</v>
      </c>
      <c r="D1422" s="32" t="s">
        <v>13112</v>
      </c>
      <c r="E1422" s="32" t="s">
        <v>13113</v>
      </c>
      <c r="F1422" s="33" t="s">
        <v>13114</v>
      </c>
      <c r="G1422" s="35" t="s">
        <v>13115</v>
      </c>
      <c r="H1422" s="34"/>
      <c r="I1422" s="34"/>
    </row>
    <row r="1423">
      <c r="A1423" s="32" t="s">
        <v>5785</v>
      </c>
      <c r="B1423" s="32" t="s">
        <v>13116</v>
      </c>
      <c r="C1423" s="32" t="s">
        <v>13117</v>
      </c>
      <c r="D1423" s="32" t="s">
        <v>13118</v>
      </c>
      <c r="E1423" s="32" t="s">
        <v>13119</v>
      </c>
      <c r="F1423" s="33" t="s">
        <v>13120</v>
      </c>
      <c r="G1423" s="35" t="s">
        <v>13121</v>
      </c>
      <c r="H1423" s="34"/>
      <c r="I1423" s="34"/>
    </row>
    <row r="1424">
      <c r="A1424" s="32" t="s">
        <v>5789</v>
      </c>
      <c r="B1424" s="32" t="s">
        <v>13122</v>
      </c>
      <c r="C1424" s="32" t="s">
        <v>13123</v>
      </c>
      <c r="D1424" s="32" t="s">
        <v>13124</v>
      </c>
      <c r="E1424" s="32" t="s">
        <v>13125</v>
      </c>
      <c r="F1424" s="33" t="s">
        <v>13126</v>
      </c>
      <c r="G1424" s="35" t="s">
        <v>13127</v>
      </c>
      <c r="H1424" s="34"/>
      <c r="I1424" s="34"/>
    </row>
    <row r="1425">
      <c r="A1425" s="32" t="s">
        <v>5796</v>
      </c>
      <c r="B1425" s="32" t="s">
        <v>13128</v>
      </c>
      <c r="C1425" s="32" t="s">
        <v>13129</v>
      </c>
      <c r="D1425" s="32" t="s">
        <v>13130</v>
      </c>
      <c r="E1425" s="32" t="s">
        <v>13131</v>
      </c>
      <c r="F1425" s="33" t="s">
        <v>13132</v>
      </c>
      <c r="G1425" s="35" t="s">
        <v>13133</v>
      </c>
      <c r="H1425" s="34"/>
      <c r="I1425" s="34"/>
    </row>
    <row r="1426">
      <c r="A1426" s="32" t="s">
        <v>5800</v>
      </c>
      <c r="B1426" s="32" t="s">
        <v>13134</v>
      </c>
      <c r="C1426" s="32" t="s">
        <v>13135</v>
      </c>
      <c r="D1426" s="32" t="s">
        <v>13136</v>
      </c>
      <c r="E1426" s="32" t="s">
        <v>13137</v>
      </c>
      <c r="F1426" s="33" t="s">
        <v>13138</v>
      </c>
      <c r="G1426" s="35" t="s">
        <v>13139</v>
      </c>
      <c r="H1426" s="34"/>
      <c r="I1426" s="34"/>
    </row>
    <row r="1427">
      <c r="A1427" s="32" t="s">
        <v>5804</v>
      </c>
      <c r="B1427" s="32" t="s">
        <v>13140</v>
      </c>
      <c r="C1427" s="32" t="s">
        <v>13141</v>
      </c>
      <c r="D1427" s="32" t="s">
        <v>13142</v>
      </c>
      <c r="E1427" s="32" t="s">
        <v>13143</v>
      </c>
      <c r="F1427" s="33" t="s">
        <v>13144</v>
      </c>
      <c r="G1427" s="35" t="s">
        <v>13145</v>
      </c>
      <c r="H1427" s="34"/>
      <c r="I1427" s="34"/>
    </row>
    <row r="1428">
      <c r="A1428" s="32" t="s">
        <v>5808</v>
      </c>
      <c r="B1428" s="32" t="s">
        <v>13146</v>
      </c>
      <c r="C1428" s="32" t="s">
        <v>13147</v>
      </c>
      <c r="D1428" s="32" t="s">
        <v>13148</v>
      </c>
      <c r="E1428" s="32" t="s">
        <v>13149</v>
      </c>
      <c r="F1428" s="33" t="s">
        <v>13150</v>
      </c>
      <c r="G1428" s="35" t="s">
        <v>13151</v>
      </c>
      <c r="H1428" s="34"/>
      <c r="I1428" s="34"/>
    </row>
    <row r="1429">
      <c r="A1429" s="32" t="s">
        <v>5812</v>
      </c>
      <c r="B1429" s="32" t="s">
        <v>13152</v>
      </c>
      <c r="C1429" s="32" t="s">
        <v>13153</v>
      </c>
      <c r="D1429" s="32" t="s">
        <v>13154</v>
      </c>
      <c r="E1429" s="32" t="s">
        <v>13155</v>
      </c>
      <c r="F1429" s="33" t="s">
        <v>13156</v>
      </c>
      <c r="G1429" s="35" t="s">
        <v>13157</v>
      </c>
      <c r="H1429" s="34"/>
      <c r="I1429" s="34"/>
    </row>
    <row r="1430">
      <c r="A1430" s="32" t="s">
        <v>5816</v>
      </c>
      <c r="B1430" s="32" t="s">
        <v>13158</v>
      </c>
      <c r="C1430" s="32" t="s">
        <v>13159</v>
      </c>
      <c r="D1430" s="32" t="s">
        <v>13160</v>
      </c>
      <c r="E1430" s="32" t="s">
        <v>13161</v>
      </c>
      <c r="F1430" s="33" t="s">
        <v>13162</v>
      </c>
      <c r="G1430" s="35" t="s">
        <v>13163</v>
      </c>
      <c r="H1430" s="34"/>
      <c r="I1430" s="34"/>
    </row>
    <row r="1431">
      <c r="A1431" s="32" t="s">
        <v>5820</v>
      </c>
      <c r="B1431" s="32" t="s">
        <v>13164</v>
      </c>
      <c r="C1431" s="32" t="s">
        <v>13165</v>
      </c>
      <c r="D1431" s="32" t="s">
        <v>13166</v>
      </c>
      <c r="E1431" s="32" t="s">
        <v>13167</v>
      </c>
      <c r="F1431" s="33" t="s">
        <v>13168</v>
      </c>
      <c r="G1431" s="35" t="s">
        <v>13169</v>
      </c>
      <c r="H1431" s="34"/>
      <c r="I1431" s="34"/>
    </row>
    <row r="1432">
      <c r="A1432" s="32" t="s">
        <v>5824</v>
      </c>
      <c r="B1432" s="32" t="s">
        <v>13170</v>
      </c>
      <c r="C1432" s="32" t="s">
        <v>13171</v>
      </c>
      <c r="D1432" s="32" t="s">
        <v>13172</v>
      </c>
      <c r="E1432" s="32" t="s">
        <v>13173</v>
      </c>
      <c r="F1432" s="33" t="s">
        <v>13174</v>
      </c>
      <c r="G1432" s="35" t="s">
        <v>13175</v>
      </c>
      <c r="H1432" s="34"/>
      <c r="I1432" s="34"/>
    </row>
    <row r="1433">
      <c r="A1433" s="32" t="s">
        <v>5828</v>
      </c>
      <c r="B1433" s="32" t="s">
        <v>13176</v>
      </c>
      <c r="C1433" s="32" t="s">
        <v>13177</v>
      </c>
      <c r="D1433" s="32" t="s">
        <v>13178</v>
      </c>
      <c r="E1433" s="32" t="s">
        <v>13179</v>
      </c>
      <c r="F1433" s="33" t="s">
        <v>13180</v>
      </c>
      <c r="G1433" s="35" t="s">
        <v>13181</v>
      </c>
      <c r="H1433" s="34"/>
      <c r="I1433" s="34"/>
    </row>
    <row r="1434">
      <c r="A1434" s="32" t="s">
        <v>5832</v>
      </c>
      <c r="B1434" s="32" t="s">
        <v>13182</v>
      </c>
      <c r="C1434" s="32" t="s">
        <v>13183</v>
      </c>
      <c r="D1434" s="32" t="s">
        <v>13184</v>
      </c>
      <c r="E1434" s="32" t="s">
        <v>13185</v>
      </c>
      <c r="F1434" s="33" t="s">
        <v>13186</v>
      </c>
      <c r="G1434" s="35" t="s">
        <v>13187</v>
      </c>
      <c r="H1434" s="34"/>
      <c r="I1434" s="34"/>
    </row>
    <row r="1435">
      <c r="A1435" s="32" t="s">
        <v>5838</v>
      </c>
      <c r="B1435" s="32" t="s">
        <v>13188</v>
      </c>
      <c r="C1435" s="32" t="s">
        <v>13189</v>
      </c>
      <c r="D1435" s="32" t="s">
        <v>13190</v>
      </c>
      <c r="E1435" s="32" t="s">
        <v>13191</v>
      </c>
      <c r="F1435" s="33" t="s">
        <v>13192</v>
      </c>
      <c r="G1435" s="35" t="s">
        <v>13193</v>
      </c>
      <c r="H1435" s="34"/>
      <c r="I1435" s="34"/>
    </row>
    <row r="1436">
      <c r="A1436" s="32" t="s">
        <v>5842</v>
      </c>
      <c r="B1436" s="32" t="s">
        <v>13194</v>
      </c>
      <c r="C1436" s="32" t="s">
        <v>13195</v>
      </c>
      <c r="D1436" s="32" t="s">
        <v>13196</v>
      </c>
      <c r="E1436" s="32" t="s">
        <v>13197</v>
      </c>
      <c r="F1436" s="33" t="s">
        <v>13198</v>
      </c>
      <c r="G1436" s="35" t="s">
        <v>13199</v>
      </c>
      <c r="H1436" s="34"/>
      <c r="I1436" s="34"/>
    </row>
    <row r="1437">
      <c r="A1437" s="32" t="s">
        <v>5846</v>
      </c>
      <c r="B1437" s="32" t="s">
        <v>13200</v>
      </c>
      <c r="C1437" s="32" t="s">
        <v>13201</v>
      </c>
      <c r="D1437" s="32" t="s">
        <v>13202</v>
      </c>
      <c r="E1437" s="32" t="s">
        <v>13203</v>
      </c>
      <c r="F1437" s="33" t="s">
        <v>13204</v>
      </c>
      <c r="G1437" s="35" t="s">
        <v>13205</v>
      </c>
      <c r="H1437" s="34"/>
      <c r="I1437" s="34"/>
    </row>
    <row r="1438">
      <c r="A1438" s="32" t="s">
        <v>5850</v>
      </c>
      <c r="B1438" s="32" t="s">
        <v>13206</v>
      </c>
      <c r="C1438" s="32" t="s">
        <v>13207</v>
      </c>
      <c r="D1438" s="32" t="s">
        <v>13208</v>
      </c>
      <c r="E1438" s="32" t="s">
        <v>13209</v>
      </c>
      <c r="F1438" s="33" t="s">
        <v>13210</v>
      </c>
      <c r="G1438" s="35" t="s">
        <v>11076</v>
      </c>
      <c r="H1438" s="34"/>
      <c r="I1438" s="34"/>
    </row>
    <row r="1439">
      <c r="A1439" s="32" t="s">
        <v>5853</v>
      </c>
      <c r="B1439" s="32" t="s">
        <v>13211</v>
      </c>
      <c r="C1439" s="32" t="s">
        <v>13212</v>
      </c>
      <c r="D1439" s="32" t="s">
        <v>13213</v>
      </c>
      <c r="E1439" s="32" t="s">
        <v>13214</v>
      </c>
      <c r="F1439" s="33" t="s">
        <v>13215</v>
      </c>
      <c r="G1439" s="35" t="s">
        <v>13216</v>
      </c>
      <c r="H1439" s="34"/>
      <c r="I1439" s="34"/>
    </row>
    <row r="1440">
      <c r="A1440" s="32" t="s">
        <v>5857</v>
      </c>
      <c r="B1440" s="32" t="s">
        <v>13217</v>
      </c>
      <c r="C1440" s="32" t="s">
        <v>13218</v>
      </c>
      <c r="D1440" s="32" t="s">
        <v>13219</v>
      </c>
      <c r="E1440" s="32" t="s">
        <v>13220</v>
      </c>
      <c r="F1440" s="33" t="s">
        <v>13221</v>
      </c>
      <c r="G1440" s="35" t="s">
        <v>13222</v>
      </c>
      <c r="H1440" s="34"/>
      <c r="I1440" s="34"/>
    </row>
    <row r="1441">
      <c r="A1441" s="32" t="s">
        <v>5861</v>
      </c>
      <c r="B1441" s="32" t="s">
        <v>13223</v>
      </c>
      <c r="C1441" s="32" t="s">
        <v>13224</v>
      </c>
      <c r="D1441" s="32" t="s">
        <v>13225</v>
      </c>
      <c r="E1441" s="32" t="s">
        <v>13226</v>
      </c>
      <c r="F1441" s="33" t="s">
        <v>13227</v>
      </c>
      <c r="G1441" s="35" t="s">
        <v>13228</v>
      </c>
      <c r="H1441" s="34"/>
      <c r="I1441" s="34"/>
    </row>
    <row r="1442">
      <c r="A1442" s="32" t="s">
        <v>5867</v>
      </c>
      <c r="B1442" s="32" t="s">
        <v>13229</v>
      </c>
      <c r="C1442" s="32" t="s">
        <v>13230</v>
      </c>
      <c r="D1442" s="32" t="s">
        <v>13231</v>
      </c>
      <c r="E1442" s="32" t="s">
        <v>13232</v>
      </c>
      <c r="F1442" s="33" t="s">
        <v>13233</v>
      </c>
      <c r="G1442" s="35" t="s">
        <v>13234</v>
      </c>
      <c r="H1442" s="34"/>
      <c r="I1442" s="34"/>
    </row>
    <row r="1443">
      <c r="A1443" s="32" t="s">
        <v>5871</v>
      </c>
      <c r="B1443" s="32" t="s">
        <v>13235</v>
      </c>
      <c r="C1443" s="32" t="s">
        <v>13236</v>
      </c>
      <c r="D1443" s="32" t="s">
        <v>13237</v>
      </c>
      <c r="E1443" s="32" t="s">
        <v>13238</v>
      </c>
      <c r="F1443" s="33" t="s">
        <v>13239</v>
      </c>
      <c r="G1443" s="35" t="s">
        <v>13240</v>
      </c>
      <c r="H1443" s="34"/>
      <c r="I1443" s="34"/>
    </row>
    <row r="1444">
      <c r="A1444" s="32" t="s">
        <v>5875</v>
      </c>
      <c r="B1444" s="32" t="s">
        <v>13241</v>
      </c>
      <c r="C1444" s="32" t="s">
        <v>13242</v>
      </c>
      <c r="D1444" s="32" t="s">
        <v>13243</v>
      </c>
      <c r="E1444" s="32" t="s">
        <v>13244</v>
      </c>
      <c r="F1444" s="33" t="s">
        <v>13245</v>
      </c>
      <c r="G1444" s="35" t="s">
        <v>13246</v>
      </c>
      <c r="H1444" s="34"/>
      <c r="I1444" s="34"/>
    </row>
    <row r="1445">
      <c r="A1445" s="32" t="s">
        <v>5879</v>
      </c>
      <c r="B1445" s="32" t="s">
        <v>13247</v>
      </c>
      <c r="C1445" s="32" t="s">
        <v>13248</v>
      </c>
      <c r="D1445" s="32" t="s">
        <v>13249</v>
      </c>
      <c r="E1445" s="32" t="s">
        <v>13250</v>
      </c>
      <c r="F1445" s="33" t="s">
        <v>13251</v>
      </c>
      <c r="G1445" s="35" t="s">
        <v>13252</v>
      </c>
      <c r="H1445" s="34"/>
      <c r="I1445" s="34"/>
    </row>
    <row r="1446">
      <c r="A1446" s="32" t="s">
        <v>5883</v>
      </c>
      <c r="B1446" s="32" t="s">
        <v>13253</v>
      </c>
      <c r="C1446" s="32" t="s">
        <v>13254</v>
      </c>
      <c r="D1446" s="32" t="s">
        <v>13255</v>
      </c>
      <c r="E1446" s="32" t="s">
        <v>13256</v>
      </c>
      <c r="F1446" s="33" t="s">
        <v>13257</v>
      </c>
      <c r="G1446" s="35" t="s">
        <v>13258</v>
      </c>
      <c r="H1446" s="34"/>
      <c r="I1446" s="34"/>
    </row>
    <row r="1447">
      <c r="A1447" s="32" t="s">
        <v>5889</v>
      </c>
      <c r="B1447" s="32" t="s">
        <v>13259</v>
      </c>
      <c r="C1447" s="32" t="s">
        <v>13260</v>
      </c>
      <c r="D1447" s="32" t="s">
        <v>13261</v>
      </c>
      <c r="E1447" s="32" t="s">
        <v>13262</v>
      </c>
      <c r="F1447" s="33" t="s">
        <v>13263</v>
      </c>
      <c r="G1447" s="35" t="s">
        <v>13264</v>
      </c>
      <c r="H1447" s="34"/>
      <c r="I1447" s="34"/>
    </row>
    <row r="1448">
      <c r="A1448" s="32" t="s">
        <v>5893</v>
      </c>
      <c r="B1448" s="32" t="s">
        <v>13265</v>
      </c>
      <c r="C1448" s="32" t="s">
        <v>13266</v>
      </c>
      <c r="D1448" s="32" t="s">
        <v>13267</v>
      </c>
      <c r="E1448" s="32" t="s">
        <v>13268</v>
      </c>
      <c r="F1448" s="33" t="s">
        <v>13269</v>
      </c>
      <c r="G1448" s="35" t="s">
        <v>13270</v>
      </c>
      <c r="H1448" s="34"/>
      <c r="I1448" s="34"/>
    </row>
    <row r="1449">
      <c r="A1449" s="32" t="s">
        <v>5897</v>
      </c>
      <c r="B1449" s="32" t="s">
        <v>13271</v>
      </c>
      <c r="C1449" s="32" t="s">
        <v>13272</v>
      </c>
      <c r="D1449" s="32" t="s">
        <v>13273</v>
      </c>
      <c r="E1449" s="32" t="s">
        <v>13274</v>
      </c>
      <c r="F1449" s="33" t="s">
        <v>13275</v>
      </c>
      <c r="G1449" s="35" t="s">
        <v>13276</v>
      </c>
      <c r="H1449" s="34"/>
      <c r="I1449" s="34"/>
    </row>
    <row r="1450">
      <c r="A1450" s="32" t="s">
        <v>5901</v>
      </c>
      <c r="B1450" s="32" t="s">
        <v>13277</v>
      </c>
      <c r="C1450" s="32" t="s">
        <v>13278</v>
      </c>
      <c r="D1450" s="32" t="s">
        <v>13279</v>
      </c>
      <c r="E1450" s="32" t="s">
        <v>13280</v>
      </c>
      <c r="F1450" s="33" t="s">
        <v>13281</v>
      </c>
      <c r="G1450" s="35" t="s">
        <v>13282</v>
      </c>
      <c r="H1450" s="34"/>
      <c r="I1450" s="34"/>
    </row>
    <row r="1451">
      <c r="A1451" s="32" t="s">
        <v>5905</v>
      </c>
      <c r="B1451" s="32" t="s">
        <v>13283</v>
      </c>
      <c r="C1451" s="32" t="s">
        <v>13284</v>
      </c>
      <c r="D1451" s="32" t="s">
        <v>13285</v>
      </c>
      <c r="E1451" s="32" t="s">
        <v>13286</v>
      </c>
      <c r="F1451" s="33" t="s">
        <v>13287</v>
      </c>
      <c r="G1451" s="35" t="s">
        <v>13288</v>
      </c>
      <c r="H1451" s="34"/>
      <c r="I1451" s="34"/>
    </row>
    <row r="1452">
      <c r="A1452" s="32" t="s">
        <v>5909</v>
      </c>
      <c r="B1452" s="32" t="s">
        <v>13289</v>
      </c>
      <c r="C1452" s="32" t="s">
        <v>13290</v>
      </c>
      <c r="D1452" s="32" t="s">
        <v>13291</v>
      </c>
      <c r="E1452" s="32" t="s">
        <v>13292</v>
      </c>
      <c r="F1452" s="33" t="s">
        <v>13293</v>
      </c>
      <c r="G1452" s="35" t="s">
        <v>13294</v>
      </c>
      <c r="H1452" s="34"/>
      <c r="I1452" s="34"/>
    </row>
    <row r="1453">
      <c r="A1453" s="32" t="s">
        <v>5913</v>
      </c>
      <c r="B1453" s="32" t="s">
        <v>13295</v>
      </c>
      <c r="C1453" s="32" t="s">
        <v>13296</v>
      </c>
      <c r="D1453" s="32" t="s">
        <v>13297</v>
      </c>
      <c r="E1453" s="32" t="s">
        <v>13298</v>
      </c>
      <c r="F1453" s="33" t="s">
        <v>13299</v>
      </c>
      <c r="G1453" s="35" t="s">
        <v>13300</v>
      </c>
      <c r="H1453" s="34"/>
      <c r="I1453" s="34"/>
    </row>
    <row r="1454">
      <c r="A1454" s="32" t="s">
        <v>5917</v>
      </c>
      <c r="B1454" s="32" t="s">
        <v>13301</v>
      </c>
      <c r="C1454" s="32" t="s">
        <v>13302</v>
      </c>
      <c r="D1454" s="32" t="s">
        <v>13303</v>
      </c>
      <c r="E1454" s="32" t="s">
        <v>13304</v>
      </c>
      <c r="F1454" s="33" t="s">
        <v>13305</v>
      </c>
      <c r="G1454" s="35" t="s">
        <v>13306</v>
      </c>
      <c r="H1454" s="34"/>
      <c r="I1454" s="34"/>
    </row>
    <row r="1455">
      <c r="A1455" s="32" t="s">
        <v>5921</v>
      </c>
      <c r="B1455" s="32" t="s">
        <v>13307</v>
      </c>
      <c r="C1455" s="32" t="s">
        <v>13308</v>
      </c>
      <c r="D1455" s="32" t="s">
        <v>13309</v>
      </c>
      <c r="E1455" s="32" t="s">
        <v>13310</v>
      </c>
      <c r="F1455" s="33" t="s">
        <v>13311</v>
      </c>
      <c r="G1455" s="35" t="s">
        <v>13312</v>
      </c>
      <c r="H1455" s="34"/>
      <c r="I1455" s="34"/>
    </row>
    <row r="1456">
      <c r="A1456" s="32" t="s">
        <v>5925</v>
      </c>
      <c r="B1456" s="32" t="s">
        <v>13313</v>
      </c>
      <c r="C1456" s="32" t="s">
        <v>13314</v>
      </c>
      <c r="D1456" s="32" t="s">
        <v>13315</v>
      </c>
      <c r="E1456" s="32" t="s">
        <v>13316</v>
      </c>
      <c r="F1456" s="33" t="s">
        <v>13317</v>
      </c>
      <c r="G1456" s="35" t="s">
        <v>13318</v>
      </c>
      <c r="H1456" s="34"/>
      <c r="I1456" s="34"/>
    </row>
    <row r="1457">
      <c r="A1457" s="32" t="s">
        <v>5929</v>
      </c>
      <c r="B1457" s="32" t="s">
        <v>13319</v>
      </c>
      <c r="C1457" s="32" t="s">
        <v>13320</v>
      </c>
      <c r="D1457" s="32" t="s">
        <v>13321</v>
      </c>
      <c r="E1457" s="32" t="s">
        <v>13322</v>
      </c>
      <c r="F1457" s="33" t="s">
        <v>13323</v>
      </c>
      <c r="G1457" s="35" t="s">
        <v>13324</v>
      </c>
      <c r="H1457" s="34"/>
      <c r="I1457" s="34"/>
    </row>
    <row r="1458">
      <c r="A1458" s="32" t="s">
        <v>5933</v>
      </c>
      <c r="B1458" s="32" t="s">
        <v>13325</v>
      </c>
      <c r="C1458" s="32" t="s">
        <v>13326</v>
      </c>
      <c r="D1458" s="32" t="s">
        <v>13327</v>
      </c>
      <c r="E1458" s="32" t="s">
        <v>13328</v>
      </c>
      <c r="F1458" s="33" t="s">
        <v>13329</v>
      </c>
      <c r="G1458" s="35" t="s">
        <v>13330</v>
      </c>
      <c r="H1458" s="34"/>
      <c r="I1458" s="34"/>
    </row>
    <row r="1459">
      <c r="A1459" s="32" t="s">
        <v>5937</v>
      </c>
      <c r="B1459" s="32" t="s">
        <v>13331</v>
      </c>
      <c r="C1459" s="32" t="s">
        <v>13332</v>
      </c>
      <c r="D1459" s="32" t="s">
        <v>13333</v>
      </c>
      <c r="E1459" s="32" t="s">
        <v>13334</v>
      </c>
      <c r="F1459" s="33" t="s">
        <v>13335</v>
      </c>
      <c r="G1459" s="35" t="s">
        <v>13336</v>
      </c>
      <c r="H1459" s="34"/>
      <c r="I1459" s="34"/>
    </row>
    <row r="1460">
      <c r="A1460" s="32" t="s">
        <v>5941</v>
      </c>
      <c r="B1460" s="32" t="s">
        <v>13337</v>
      </c>
      <c r="C1460" s="32" t="s">
        <v>13338</v>
      </c>
      <c r="D1460" s="32" t="s">
        <v>13339</v>
      </c>
      <c r="E1460" s="32" t="s">
        <v>13340</v>
      </c>
      <c r="F1460" s="33" t="s">
        <v>13341</v>
      </c>
      <c r="G1460" s="35" t="s">
        <v>13342</v>
      </c>
      <c r="H1460" s="34"/>
      <c r="I1460" s="34"/>
    </row>
    <row r="1461">
      <c r="A1461" s="32" t="s">
        <v>5945</v>
      </c>
      <c r="B1461" s="32" t="s">
        <v>13343</v>
      </c>
      <c r="C1461" s="32" t="s">
        <v>13344</v>
      </c>
      <c r="D1461" s="32" t="s">
        <v>13345</v>
      </c>
      <c r="E1461" s="32" t="s">
        <v>13346</v>
      </c>
      <c r="F1461" s="33" t="s">
        <v>13347</v>
      </c>
      <c r="G1461" s="35" t="s">
        <v>13348</v>
      </c>
      <c r="H1461" s="34"/>
      <c r="I1461" s="34"/>
    </row>
    <row r="1462">
      <c r="A1462" s="32" t="s">
        <v>5949</v>
      </c>
      <c r="B1462" s="32" t="s">
        <v>13349</v>
      </c>
      <c r="C1462" s="32" t="s">
        <v>13350</v>
      </c>
      <c r="D1462" s="32" t="s">
        <v>13351</v>
      </c>
      <c r="E1462" s="32" t="s">
        <v>13352</v>
      </c>
      <c r="F1462" s="33" t="s">
        <v>13353</v>
      </c>
      <c r="G1462" s="35" t="s">
        <v>13354</v>
      </c>
      <c r="H1462" s="34"/>
      <c r="I1462" s="34"/>
    </row>
    <row r="1463">
      <c r="A1463" s="32" t="s">
        <v>5953</v>
      </c>
      <c r="B1463" s="32" t="s">
        <v>13355</v>
      </c>
      <c r="C1463" s="32" t="s">
        <v>13356</v>
      </c>
      <c r="D1463" s="32" t="s">
        <v>13357</v>
      </c>
      <c r="E1463" s="32" t="s">
        <v>13358</v>
      </c>
      <c r="F1463" s="33" t="s">
        <v>13359</v>
      </c>
      <c r="G1463" s="35" t="s">
        <v>13360</v>
      </c>
      <c r="H1463" s="34"/>
      <c r="I1463" s="34"/>
    </row>
    <row r="1464">
      <c r="A1464" s="32" t="s">
        <v>5957</v>
      </c>
      <c r="B1464" s="32" t="s">
        <v>13361</v>
      </c>
      <c r="C1464" s="32" t="s">
        <v>13362</v>
      </c>
      <c r="D1464" s="32" t="s">
        <v>13363</v>
      </c>
      <c r="E1464" s="32" t="s">
        <v>13364</v>
      </c>
      <c r="F1464" s="33" t="s">
        <v>13365</v>
      </c>
      <c r="G1464" s="35" t="s">
        <v>13366</v>
      </c>
      <c r="H1464" s="34"/>
      <c r="I1464" s="34"/>
    </row>
    <row r="1465">
      <c r="A1465" s="32" t="s">
        <v>5961</v>
      </c>
      <c r="B1465" s="32" t="s">
        <v>13367</v>
      </c>
      <c r="C1465" s="32" t="s">
        <v>13368</v>
      </c>
      <c r="D1465" s="32" t="s">
        <v>13369</v>
      </c>
      <c r="E1465" s="32" t="s">
        <v>13370</v>
      </c>
      <c r="F1465" s="33" t="s">
        <v>13371</v>
      </c>
      <c r="G1465" s="35" t="s">
        <v>13372</v>
      </c>
      <c r="H1465" s="34"/>
      <c r="I1465" s="34"/>
    </row>
    <row r="1466">
      <c r="A1466" s="32" t="s">
        <v>5965</v>
      </c>
      <c r="B1466" s="32" t="s">
        <v>13373</v>
      </c>
      <c r="C1466" s="32" t="s">
        <v>13374</v>
      </c>
      <c r="D1466" s="32" t="s">
        <v>13375</v>
      </c>
      <c r="E1466" s="32" t="s">
        <v>13376</v>
      </c>
      <c r="F1466" s="33" t="s">
        <v>13377</v>
      </c>
      <c r="G1466" s="35" t="s">
        <v>13378</v>
      </c>
      <c r="H1466" s="34"/>
      <c r="I1466" s="34"/>
    </row>
    <row r="1467">
      <c r="A1467" s="34"/>
      <c r="B1467" s="34"/>
      <c r="C1467" s="34"/>
      <c r="D1467" s="34"/>
      <c r="E1467" s="34"/>
      <c r="F1467" s="36"/>
      <c r="G1467" s="34"/>
      <c r="H1467" s="34"/>
      <c r="I1467" s="34"/>
    </row>
    <row r="1468">
      <c r="A1468" s="34"/>
      <c r="B1468" s="34"/>
      <c r="C1468" s="34"/>
      <c r="D1468" s="34"/>
      <c r="E1468" s="34"/>
      <c r="F1468" s="36"/>
      <c r="G1468" s="34"/>
      <c r="H1468" s="34"/>
      <c r="I1468" s="34"/>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 r:id="rId169" ref="G170"/>
    <hyperlink r:id="rId170" ref="G171"/>
    <hyperlink r:id="rId171" ref="G172"/>
    <hyperlink r:id="rId172" ref="G173"/>
    <hyperlink r:id="rId173" ref="G174"/>
    <hyperlink r:id="rId174" ref="G175"/>
    <hyperlink r:id="rId175" ref="G176"/>
    <hyperlink r:id="rId176" ref="G177"/>
    <hyperlink r:id="rId177" ref="G178"/>
    <hyperlink r:id="rId178" ref="G179"/>
    <hyperlink r:id="rId179" ref="G180"/>
    <hyperlink r:id="rId180" ref="G181"/>
    <hyperlink r:id="rId181" ref="G182"/>
    <hyperlink r:id="rId182" ref="G183"/>
    <hyperlink r:id="rId183" ref="G184"/>
    <hyperlink r:id="rId184" ref="G185"/>
    <hyperlink r:id="rId185" ref="G186"/>
    <hyperlink r:id="rId186" ref="G187"/>
    <hyperlink r:id="rId187" ref="G188"/>
    <hyperlink r:id="rId188" ref="G189"/>
    <hyperlink r:id="rId189" ref="G190"/>
    <hyperlink r:id="rId190" ref="G191"/>
    <hyperlink r:id="rId191" ref="G192"/>
    <hyperlink r:id="rId192" ref="G193"/>
    <hyperlink r:id="rId193" ref="G194"/>
    <hyperlink r:id="rId194" ref="G195"/>
    <hyperlink r:id="rId195" ref="G196"/>
    <hyperlink r:id="rId196" ref="G197"/>
    <hyperlink r:id="rId197" ref="G198"/>
    <hyperlink r:id="rId198" ref="G199"/>
    <hyperlink r:id="rId199" ref="G200"/>
    <hyperlink r:id="rId200" ref="G201"/>
    <hyperlink r:id="rId201" ref="G202"/>
    <hyperlink r:id="rId202" ref="G203"/>
    <hyperlink r:id="rId203" ref="G204"/>
    <hyperlink r:id="rId204" ref="G205"/>
    <hyperlink r:id="rId205" ref="G206"/>
    <hyperlink r:id="rId206" ref="G207"/>
    <hyperlink r:id="rId207" ref="G208"/>
    <hyperlink r:id="rId208" ref="G209"/>
    <hyperlink r:id="rId209" ref="G210"/>
    <hyperlink r:id="rId210" ref="G211"/>
    <hyperlink r:id="rId211" ref="G212"/>
    <hyperlink r:id="rId212" ref="G213"/>
    <hyperlink r:id="rId213" ref="G214"/>
    <hyperlink r:id="rId214" ref="G215"/>
    <hyperlink r:id="rId215" ref="G216"/>
    <hyperlink r:id="rId216" ref="G217"/>
    <hyperlink r:id="rId217" ref="G218"/>
    <hyperlink r:id="rId218" ref="G219"/>
    <hyperlink r:id="rId219" ref="G220"/>
    <hyperlink r:id="rId220" ref="G221"/>
    <hyperlink r:id="rId221" ref="G222"/>
    <hyperlink r:id="rId222" ref="G223"/>
    <hyperlink r:id="rId223" ref="G224"/>
    <hyperlink r:id="rId224" ref="G225"/>
    <hyperlink r:id="rId225" ref="G226"/>
    <hyperlink r:id="rId226" ref="G227"/>
    <hyperlink r:id="rId227" ref="G228"/>
    <hyperlink r:id="rId228" ref="G229"/>
    <hyperlink r:id="rId229" ref="G230"/>
    <hyperlink r:id="rId230" ref="G231"/>
    <hyperlink r:id="rId231" ref="G232"/>
    <hyperlink r:id="rId232" ref="G233"/>
    <hyperlink r:id="rId233" ref="G234"/>
    <hyperlink r:id="rId234" ref="G235"/>
    <hyperlink r:id="rId235" ref="G236"/>
    <hyperlink r:id="rId236" ref="G237"/>
    <hyperlink r:id="rId237" ref="G238"/>
    <hyperlink r:id="rId238" ref="G239"/>
    <hyperlink r:id="rId239" ref="G240"/>
    <hyperlink r:id="rId240" ref="G241"/>
    <hyperlink r:id="rId241" ref="G242"/>
    <hyperlink r:id="rId242" ref="G243"/>
    <hyperlink r:id="rId243" ref="G244"/>
    <hyperlink r:id="rId244" ref="G245"/>
    <hyperlink r:id="rId245" ref="G246"/>
    <hyperlink r:id="rId246" ref="G247"/>
    <hyperlink r:id="rId247" ref="G248"/>
    <hyperlink r:id="rId248" ref="G249"/>
    <hyperlink r:id="rId249" ref="G250"/>
    <hyperlink r:id="rId250" ref="G251"/>
    <hyperlink r:id="rId251" ref="G252"/>
    <hyperlink r:id="rId252" ref="G253"/>
    <hyperlink r:id="rId253" ref="G254"/>
    <hyperlink r:id="rId254" ref="G255"/>
    <hyperlink r:id="rId255" ref="G256"/>
    <hyperlink r:id="rId256" ref="G257"/>
    <hyperlink r:id="rId257" ref="G258"/>
    <hyperlink r:id="rId258" ref="G259"/>
    <hyperlink r:id="rId259" ref="G260"/>
    <hyperlink r:id="rId260" ref="G261"/>
    <hyperlink r:id="rId261" ref="G262"/>
    <hyperlink r:id="rId262" ref="G263"/>
    <hyperlink r:id="rId263" ref="G264"/>
    <hyperlink r:id="rId264" ref="G265"/>
    <hyperlink r:id="rId265" ref="G266"/>
    <hyperlink r:id="rId266" ref="G267"/>
    <hyperlink r:id="rId267" ref="G268"/>
    <hyperlink r:id="rId268" ref="G269"/>
    <hyperlink r:id="rId269" ref="G270"/>
    <hyperlink r:id="rId270" ref="G271"/>
    <hyperlink r:id="rId271" ref="G272"/>
    <hyperlink r:id="rId272" ref="G273"/>
    <hyperlink r:id="rId273" ref="G274"/>
    <hyperlink r:id="rId274" ref="G275"/>
    <hyperlink r:id="rId275" ref="G276"/>
    <hyperlink r:id="rId276" ref="G277"/>
    <hyperlink r:id="rId277" ref="G278"/>
    <hyperlink r:id="rId278" ref="G279"/>
    <hyperlink r:id="rId279" ref="G280"/>
    <hyperlink r:id="rId280" ref="G281"/>
    <hyperlink r:id="rId281" ref="G282"/>
    <hyperlink r:id="rId282" ref="G283"/>
    <hyperlink r:id="rId283" ref="G284"/>
    <hyperlink r:id="rId284" ref="G285"/>
    <hyperlink r:id="rId285" ref="G286"/>
    <hyperlink r:id="rId286" ref="G287"/>
    <hyperlink r:id="rId287" ref="G288"/>
    <hyperlink r:id="rId288" ref="G289"/>
    <hyperlink r:id="rId289" ref="G290"/>
    <hyperlink r:id="rId290" ref="G291"/>
    <hyperlink r:id="rId291" ref="G292"/>
    <hyperlink r:id="rId292" ref="G293"/>
    <hyperlink r:id="rId293" ref="G294"/>
    <hyperlink r:id="rId294" ref="G295"/>
    <hyperlink r:id="rId295" ref="G296"/>
    <hyperlink r:id="rId296" ref="G297"/>
    <hyperlink r:id="rId297" ref="G298"/>
    <hyperlink r:id="rId298" ref="G299"/>
    <hyperlink r:id="rId299" ref="G300"/>
    <hyperlink r:id="rId300" ref="G301"/>
    <hyperlink r:id="rId301" ref="G302"/>
    <hyperlink r:id="rId302" ref="G303"/>
    <hyperlink r:id="rId303" ref="G304"/>
    <hyperlink r:id="rId304" ref="G305"/>
    <hyperlink r:id="rId305" ref="G306"/>
    <hyperlink r:id="rId306" ref="G307"/>
    <hyperlink r:id="rId307" ref="G308"/>
    <hyperlink r:id="rId308" ref="G309"/>
    <hyperlink r:id="rId309" ref="G310"/>
    <hyperlink r:id="rId310" ref="G311"/>
    <hyperlink r:id="rId311" ref="G312"/>
    <hyperlink r:id="rId312" ref="G313"/>
    <hyperlink r:id="rId313" ref="G314"/>
    <hyperlink r:id="rId314" ref="G315"/>
    <hyperlink r:id="rId315" ref="G316"/>
    <hyperlink r:id="rId316" ref="G317"/>
    <hyperlink r:id="rId317" ref="G318"/>
    <hyperlink r:id="rId318" ref="G319"/>
    <hyperlink r:id="rId319" ref="G320"/>
    <hyperlink r:id="rId320" ref="G321"/>
    <hyperlink r:id="rId321" ref="G322"/>
    <hyperlink r:id="rId322" ref="G323"/>
    <hyperlink r:id="rId323" ref="G324"/>
    <hyperlink r:id="rId324" ref="G325"/>
    <hyperlink r:id="rId325" ref="G326"/>
    <hyperlink r:id="rId326" ref="G327"/>
    <hyperlink r:id="rId327" ref="G328"/>
    <hyperlink r:id="rId328" ref="G329"/>
    <hyperlink r:id="rId329" ref="G330"/>
    <hyperlink r:id="rId330" ref="G331"/>
    <hyperlink r:id="rId331" ref="G332"/>
    <hyperlink r:id="rId332" ref="G333"/>
    <hyperlink r:id="rId333" ref="G334"/>
    <hyperlink r:id="rId334" ref="G335"/>
    <hyperlink r:id="rId335" ref="G336"/>
    <hyperlink r:id="rId336" ref="G337"/>
    <hyperlink r:id="rId337" ref="G338"/>
    <hyperlink r:id="rId338" ref="G339"/>
    <hyperlink r:id="rId339" ref="G340"/>
    <hyperlink r:id="rId340" ref="G341"/>
    <hyperlink r:id="rId341" ref="G342"/>
    <hyperlink r:id="rId342" ref="G343"/>
    <hyperlink r:id="rId343" ref="G344"/>
    <hyperlink r:id="rId344" ref="G345"/>
    <hyperlink r:id="rId345" ref="G346"/>
    <hyperlink r:id="rId346" ref="G347"/>
    <hyperlink r:id="rId347" ref="G348"/>
    <hyperlink r:id="rId348" ref="G349"/>
    <hyperlink r:id="rId349" ref="G350"/>
    <hyperlink r:id="rId350" ref="G351"/>
    <hyperlink r:id="rId351" ref="G352"/>
    <hyperlink r:id="rId352" ref="G353"/>
    <hyperlink r:id="rId353" ref="G354"/>
    <hyperlink r:id="rId354" ref="G355"/>
    <hyperlink r:id="rId355" ref="G356"/>
    <hyperlink r:id="rId356" ref="G357"/>
    <hyperlink r:id="rId357" ref="G358"/>
    <hyperlink r:id="rId358" ref="G359"/>
    <hyperlink r:id="rId359" ref="G360"/>
    <hyperlink r:id="rId360" ref="G361"/>
    <hyperlink r:id="rId361" ref="G362"/>
    <hyperlink r:id="rId362" ref="G363"/>
    <hyperlink r:id="rId363" ref="G364"/>
    <hyperlink r:id="rId364" ref="G365"/>
    <hyperlink r:id="rId365" ref="G366"/>
    <hyperlink r:id="rId366" ref="G367"/>
    <hyperlink r:id="rId367" ref="G368"/>
    <hyperlink r:id="rId368" ref="G369"/>
    <hyperlink r:id="rId369" ref="G370"/>
    <hyperlink r:id="rId370" ref="G371"/>
    <hyperlink r:id="rId371" ref="G372"/>
    <hyperlink r:id="rId372" ref="G373"/>
    <hyperlink r:id="rId373" ref="G374"/>
    <hyperlink r:id="rId374" ref="G375"/>
    <hyperlink r:id="rId375" ref="G376"/>
    <hyperlink r:id="rId376" ref="G377"/>
    <hyperlink r:id="rId377" ref="G378"/>
    <hyperlink r:id="rId378" ref="G379"/>
    <hyperlink r:id="rId379" ref="G380"/>
    <hyperlink r:id="rId380" ref="G381"/>
    <hyperlink r:id="rId381" ref="G382"/>
    <hyperlink r:id="rId382" ref="G383"/>
    <hyperlink r:id="rId383" ref="G384"/>
    <hyperlink r:id="rId384" ref="G385"/>
    <hyperlink r:id="rId385" ref="G386"/>
    <hyperlink r:id="rId386" ref="G387"/>
    <hyperlink r:id="rId387" ref="G388"/>
    <hyperlink r:id="rId388" ref="G389"/>
    <hyperlink r:id="rId389" ref="G390"/>
    <hyperlink r:id="rId390" ref="G391"/>
    <hyperlink r:id="rId391" ref="G392"/>
    <hyperlink r:id="rId392" ref="G393"/>
    <hyperlink r:id="rId393" ref="G394"/>
    <hyperlink r:id="rId394" ref="G395"/>
    <hyperlink r:id="rId395" ref="G396"/>
    <hyperlink r:id="rId396" ref="G397"/>
    <hyperlink r:id="rId397" ref="G398"/>
    <hyperlink r:id="rId398" ref="G399"/>
    <hyperlink r:id="rId399" ref="G400"/>
    <hyperlink r:id="rId400" ref="G401"/>
    <hyperlink r:id="rId401" ref="G402"/>
    <hyperlink r:id="rId402" ref="G403"/>
    <hyperlink r:id="rId403" ref="G404"/>
    <hyperlink r:id="rId404" ref="G405"/>
    <hyperlink r:id="rId405" ref="G406"/>
    <hyperlink r:id="rId406" ref="G407"/>
    <hyperlink r:id="rId407" ref="G408"/>
    <hyperlink r:id="rId408" ref="G409"/>
    <hyperlink r:id="rId409" ref="G410"/>
    <hyperlink r:id="rId410" ref="G411"/>
    <hyperlink r:id="rId411" ref="G412"/>
    <hyperlink r:id="rId412" ref="G413"/>
    <hyperlink r:id="rId413" ref="G414"/>
    <hyperlink r:id="rId414" ref="G415"/>
    <hyperlink r:id="rId415" ref="G416"/>
    <hyperlink r:id="rId416" ref="G417"/>
    <hyperlink r:id="rId417" ref="G418"/>
    <hyperlink r:id="rId418" ref="G419"/>
    <hyperlink r:id="rId419" ref="G420"/>
    <hyperlink r:id="rId420" ref="G421"/>
    <hyperlink r:id="rId421" ref="G422"/>
    <hyperlink r:id="rId422" ref="G423"/>
    <hyperlink r:id="rId423" ref="G424"/>
    <hyperlink r:id="rId424" ref="G425"/>
    <hyperlink r:id="rId425" ref="G426"/>
    <hyperlink r:id="rId426" ref="G427"/>
    <hyperlink r:id="rId427" ref="G428"/>
    <hyperlink r:id="rId428" ref="G429"/>
    <hyperlink r:id="rId429" ref="G430"/>
    <hyperlink r:id="rId430" ref="G431"/>
    <hyperlink r:id="rId431" ref="G432"/>
    <hyperlink r:id="rId432" ref="G433"/>
    <hyperlink r:id="rId433" ref="G434"/>
    <hyperlink r:id="rId434" ref="G435"/>
    <hyperlink r:id="rId435" ref="G436"/>
    <hyperlink r:id="rId436" ref="G437"/>
    <hyperlink r:id="rId437" ref="G438"/>
    <hyperlink r:id="rId438" ref="G439"/>
    <hyperlink r:id="rId439" ref="G440"/>
    <hyperlink r:id="rId440" ref="G441"/>
    <hyperlink r:id="rId441" ref="G442"/>
    <hyperlink r:id="rId442" ref="G443"/>
    <hyperlink r:id="rId443" ref="G444"/>
    <hyperlink r:id="rId444" ref="G445"/>
    <hyperlink r:id="rId445" ref="G446"/>
    <hyperlink r:id="rId446" ref="G447"/>
    <hyperlink r:id="rId447" ref="G448"/>
    <hyperlink r:id="rId448" ref="G449"/>
    <hyperlink r:id="rId449" ref="G450"/>
    <hyperlink r:id="rId450" ref="G451"/>
    <hyperlink r:id="rId451" ref="G452"/>
    <hyperlink r:id="rId452" ref="G453"/>
    <hyperlink r:id="rId453" ref="G454"/>
    <hyperlink r:id="rId454" ref="G455"/>
    <hyperlink r:id="rId455" ref="G456"/>
    <hyperlink r:id="rId456" ref="G457"/>
    <hyperlink r:id="rId457" ref="G458"/>
    <hyperlink r:id="rId458" ref="G459"/>
    <hyperlink r:id="rId459" ref="G460"/>
    <hyperlink r:id="rId460" ref="G461"/>
    <hyperlink r:id="rId461" ref="G462"/>
    <hyperlink r:id="rId462" ref="G463"/>
    <hyperlink r:id="rId463" ref="G464"/>
    <hyperlink r:id="rId464" ref="G465"/>
    <hyperlink r:id="rId465" ref="G466"/>
    <hyperlink r:id="rId466" ref="G467"/>
    <hyperlink r:id="rId467" ref="G468"/>
    <hyperlink r:id="rId468" ref="G469"/>
    <hyperlink r:id="rId469" ref="G470"/>
    <hyperlink r:id="rId470" ref="G471"/>
    <hyperlink r:id="rId471" ref="G472"/>
    <hyperlink r:id="rId472" ref="G473"/>
    <hyperlink r:id="rId473" ref="G474"/>
    <hyperlink r:id="rId474" ref="G475"/>
    <hyperlink r:id="rId475" ref="G476"/>
    <hyperlink r:id="rId476" ref="G477"/>
    <hyperlink r:id="rId477" ref="G478"/>
    <hyperlink r:id="rId478" ref="G479"/>
    <hyperlink r:id="rId479" ref="G480"/>
    <hyperlink r:id="rId480" ref="G481"/>
    <hyperlink r:id="rId481" ref="G482"/>
    <hyperlink r:id="rId482" ref="G483"/>
    <hyperlink r:id="rId483" ref="G484"/>
    <hyperlink r:id="rId484" ref="G485"/>
    <hyperlink r:id="rId485" ref="G486"/>
    <hyperlink r:id="rId486" ref="G487"/>
    <hyperlink r:id="rId487" ref="G488"/>
    <hyperlink r:id="rId488" ref="G489"/>
    <hyperlink r:id="rId489" ref="G490"/>
    <hyperlink r:id="rId490" ref="G491"/>
    <hyperlink r:id="rId491" ref="G492"/>
    <hyperlink r:id="rId492" ref="G493"/>
    <hyperlink r:id="rId493" ref="G494"/>
    <hyperlink r:id="rId494" ref="G495"/>
    <hyperlink r:id="rId495" ref="G496"/>
    <hyperlink r:id="rId496" ref="G497"/>
    <hyperlink r:id="rId497" ref="G498"/>
    <hyperlink r:id="rId498" ref="G499"/>
    <hyperlink r:id="rId499" ref="G500"/>
    <hyperlink r:id="rId500" ref="G501"/>
    <hyperlink r:id="rId501" ref="G502"/>
    <hyperlink r:id="rId502" ref="G503"/>
    <hyperlink r:id="rId503" ref="G504"/>
    <hyperlink r:id="rId504" ref="G505"/>
    <hyperlink r:id="rId505" ref="G506"/>
    <hyperlink r:id="rId506" ref="G507"/>
    <hyperlink r:id="rId507" ref="G508"/>
    <hyperlink r:id="rId508" ref="G509"/>
    <hyperlink r:id="rId509" ref="G510"/>
    <hyperlink r:id="rId510" ref="G511"/>
    <hyperlink r:id="rId511" ref="G512"/>
    <hyperlink r:id="rId512" ref="G513"/>
    <hyperlink r:id="rId513" ref="G514"/>
    <hyperlink r:id="rId514" ref="G515"/>
    <hyperlink r:id="rId515" ref="G516"/>
    <hyperlink r:id="rId516" ref="G517"/>
    <hyperlink r:id="rId517" ref="G518"/>
    <hyperlink r:id="rId518" ref="G519"/>
    <hyperlink r:id="rId519" ref="G520"/>
    <hyperlink r:id="rId520" ref="G521"/>
    <hyperlink r:id="rId521" ref="G522"/>
    <hyperlink r:id="rId522" ref="G523"/>
    <hyperlink r:id="rId523" ref="G524"/>
    <hyperlink r:id="rId524" ref="G525"/>
    <hyperlink r:id="rId525" ref="G526"/>
    <hyperlink r:id="rId526" ref="G527"/>
    <hyperlink r:id="rId527" ref="G528"/>
    <hyperlink r:id="rId528" ref="G529"/>
    <hyperlink r:id="rId529" ref="G530"/>
    <hyperlink r:id="rId530" ref="G531"/>
    <hyperlink r:id="rId531" ref="G532"/>
    <hyperlink r:id="rId532" ref="G533"/>
    <hyperlink r:id="rId533" ref="G534"/>
    <hyperlink r:id="rId534" ref="G535"/>
    <hyperlink r:id="rId535" ref="G536"/>
    <hyperlink r:id="rId536" ref="G537"/>
    <hyperlink r:id="rId537" ref="G538"/>
    <hyperlink r:id="rId538" ref="G539"/>
    <hyperlink r:id="rId539" ref="G540"/>
    <hyperlink r:id="rId540" ref="G541"/>
    <hyperlink r:id="rId541" ref="G542"/>
    <hyperlink r:id="rId542" ref="G543"/>
    <hyperlink r:id="rId543" ref="G544"/>
    <hyperlink r:id="rId544" ref="G545"/>
    <hyperlink r:id="rId545" ref="G546"/>
    <hyperlink r:id="rId546" ref="G547"/>
    <hyperlink r:id="rId547" ref="G548"/>
    <hyperlink r:id="rId548" ref="G549"/>
    <hyperlink r:id="rId549" ref="G550"/>
    <hyperlink r:id="rId550" ref="G551"/>
    <hyperlink r:id="rId551" ref="G552"/>
    <hyperlink r:id="rId552" ref="G553"/>
    <hyperlink r:id="rId553" ref="G554"/>
    <hyperlink r:id="rId554" ref="G555"/>
    <hyperlink r:id="rId555" ref="G556"/>
    <hyperlink r:id="rId556" ref="G557"/>
    <hyperlink r:id="rId557" ref="G558"/>
    <hyperlink r:id="rId558" ref="G559"/>
    <hyperlink r:id="rId559" ref="G560"/>
    <hyperlink r:id="rId560" ref="G561"/>
    <hyperlink r:id="rId561" ref="G562"/>
    <hyperlink r:id="rId562" ref="G563"/>
    <hyperlink r:id="rId563" ref="G564"/>
    <hyperlink r:id="rId564" ref="G565"/>
    <hyperlink r:id="rId565" ref="G566"/>
    <hyperlink r:id="rId566" ref="G567"/>
    <hyperlink r:id="rId567" ref="G568"/>
    <hyperlink r:id="rId568" ref="G569"/>
    <hyperlink r:id="rId569" ref="G570"/>
    <hyperlink r:id="rId570" ref="G571"/>
    <hyperlink r:id="rId571" ref="G572"/>
    <hyperlink r:id="rId572" ref="G573"/>
    <hyperlink r:id="rId573" ref="G574"/>
    <hyperlink r:id="rId574" ref="G575"/>
    <hyperlink r:id="rId575" ref="G576"/>
    <hyperlink r:id="rId576" ref="G577"/>
    <hyperlink r:id="rId577" ref="G578"/>
    <hyperlink r:id="rId578" ref="G579"/>
    <hyperlink r:id="rId579" ref="G580"/>
    <hyperlink r:id="rId580" ref="G581"/>
    <hyperlink r:id="rId581" ref="G582"/>
    <hyperlink r:id="rId582" ref="G583"/>
    <hyperlink r:id="rId583" ref="G584"/>
    <hyperlink r:id="rId584" ref="G585"/>
    <hyperlink r:id="rId585" ref="G586"/>
    <hyperlink r:id="rId586" ref="G587"/>
    <hyperlink r:id="rId587" ref="G588"/>
    <hyperlink r:id="rId588" ref="G589"/>
    <hyperlink r:id="rId589" ref="G590"/>
    <hyperlink r:id="rId590" ref="G591"/>
    <hyperlink r:id="rId591" ref="G592"/>
    <hyperlink r:id="rId592" ref="G593"/>
    <hyperlink r:id="rId593" ref="G594"/>
    <hyperlink r:id="rId594" ref="G595"/>
    <hyperlink r:id="rId595" ref="G596"/>
    <hyperlink r:id="rId596" ref="G597"/>
    <hyperlink r:id="rId597" ref="G598"/>
    <hyperlink r:id="rId598" ref="G599"/>
    <hyperlink r:id="rId599" ref="G600"/>
    <hyperlink r:id="rId600" ref="G601"/>
    <hyperlink r:id="rId601" ref="G602"/>
    <hyperlink r:id="rId602" ref="G603"/>
    <hyperlink r:id="rId603" ref="G604"/>
    <hyperlink r:id="rId604" ref="G605"/>
    <hyperlink r:id="rId605" ref="G606"/>
    <hyperlink r:id="rId606" ref="G607"/>
    <hyperlink r:id="rId607" ref="G608"/>
    <hyperlink r:id="rId608" ref="G609"/>
    <hyperlink r:id="rId609" ref="G610"/>
    <hyperlink r:id="rId610" ref="G611"/>
    <hyperlink r:id="rId611" ref="G612"/>
    <hyperlink r:id="rId612" ref="G613"/>
    <hyperlink r:id="rId613" ref="G614"/>
    <hyperlink r:id="rId614" ref="G615"/>
    <hyperlink r:id="rId615" ref="G616"/>
    <hyperlink r:id="rId616" ref="G617"/>
    <hyperlink r:id="rId617" ref="G618"/>
    <hyperlink r:id="rId618" ref="G619"/>
    <hyperlink r:id="rId619" ref="G620"/>
    <hyperlink r:id="rId620" ref="G621"/>
    <hyperlink r:id="rId621" ref="G622"/>
    <hyperlink r:id="rId622" ref="G623"/>
    <hyperlink r:id="rId623" ref="G624"/>
    <hyperlink r:id="rId624" ref="G625"/>
    <hyperlink r:id="rId625" ref="G626"/>
    <hyperlink r:id="rId626" ref="G627"/>
    <hyperlink r:id="rId627" ref="G628"/>
    <hyperlink r:id="rId628" ref="G629"/>
    <hyperlink r:id="rId629" ref="G630"/>
    <hyperlink r:id="rId630" ref="G631"/>
    <hyperlink r:id="rId631" ref="G632"/>
    <hyperlink r:id="rId632" ref="G633"/>
    <hyperlink r:id="rId633" ref="G634"/>
    <hyperlink r:id="rId634" ref="G635"/>
    <hyperlink r:id="rId635" ref="G636"/>
    <hyperlink r:id="rId636" ref="G637"/>
    <hyperlink r:id="rId637" ref="G638"/>
    <hyperlink r:id="rId638" ref="G639"/>
    <hyperlink r:id="rId639" ref="G640"/>
    <hyperlink r:id="rId640" ref="G641"/>
    <hyperlink r:id="rId641" ref="G642"/>
    <hyperlink r:id="rId642" ref="G643"/>
    <hyperlink r:id="rId643" ref="G644"/>
    <hyperlink r:id="rId644" ref="G645"/>
    <hyperlink r:id="rId645" ref="G646"/>
    <hyperlink r:id="rId646" ref="G647"/>
    <hyperlink r:id="rId647" ref="G648"/>
    <hyperlink r:id="rId648" ref="G649"/>
    <hyperlink r:id="rId649" ref="G650"/>
    <hyperlink r:id="rId650" ref="G651"/>
    <hyperlink r:id="rId651" ref="G652"/>
    <hyperlink r:id="rId652" ref="G653"/>
    <hyperlink r:id="rId653" ref="G654"/>
    <hyperlink r:id="rId654" ref="G655"/>
    <hyperlink r:id="rId655" ref="G656"/>
    <hyperlink r:id="rId656" ref="G657"/>
    <hyperlink r:id="rId657" ref="G658"/>
    <hyperlink r:id="rId658" ref="G659"/>
    <hyperlink r:id="rId659" ref="G660"/>
    <hyperlink r:id="rId660" ref="G661"/>
    <hyperlink r:id="rId661" ref="G662"/>
    <hyperlink r:id="rId662" ref="G663"/>
    <hyperlink r:id="rId663" ref="G664"/>
    <hyperlink r:id="rId664" ref="G665"/>
    <hyperlink r:id="rId665" ref="G666"/>
    <hyperlink r:id="rId666" ref="G667"/>
    <hyperlink r:id="rId667" ref="G668"/>
    <hyperlink r:id="rId668" ref="G669"/>
    <hyperlink r:id="rId669" ref="G670"/>
    <hyperlink r:id="rId670" ref="G671"/>
    <hyperlink r:id="rId671" ref="G672"/>
    <hyperlink r:id="rId672" ref="G673"/>
    <hyperlink r:id="rId673" ref="G674"/>
    <hyperlink r:id="rId674" ref="G675"/>
    <hyperlink r:id="rId675" ref="G676"/>
    <hyperlink r:id="rId676" ref="G677"/>
    <hyperlink r:id="rId677" ref="G678"/>
    <hyperlink r:id="rId678" ref="G679"/>
    <hyperlink r:id="rId679" ref="G680"/>
    <hyperlink r:id="rId680" ref="G681"/>
    <hyperlink r:id="rId681" ref="G682"/>
    <hyperlink r:id="rId682" ref="G683"/>
    <hyperlink r:id="rId683" ref="G684"/>
    <hyperlink r:id="rId684" ref="G685"/>
    <hyperlink r:id="rId685" ref="G686"/>
    <hyperlink r:id="rId686" ref="G687"/>
    <hyperlink r:id="rId687" ref="G688"/>
    <hyperlink r:id="rId688" ref="G689"/>
    <hyperlink r:id="rId689" ref="G690"/>
    <hyperlink r:id="rId690" ref="G691"/>
    <hyperlink r:id="rId691" ref="G692"/>
    <hyperlink r:id="rId692" ref="G693"/>
    <hyperlink r:id="rId693" ref="G694"/>
    <hyperlink r:id="rId694" ref="G695"/>
    <hyperlink r:id="rId695" ref="G696"/>
    <hyperlink r:id="rId696" ref="G697"/>
    <hyperlink r:id="rId697" ref="G698"/>
    <hyperlink r:id="rId698" ref="G699"/>
    <hyperlink r:id="rId699" ref="G700"/>
    <hyperlink r:id="rId700" ref="G701"/>
    <hyperlink r:id="rId701" ref="G702"/>
    <hyperlink r:id="rId702" ref="G703"/>
    <hyperlink r:id="rId703" ref="G704"/>
    <hyperlink r:id="rId704" ref="G705"/>
    <hyperlink r:id="rId705" ref="G706"/>
    <hyperlink r:id="rId706" ref="G707"/>
    <hyperlink r:id="rId707" ref="G708"/>
    <hyperlink r:id="rId708" ref="G709"/>
    <hyperlink r:id="rId709" ref="G710"/>
    <hyperlink r:id="rId710" ref="G711"/>
    <hyperlink r:id="rId711" ref="G712"/>
    <hyperlink r:id="rId712" ref="G713"/>
    <hyperlink r:id="rId713" ref="G714"/>
    <hyperlink r:id="rId714" ref="G715"/>
    <hyperlink r:id="rId715" ref="G716"/>
    <hyperlink r:id="rId716" ref="G717"/>
    <hyperlink r:id="rId717" ref="G718"/>
    <hyperlink r:id="rId718" ref="G719"/>
    <hyperlink r:id="rId719" ref="G720"/>
    <hyperlink r:id="rId720" ref="G721"/>
    <hyperlink r:id="rId721" ref="G722"/>
    <hyperlink r:id="rId722" ref="G723"/>
    <hyperlink r:id="rId723" ref="G724"/>
    <hyperlink r:id="rId724" ref="G725"/>
    <hyperlink r:id="rId725" ref="G726"/>
    <hyperlink r:id="rId726" ref="G727"/>
    <hyperlink r:id="rId727" ref="G728"/>
    <hyperlink r:id="rId728" ref="G729"/>
    <hyperlink r:id="rId729" ref="G730"/>
    <hyperlink r:id="rId730" ref="G731"/>
    <hyperlink r:id="rId731" ref="G732"/>
    <hyperlink r:id="rId732" ref="G733"/>
    <hyperlink r:id="rId733" ref="G734"/>
    <hyperlink r:id="rId734" ref="G735"/>
    <hyperlink r:id="rId735" ref="G736"/>
    <hyperlink r:id="rId736" ref="G737"/>
    <hyperlink r:id="rId737" ref="G738"/>
    <hyperlink r:id="rId738" ref="G739"/>
    <hyperlink r:id="rId739" ref="G740"/>
    <hyperlink r:id="rId740" ref="G741"/>
    <hyperlink r:id="rId741" ref="G742"/>
    <hyperlink r:id="rId742" ref="G743"/>
    <hyperlink r:id="rId743" ref="G744"/>
    <hyperlink r:id="rId744" ref="G745"/>
    <hyperlink r:id="rId745" ref="G746"/>
    <hyperlink r:id="rId746" ref="G747"/>
    <hyperlink r:id="rId747" ref="G748"/>
    <hyperlink r:id="rId748" ref="G749"/>
    <hyperlink r:id="rId749" ref="G750"/>
    <hyperlink r:id="rId750" ref="G751"/>
    <hyperlink r:id="rId751" ref="G752"/>
    <hyperlink r:id="rId752" ref="G753"/>
    <hyperlink r:id="rId753" ref="G754"/>
    <hyperlink r:id="rId754" ref="G755"/>
    <hyperlink r:id="rId755" ref="G756"/>
    <hyperlink r:id="rId756" ref="G757"/>
    <hyperlink r:id="rId757" ref="G758"/>
    <hyperlink r:id="rId758" ref="G759"/>
    <hyperlink r:id="rId759" ref="G760"/>
    <hyperlink r:id="rId760" ref="G761"/>
    <hyperlink r:id="rId761" ref="G762"/>
    <hyperlink r:id="rId762" ref="G763"/>
    <hyperlink r:id="rId763" ref="G764"/>
    <hyperlink r:id="rId764" ref="G765"/>
    <hyperlink r:id="rId765" ref="G766"/>
    <hyperlink r:id="rId766" ref="G767"/>
    <hyperlink r:id="rId767" ref="G768"/>
    <hyperlink r:id="rId768" ref="G769"/>
    <hyperlink r:id="rId769" ref="G770"/>
    <hyperlink r:id="rId770" ref="G771"/>
    <hyperlink r:id="rId771" ref="G772"/>
    <hyperlink r:id="rId772" ref="G773"/>
    <hyperlink r:id="rId773" ref="G774"/>
    <hyperlink r:id="rId774" ref="G775"/>
    <hyperlink r:id="rId775" ref="G776"/>
    <hyperlink r:id="rId776" ref="G777"/>
    <hyperlink r:id="rId777" ref="G778"/>
    <hyperlink r:id="rId778" ref="G779"/>
    <hyperlink r:id="rId779" ref="G780"/>
    <hyperlink r:id="rId780" ref="G781"/>
    <hyperlink r:id="rId781" ref="G782"/>
    <hyperlink r:id="rId782" ref="G783"/>
    <hyperlink r:id="rId783" ref="G784"/>
    <hyperlink r:id="rId784" ref="G785"/>
    <hyperlink r:id="rId785" ref="G786"/>
    <hyperlink r:id="rId786" ref="G787"/>
    <hyperlink r:id="rId787" ref="G788"/>
    <hyperlink r:id="rId788" ref="G789"/>
    <hyperlink r:id="rId789" ref="G790"/>
    <hyperlink r:id="rId790" ref="G791"/>
    <hyperlink r:id="rId791" ref="G792"/>
    <hyperlink r:id="rId792" ref="G793"/>
    <hyperlink r:id="rId793" ref="G794"/>
    <hyperlink r:id="rId794" ref="G795"/>
    <hyperlink r:id="rId795" ref="G796"/>
    <hyperlink r:id="rId796" ref="G797"/>
    <hyperlink r:id="rId797" ref="G798"/>
    <hyperlink r:id="rId798" ref="G799"/>
    <hyperlink r:id="rId799" ref="G800"/>
    <hyperlink r:id="rId800" ref="G801"/>
    <hyperlink r:id="rId801" ref="G802"/>
    <hyperlink r:id="rId802" ref="G803"/>
    <hyperlink r:id="rId803" ref="G804"/>
    <hyperlink r:id="rId804" ref="G805"/>
    <hyperlink r:id="rId805" ref="G806"/>
    <hyperlink r:id="rId806" ref="G807"/>
    <hyperlink r:id="rId807" ref="G808"/>
    <hyperlink r:id="rId808" ref="G809"/>
    <hyperlink r:id="rId809" ref="G810"/>
    <hyperlink r:id="rId810" ref="G811"/>
    <hyperlink r:id="rId811" ref="G812"/>
    <hyperlink r:id="rId812" ref="G813"/>
    <hyperlink r:id="rId813" ref="G814"/>
    <hyperlink r:id="rId814" ref="G815"/>
    <hyperlink r:id="rId815" ref="G816"/>
    <hyperlink r:id="rId816" ref="G817"/>
    <hyperlink r:id="rId817" ref="G818"/>
    <hyperlink r:id="rId818" ref="G819"/>
    <hyperlink r:id="rId819" ref="G820"/>
    <hyperlink r:id="rId820" ref="G821"/>
    <hyperlink r:id="rId821" ref="G822"/>
    <hyperlink r:id="rId822" ref="G823"/>
    <hyperlink r:id="rId823" ref="G824"/>
    <hyperlink r:id="rId824" ref="G825"/>
    <hyperlink r:id="rId825" ref="G826"/>
    <hyperlink r:id="rId826" ref="G827"/>
    <hyperlink r:id="rId827" ref="G828"/>
    <hyperlink r:id="rId828" ref="G829"/>
    <hyperlink r:id="rId829" ref="G830"/>
    <hyperlink r:id="rId830" ref="G831"/>
    <hyperlink r:id="rId831" ref="G832"/>
    <hyperlink r:id="rId832" ref="G833"/>
    <hyperlink r:id="rId833" ref="G834"/>
    <hyperlink r:id="rId834" ref="G835"/>
    <hyperlink r:id="rId835" ref="G836"/>
    <hyperlink r:id="rId836" ref="G837"/>
    <hyperlink r:id="rId837" ref="G838"/>
    <hyperlink r:id="rId838" ref="G839"/>
    <hyperlink r:id="rId839" ref="G840"/>
    <hyperlink r:id="rId840" ref="G841"/>
    <hyperlink r:id="rId841" ref="G842"/>
    <hyperlink r:id="rId842" ref="G843"/>
    <hyperlink r:id="rId843" ref="G844"/>
    <hyperlink r:id="rId844" ref="G845"/>
    <hyperlink r:id="rId845" ref="G846"/>
    <hyperlink r:id="rId846" ref="G847"/>
    <hyperlink r:id="rId847" ref="G848"/>
    <hyperlink r:id="rId848" ref="G849"/>
    <hyperlink r:id="rId849" ref="G850"/>
    <hyperlink r:id="rId850" ref="G851"/>
    <hyperlink r:id="rId851" ref="G852"/>
    <hyperlink r:id="rId852" ref="G853"/>
    <hyperlink r:id="rId853" ref="G854"/>
    <hyperlink r:id="rId854" ref="G855"/>
    <hyperlink r:id="rId855" ref="G856"/>
    <hyperlink r:id="rId856" ref="G857"/>
    <hyperlink r:id="rId857" ref="G858"/>
    <hyperlink r:id="rId858" ref="G859"/>
    <hyperlink r:id="rId859" ref="G860"/>
    <hyperlink r:id="rId860" ref="G861"/>
    <hyperlink r:id="rId861" ref="G862"/>
    <hyperlink r:id="rId862" ref="G863"/>
    <hyperlink r:id="rId863" ref="G864"/>
    <hyperlink r:id="rId864" ref="G865"/>
    <hyperlink r:id="rId865" ref="G866"/>
    <hyperlink r:id="rId866" ref="G867"/>
    <hyperlink r:id="rId867" ref="G868"/>
    <hyperlink r:id="rId868" ref="G869"/>
    <hyperlink r:id="rId869" ref="G870"/>
    <hyperlink r:id="rId870" ref="G871"/>
    <hyperlink r:id="rId871" ref="G872"/>
    <hyperlink r:id="rId872" ref="G873"/>
    <hyperlink r:id="rId873" ref="G874"/>
    <hyperlink r:id="rId874" ref="G875"/>
    <hyperlink r:id="rId875" ref="G876"/>
    <hyperlink r:id="rId876" ref="G877"/>
    <hyperlink r:id="rId877" ref="G878"/>
    <hyperlink r:id="rId878" ref="G879"/>
    <hyperlink r:id="rId879" ref="G880"/>
    <hyperlink r:id="rId880" ref="G881"/>
    <hyperlink r:id="rId881" ref="G882"/>
    <hyperlink r:id="rId882" ref="G883"/>
    <hyperlink r:id="rId883" ref="G884"/>
    <hyperlink r:id="rId884" ref="G885"/>
    <hyperlink r:id="rId885" ref="G886"/>
    <hyperlink r:id="rId886" ref="G887"/>
    <hyperlink r:id="rId887" ref="G888"/>
    <hyperlink r:id="rId888" ref="G889"/>
    <hyperlink r:id="rId889" ref="G890"/>
    <hyperlink r:id="rId890" ref="G891"/>
    <hyperlink r:id="rId891" ref="G892"/>
    <hyperlink r:id="rId892" ref="G893"/>
    <hyperlink r:id="rId893" ref="G894"/>
    <hyperlink r:id="rId894" ref="G895"/>
    <hyperlink r:id="rId895" ref="G896"/>
    <hyperlink r:id="rId896" ref="G897"/>
    <hyperlink r:id="rId897" ref="G898"/>
    <hyperlink r:id="rId898" ref="G899"/>
    <hyperlink r:id="rId899" ref="G900"/>
    <hyperlink r:id="rId900" ref="G901"/>
    <hyperlink r:id="rId901" ref="G902"/>
    <hyperlink r:id="rId902" ref="G903"/>
    <hyperlink r:id="rId903" ref="G904"/>
    <hyperlink r:id="rId904" ref="G905"/>
    <hyperlink r:id="rId905" ref="G906"/>
    <hyperlink r:id="rId906" ref="G907"/>
    <hyperlink r:id="rId907" ref="G908"/>
    <hyperlink r:id="rId908" ref="G909"/>
    <hyperlink r:id="rId909" ref="G910"/>
    <hyperlink r:id="rId910" ref="G911"/>
    <hyperlink r:id="rId911" ref="G912"/>
    <hyperlink r:id="rId912" ref="G913"/>
    <hyperlink r:id="rId913" ref="G914"/>
    <hyperlink r:id="rId914" ref="G915"/>
    <hyperlink r:id="rId915" ref="G916"/>
    <hyperlink r:id="rId916" ref="G917"/>
    <hyperlink r:id="rId917" ref="G918"/>
    <hyperlink r:id="rId918" ref="G919"/>
    <hyperlink r:id="rId919" ref="G920"/>
    <hyperlink r:id="rId920" ref="G921"/>
    <hyperlink r:id="rId921" ref="G922"/>
    <hyperlink r:id="rId922" ref="G923"/>
    <hyperlink r:id="rId923" ref="G924"/>
    <hyperlink r:id="rId924" ref="G925"/>
    <hyperlink r:id="rId925" ref="G926"/>
    <hyperlink r:id="rId926" ref="G927"/>
    <hyperlink r:id="rId927" ref="G928"/>
    <hyperlink r:id="rId928" ref="G929"/>
    <hyperlink r:id="rId929" ref="G930"/>
    <hyperlink r:id="rId930" ref="G931"/>
    <hyperlink r:id="rId931" ref="G932"/>
    <hyperlink r:id="rId932" ref="G933"/>
    <hyperlink r:id="rId933" ref="G934"/>
    <hyperlink r:id="rId934" ref="G935"/>
    <hyperlink r:id="rId935" ref="G936"/>
    <hyperlink r:id="rId936" ref="G937"/>
    <hyperlink r:id="rId937" ref="G938"/>
    <hyperlink r:id="rId938" ref="G939"/>
    <hyperlink r:id="rId939" ref="G940"/>
    <hyperlink r:id="rId940" ref="G941"/>
    <hyperlink r:id="rId941" ref="G942"/>
    <hyperlink r:id="rId942" ref="G943"/>
    <hyperlink r:id="rId943" ref="G944"/>
    <hyperlink r:id="rId944" ref="G945"/>
    <hyperlink r:id="rId945" ref="G946"/>
    <hyperlink r:id="rId946" ref="G947"/>
    <hyperlink r:id="rId947" ref="G948"/>
    <hyperlink r:id="rId948" ref="G949"/>
    <hyperlink r:id="rId949" ref="G950"/>
    <hyperlink r:id="rId950" ref="G951"/>
    <hyperlink r:id="rId951" ref="G952"/>
    <hyperlink r:id="rId952" ref="G953"/>
    <hyperlink r:id="rId953" ref="G954"/>
    <hyperlink r:id="rId954" ref="G955"/>
    <hyperlink r:id="rId955" ref="G956"/>
    <hyperlink r:id="rId956" ref="G957"/>
    <hyperlink r:id="rId957" ref="G958"/>
    <hyperlink r:id="rId958" ref="G959"/>
    <hyperlink r:id="rId959" ref="G960"/>
    <hyperlink r:id="rId960" ref="G961"/>
    <hyperlink r:id="rId961" ref="G962"/>
    <hyperlink r:id="rId962" ref="G963"/>
    <hyperlink r:id="rId963" ref="G964"/>
    <hyperlink r:id="rId964" ref="G965"/>
    <hyperlink r:id="rId965" ref="G966"/>
    <hyperlink r:id="rId966" ref="G967"/>
    <hyperlink r:id="rId967" ref="G968"/>
    <hyperlink r:id="rId968" ref="G969"/>
    <hyperlink r:id="rId969" ref="G970"/>
    <hyperlink r:id="rId970" ref="G971"/>
    <hyperlink r:id="rId971" ref="G972"/>
    <hyperlink r:id="rId972" ref="G973"/>
    <hyperlink r:id="rId973" ref="G974"/>
    <hyperlink r:id="rId974" ref="G975"/>
    <hyperlink r:id="rId975" ref="G976"/>
    <hyperlink r:id="rId976" ref="G977"/>
    <hyperlink r:id="rId977" ref="G978"/>
    <hyperlink r:id="rId978" ref="G979"/>
    <hyperlink r:id="rId979" ref="G980"/>
    <hyperlink r:id="rId980" ref="G981"/>
    <hyperlink r:id="rId981" ref="G982"/>
    <hyperlink r:id="rId982" ref="G983"/>
    <hyperlink r:id="rId983" ref="G984"/>
    <hyperlink r:id="rId984" ref="G985"/>
    <hyperlink r:id="rId985" ref="G986"/>
    <hyperlink r:id="rId986" ref="G987"/>
    <hyperlink r:id="rId987" ref="G988"/>
    <hyperlink r:id="rId988" ref="G989"/>
    <hyperlink r:id="rId989" ref="G990"/>
    <hyperlink r:id="rId990" ref="G991"/>
    <hyperlink r:id="rId991" ref="G992"/>
    <hyperlink r:id="rId992" ref="G993"/>
    <hyperlink r:id="rId993" ref="G994"/>
    <hyperlink r:id="rId994" ref="G995"/>
    <hyperlink r:id="rId995" ref="G996"/>
    <hyperlink r:id="rId996" ref="G997"/>
    <hyperlink r:id="rId997" ref="G998"/>
    <hyperlink r:id="rId998" ref="G999"/>
    <hyperlink r:id="rId999" ref="G1000"/>
    <hyperlink r:id="rId1000" ref="G1001"/>
    <hyperlink r:id="rId1001" ref="G1002"/>
    <hyperlink r:id="rId1002" ref="G1003"/>
    <hyperlink r:id="rId1003" ref="G1004"/>
    <hyperlink r:id="rId1004" ref="G1005"/>
    <hyperlink r:id="rId1005" ref="G1006"/>
    <hyperlink r:id="rId1006" ref="G1007"/>
    <hyperlink r:id="rId1007" ref="G1008"/>
    <hyperlink r:id="rId1008" ref="G1009"/>
    <hyperlink r:id="rId1009" ref="G1010"/>
    <hyperlink r:id="rId1010" ref="G1011"/>
    <hyperlink r:id="rId1011" ref="G1012"/>
    <hyperlink r:id="rId1012" ref="G1013"/>
    <hyperlink r:id="rId1013" ref="G1014"/>
    <hyperlink r:id="rId1014" ref="G1015"/>
    <hyperlink r:id="rId1015" ref="G1016"/>
    <hyperlink r:id="rId1016" ref="G1017"/>
    <hyperlink r:id="rId1017" ref="G1018"/>
    <hyperlink r:id="rId1018" ref="G1019"/>
    <hyperlink r:id="rId1019" ref="G1020"/>
    <hyperlink r:id="rId1020" ref="G1021"/>
    <hyperlink r:id="rId1021" ref="G1022"/>
    <hyperlink r:id="rId1022" ref="G1023"/>
    <hyperlink r:id="rId1023" ref="G1024"/>
    <hyperlink r:id="rId1024" ref="G1025"/>
    <hyperlink r:id="rId1025" ref="G1026"/>
    <hyperlink r:id="rId1026" ref="G1027"/>
    <hyperlink r:id="rId1027" ref="G1028"/>
    <hyperlink r:id="rId1028" ref="G1029"/>
    <hyperlink r:id="rId1029" ref="G1030"/>
    <hyperlink r:id="rId1030" ref="G1031"/>
    <hyperlink r:id="rId1031" ref="G1032"/>
    <hyperlink r:id="rId1032" ref="G1033"/>
    <hyperlink r:id="rId1033" ref="G1034"/>
    <hyperlink r:id="rId1034" ref="G1035"/>
    <hyperlink r:id="rId1035" ref="G1036"/>
    <hyperlink r:id="rId1036" ref="G1037"/>
    <hyperlink r:id="rId1037" ref="G1038"/>
    <hyperlink r:id="rId1038" ref="G1039"/>
    <hyperlink r:id="rId1039" ref="G1040"/>
    <hyperlink r:id="rId1040" ref="G1041"/>
    <hyperlink r:id="rId1041" ref="G1042"/>
    <hyperlink r:id="rId1042" ref="G1043"/>
    <hyperlink r:id="rId1043" ref="G1044"/>
    <hyperlink r:id="rId1044" ref="G1045"/>
    <hyperlink r:id="rId1045" ref="G1046"/>
    <hyperlink r:id="rId1046" ref="G1047"/>
    <hyperlink r:id="rId1047" ref="G1048"/>
    <hyperlink r:id="rId1048" ref="G1049"/>
    <hyperlink r:id="rId1049" ref="G1050"/>
    <hyperlink r:id="rId1050" ref="G1051"/>
    <hyperlink r:id="rId1051" ref="G1052"/>
    <hyperlink r:id="rId1052" ref="G1053"/>
    <hyperlink r:id="rId1053" ref="G1054"/>
    <hyperlink r:id="rId1054" ref="G1055"/>
    <hyperlink r:id="rId1055" ref="G1056"/>
    <hyperlink r:id="rId1056" ref="G1057"/>
    <hyperlink r:id="rId1057" ref="G1058"/>
    <hyperlink r:id="rId1058" ref="G1059"/>
    <hyperlink r:id="rId1059" ref="G1060"/>
    <hyperlink r:id="rId1060" ref="G1061"/>
    <hyperlink r:id="rId1061" ref="G1062"/>
    <hyperlink r:id="rId1062" ref="G1063"/>
    <hyperlink r:id="rId1063" ref="G1064"/>
    <hyperlink r:id="rId1064" ref="G1065"/>
    <hyperlink r:id="rId1065" ref="G1066"/>
    <hyperlink r:id="rId1066" ref="G1067"/>
    <hyperlink r:id="rId1067" ref="G1068"/>
    <hyperlink r:id="rId1068" ref="G1069"/>
    <hyperlink r:id="rId1069" ref="G1070"/>
    <hyperlink r:id="rId1070" ref="G1071"/>
    <hyperlink r:id="rId1071" ref="G1072"/>
    <hyperlink r:id="rId1072" ref="G1073"/>
    <hyperlink r:id="rId1073" ref="G1074"/>
    <hyperlink r:id="rId1074" ref="G1075"/>
    <hyperlink r:id="rId1075" ref="G1076"/>
    <hyperlink r:id="rId1076" ref="G1077"/>
    <hyperlink r:id="rId1077" ref="G1078"/>
    <hyperlink r:id="rId1078" ref="G1079"/>
    <hyperlink r:id="rId1079" ref="G1080"/>
    <hyperlink r:id="rId1080" ref="G1081"/>
    <hyperlink r:id="rId1081" ref="G1082"/>
    <hyperlink r:id="rId1082" ref="G1083"/>
    <hyperlink r:id="rId1083" ref="G1084"/>
    <hyperlink r:id="rId1084" ref="G1085"/>
    <hyperlink r:id="rId1085" ref="G1086"/>
    <hyperlink r:id="rId1086" ref="G1087"/>
    <hyperlink r:id="rId1087" ref="G1088"/>
    <hyperlink r:id="rId1088" ref="G1089"/>
    <hyperlink r:id="rId1089" ref="G1090"/>
    <hyperlink r:id="rId1090" ref="G1091"/>
    <hyperlink r:id="rId1091" ref="G1092"/>
    <hyperlink r:id="rId1092" ref="G1093"/>
    <hyperlink r:id="rId1093" ref="G1094"/>
    <hyperlink r:id="rId1094" ref="G1095"/>
    <hyperlink r:id="rId1095" ref="G1096"/>
    <hyperlink r:id="rId1096" ref="G1097"/>
    <hyperlink r:id="rId1097" ref="G1098"/>
    <hyperlink r:id="rId1098" ref="G1099"/>
    <hyperlink r:id="rId1099" ref="G1100"/>
    <hyperlink r:id="rId1100" ref="G1101"/>
    <hyperlink r:id="rId1101" ref="G1102"/>
    <hyperlink r:id="rId1102" ref="G1103"/>
    <hyperlink r:id="rId1103" ref="G1104"/>
    <hyperlink r:id="rId1104" ref="G1105"/>
    <hyperlink r:id="rId1105" ref="G1106"/>
    <hyperlink r:id="rId1106" ref="G1107"/>
    <hyperlink r:id="rId1107" ref="G1108"/>
    <hyperlink r:id="rId1108" ref="G1109"/>
    <hyperlink r:id="rId1109" ref="G1110"/>
    <hyperlink r:id="rId1110" ref="G1111"/>
    <hyperlink r:id="rId1111" ref="G1112"/>
    <hyperlink r:id="rId1112" ref="G1113"/>
    <hyperlink r:id="rId1113" ref="G1114"/>
    <hyperlink r:id="rId1114" ref="G1115"/>
    <hyperlink r:id="rId1115" ref="G1116"/>
    <hyperlink r:id="rId1116" ref="G1117"/>
    <hyperlink r:id="rId1117" ref="G1118"/>
    <hyperlink r:id="rId1118" ref="G1119"/>
    <hyperlink r:id="rId1119" ref="G1120"/>
    <hyperlink r:id="rId1120" ref="G1121"/>
    <hyperlink r:id="rId1121" ref="G1122"/>
    <hyperlink r:id="rId1122" ref="G1123"/>
    <hyperlink r:id="rId1123" ref="G1124"/>
    <hyperlink r:id="rId1124" ref="G1125"/>
    <hyperlink r:id="rId1125" ref="G1126"/>
    <hyperlink r:id="rId1126" ref="G1127"/>
    <hyperlink r:id="rId1127" ref="G1128"/>
    <hyperlink r:id="rId1128" ref="G1129"/>
    <hyperlink r:id="rId1129" ref="G1130"/>
    <hyperlink r:id="rId1130" ref="G1131"/>
    <hyperlink r:id="rId1131" ref="G1132"/>
    <hyperlink r:id="rId1132" ref="G1133"/>
    <hyperlink r:id="rId1133" ref="G1134"/>
    <hyperlink r:id="rId1134" ref="G1135"/>
    <hyperlink r:id="rId1135" ref="G1136"/>
    <hyperlink r:id="rId1136" ref="G1137"/>
    <hyperlink r:id="rId1137" ref="G1138"/>
    <hyperlink r:id="rId1138" ref="G1139"/>
    <hyperlink r:id="rId1139" ref="G1140"/>
    <hyperlink r:id="rId1140" ref="G1141"/>
    <hyperlink r:id="rId1141" ref="G1142"/>
    <hyperlink r:id="rId1142" ref="G1143"/>
    <hyperlink r:id="rId1143" ref="G1144"/>
    <hyperlink r:id="rId1144" ref="G1145"/>
    <hyperlink r:id="rId1145" ref="G1146"/>
    <hyperlink r:id="rId1146" ref="G1147"/>
    <hyperlink r:id="rId1147" ref="G1148"/>
    <hyperlink r:id="rId1148" ref="G1149"/>
    <hyperlink r:id="rId1149" ref="G1150"/>
    <hyperlink r:id="rId1150" ref="G1151"/>
    <hyperlink r:id="rId1151" ref="G1152"/>
    <hyperlink r:id="rId1152" ref="G1153"/>
    <hyperlink r:id="rId1153" ref="G1154"/>
    <hyperlink r:id="rId1154" ref="G1155"/>
    <hyperlink r:id="rId1155" ref="G1156"/>
    <hyperlink r:id="rId1156" ref="G1157"/>
    <hyperlink r:id="rId1157" ref="G1158"/>
    <hyperlink r:id="rId1158" ref="G1159"/>
    <hyperlink r:id="rId1159" ref="G1160"/>
    <hyperlink r:id="rId1160" ref="G1161"/>
    <hyperlink r:id="rId1161" ref="G1162"/>
    <hyperlink r:id="rId1162" ref="G1163"/>
    <hyperlink r:id="rId1163" ref="G1164"/>
    <hyperlink r:id="rId1164" ref="G1165"/>
    <hyperlink r:id="rId1165" ref="G1166"/>
    <hyperlink r:id="rId1166" ref="G1167"/>
    <hyperlink r:id="rId1167" ref="G1168"/>
    <hyperlink r:id="rId1168" ref="G1169"/>
    <hyperlink r:id="rId1169" ref="G1170"/>
    <hyperlink r:id="rId1170" ref="G1171"/>
    <hyperlink r:id="rId1171" ref="G1172"/>
    <hyperlink r:id="rId1172" ref="G1173"/>
    <hyperlink r:id="rId1173" ref="G1174"/>
    <hyperlink r:id="rId1174" ref="G1175"/>
    <hyperlink r:id="rId1175" ref="G1176"/>
    <hyperlink r:id="rId1176" ref="G1177"/>
    <hyperlink r:id="rId1177" ref="G1178"/>
    <hyperlink r:id="rId1178" ref="G1179"/>
    <hyperlink r:id="rId1179" ref="G1180"/>
    <hyperlink r:id="rId1180" ref="G1181"/>
    <hyperlink r:id="rId1181" ref="G1182"/>
    <hyperlink r:id="rId1182" ref="G1183"/>
    <hyperlink r:id="rId1183" ref="G1184"/>
    <hyperlink r:id="rId1184" ref="G1185"/>
    <hyperlink r:id="rId1185" ref="G1186"/>
    <hyperlink r:id="rId1186" ref="G1187"/>
    <hyperlink r:id="rId1187" ref="G1188"/>
    <hyperlink r:id="rId1188" ref="G1189"/>
    <hyperlink r:id="rId1189" ref="G1190"/>
    <hyperlink r:id="rId1190" ref="G1191"/>
    <hyperlink r:id="rId1191" ref="G1192"/>
    <hyperlink r:id="rId1192" ref="G1193"/>
    <hyperlink r:id="rId1193" ref="G1194"/>
    <hyperlink r:id="rId1194" ref="G1195"/>
    <hyperlink r:id="rId1195" ref="G1196"/>
    <hyperlink r:id="rId1196" ref="G1197"/>
    <hyperlink r:id="rId1197" ref="G1198"/>
    <hyperlink r:id="rId1198" ref="G1199"/>
    <hyperlink r:id="rId1199" ref="G1200"/>
    <hyperlink r:id="rId1200" ref="G1201"/>
    <hyperlink r:id="rId1201" ref="G1202"/>
    <hyperlink r:id="rId1202" ref="G1203"/>
    <hyperlink r:id="rId1203" ref="G1204"/>
    <hyperlink r:id="rId1204" ref="G1205"/>
    <hyperlink r:id="rId1205" ref="G1206"/>
    <hyperlink r:id="rId1206" ref="G1207"/>
    <hyperlink r:id="rId1207" ref="G1208"/>
    <hyperlink r:id="rId1208" ref="G1209"/>
    <hyperlink r:id="rId1209" ref="G1210"/>
    <hyperlink r:id="rId1210" ref="G1211"/>
    <hyperlink r:id="rId1211" ref="G1212"/>
    <hyperlink r:id="rId1212" ref="G1213"/>
    <hyperlink r:id="rId1213" ref="G1214"/>
    <hyperlink r:id="rId1214" ref="G1215"/>
    <hyperlink r:id="rId1215" ref="G1216"/>
    <hyperlink r:id="rId1216" ref="G1217"/>
    <hyperlink r:id="rId1217" ref="G1218"/>
    <hyperlink r:id="rId1218" ref="G1219"/>
    <hyperlink r:id="rId1219" ref="G1220"/>
    <hyperlink r:id="rId1220" ref="G1221"/>
    <hyperlink r:id="rId1221" ref="G1222"/>
    <hyperlink r:id="rId1222" ref="G1223"/>
    <hyperlink r:id="rId1223" ref="G1224"/>
    <hyperlink r:id="rId1224" ref="G1225"/>
    <hyperlink r:id="rId1225" ref="G1226"/>
    <hyperlink r:id="rId1226" ref="G1227"/>
    <hyperlink r:id="rId1227" ref="G1228"/>
    <hyperlink r:id="rId1228" ref="G1229"/>
    <hyperlink r:id="rId1229" ref="G1230"/>
    <hyperlink r:id="rId1230" ref="G1231"/>
    <hyperlink r:id="rId1231" ref="G1232"/>
    <hyperlink r:id="rId1232" ref="G1233"/>
    <hyperlink r:id="rId1233" ref="G1234"/>
    <hyperlink r:id="rId1234" ref="G1235"/>
    <hyperlink r:id="rId1235" ref="G1236"/>
    <hyperlink r:id="rId1236" ref="G1237"/>
    <hyperlink r:id="rId1237" ref="G1238"/>
    <hyperlink r:id="rId1238" ref="G1239"/>
    <hyperlink r:id="rId1239" ref="G1240"/>
    <hyperlink r:id="rId1240" ref="G1241"/>
    <hyperlink r:id="rId1241" ref="G1242"/>
    <hyperlink r:id="rId1242" ref="G1243"/>
    <hyperlink r:id="rId1243" ref="G1244"/>
    <hyperlink r:id="rId1244" ref="G1245"/>
    <hyperlink r:id="rId1245" ref="G1246"/>
    <hyperlink r:id="rId1246" ref="G1247"/>
    <hyperlink r:id="rId1247" ref="G1248"/>
    <hyperlink r:id="rId1248" ref="G1249"/>
    <hyperlink r:id="rId1249" ref="G1250"/>
    <hyperlink r:id="rId1250" ref="G1251"/>
    <hyperlink r:id="rId1251" ref="G1252"/>
    <hyperlink r:id="rId1252" ref="G1253"/>
    <hyperlink r:id="rId1253" ref="G1254"/>
    <hyperlink r:id="rId1254" ref="G1255"/>
    <hyperlink r:id="rId1255" ref="G1256"/>
    <hyperlink r:id="rId1256" ref="G1257"/>
    <hyperlink r:id="rId1257" ref="G1258"/>
    <hyperlink r:id="rId1258" ref="G1259"/>
    <hyperlink r:id="rId1259" ref="G1260"/>
    <hyperlink r:id="rId1260" ref="G1261"/>
    <hyperlink r:id="rId1261" ref="G1262"/>
    <hyperlink r:id="rId1262" ref="G1263"/>
    <hyperlink r:id="rId1263" ref="G1264"/>
    <hyperlink r:id="rId1264" ref="G1265"/>
    <hyperlink r:id="rId1265" ref="G1266"/>
    <hyperlink r:id="rId1266" ref="G1267"/>
    <hyperlink r:id="rId1267" ref="G1268"/>
    <hyperlink r:id="rId1268" ref="G1269"/>
    <hyperlink r:id="rId1269" ref="G1270"/>
    <hyperlink r:id="rId1270" ref="G1271"/>
    <hyperlink r:id="rId1271" ref="G1272"/>
    <hyperlink r:id="rId1272" ref="G1273"/>
    <hyperlink r:id="rId1273" ref="G1274"/>
    <hyperlink r:id="rId1274" ref="G1275"/>
    <hyperlink r:id="rId1275" ref="G1276"/>
    <hyperlink r:id="rId1276" ref="G1277"/>
    <hyperlink r:id="rId1277" ref="G1278"/>
    <hyperlink r:id="rId1278" ref="G1279"/>
    <hyperlink r:id="rId1279" ref="G1280"/>
    <hyperlink r:id="rId1280" ref="G1281"/>
    <hyperlink r:id="rId1281" ref="G1282"/>
    <hyperlink r:id="rId1282" ref="G1283"/>
    <hyperlink r:id="rId1283" ref="G1284"/>
    <hyperlink r:id="rId1284" ref="G1285"/>
    <hyperlink r:id="rId1285" ref="G1286"/>
    <hyperlink r:id="rId1286" ref="G1287"/>
    <hyperlink r:id="rId1287" ref="G1288"/>
    <hyperlink r:id="rId1288" ref="G1289"/>
    <hyperlink r:id="rId1289" ref="G1290"/>
    <hyperlink r:id="rId1290" ref="G1291"/>
    <hyperlink r:id="rId1291" ref="G1292"/>
    <hyperlink r:id="rId1292" ref="G1293"/>
    <hyperlink r:id="rId1293" ref="G1294"/>
    <hyperlink r:id="rId1294" ref="G1295"/>
    <hyperlink r:id="rId1295" ref="G1296"/>
    <hyperlink r:id="rId1296" ref="G1297"/>
    <hyperlink r:id="rId1297" ref="G1298"/>
    <hyperlink r:id="rId1298" ref="G1299"/>
    <hyperlink r:id="rId1299" ref="G1300"/>
    <hyperlink r:id="rId1300" ref="G1301"/>
    <hyperlink r:id="rId1301" ref="G1302"/>
    <hyperlink r:id="rId1302" ref="G1303"/>
    <hyperlink r:id="rId1303" ref="G1304"/>
    <hyperlink r:id="rId1304" ref="G1305"/>
    <hyperlink r:id="rId1305" ref="G1306"/>
    <hyperlink r:id="rId1306" ref="G1307"/>
    <hyperlink r:id="rId1307" ref="G1308"/>
    <hyperlink r:id="rId1308" ref="G1309"/>
    <hyperlink r:id="rId1309" ref="G1310"/>
    <hyperlink r:id="rId1310" ref="G1311"/>
    <hyperlink r:id="rId1311" ref="G1312"/>
    <hyperlink r:id="rId1312" ref="G1313"/>
    <hyperlink r:id="rId1313" ref="G1314"/>
    <hyperlink r:id="rId1314" ref="G1315"/>
    <hyperlink r:id="rId1315" ref="G1316"/>
    <hyperlink r:id="rId1316" ref="G1317"/>
    <hyperlink r:id="rId1317" ref="G1318"/>
    <hyperlink r:id="rId1318" ref="G1319"/>
    <hyperlink r:id="rId1319" ref="G1320"/>
    <hyperlink r:id="rId1320" ref="G1321"/>
    <hyperlink r:id="rId1321" ref="G1322"/>
    <hyperlink r:id="rId1322" ref="G1323"/>
    <hyperlink r:id="rId1323" ref="G1324"/>
    <hyperlink r:id="rId1324" ref="G1325"/>
    <hyperlink r:id="rId1325" ref="G1326"/>
    <hyperlink r:id="rId1326" ref="G1327"/>
    <hyperlink r:id="rId1327" ref="G1328"/>
    <hyperlink r:id="rId1328" ref="G1329"/>
    <hyperlink r:id="rId1329" ref="G1330"/>
    <hyperlink r:id="rId1330" ref="G1331"/>
    <hyperlink r:id="rId1331" ref="G1332"/>
    <hyperlink r:id="rId1332" ref="G1333"/>
    <hyperlink r:id="rId1333" ref="G1334"/>
    <hyperlink r:id="rId1334" ref="G1335"/>
    <hyperlink r:id="rId1335" ref="G1336"/>
    <hyperlink r:id="rId1336" ref="G1337"/>
    <hyperlink r:id="rId1337" ref="G1338"/>
    <hyperlink r:id="rId1338" ref="G1339"/>
    <hyperlink r:id="rId1339" ref="G1340"/>
    <hyperlink r:id="rId1340" ref="G1341"/>
    <hyperlink r:id="rId1341" ref="G1342"/>
    <hyperlink r:id="rId1342" ref="G1343"/>
    <hyperlink r:id="rId1343" ref="G1344"/>
    <hyperlink r:id="rId1344" ref="G1345"/>
    <hyperlink r:id="rId1345" ref="G1346"/>
    <hyperlink r:id="rId1346" ref="G1347"/>
    <hyperlink r:id="rId1347" ref="G1348"/>
    <hyperlink r:id="rId1348" ref="G1349"/>
    <hyperlink r:id="rId1349" ref="G1350"/>
    <hyperlink r:id="rId1350" ref="G1351"/>
    <hyperlink r:id="rId1351" ref="G1352"/>
    <hyperlink r:id="rId1352" ref="G1353"/>
    <hyperlink r:id="rId1353" ref="G1354"/>
    <hyperlink r:id="rId1354" ref="G1355"/>
    <hyperlink r:id="rId1355" ref="G1356"/>
    <hyperlink r:id="rId1356" ref="G1357"/>
    <hyperlink r:id="rId1357" ref="G1358"/>
    <hyperlink r:id="rId1358" ref="G1359"/>
    <hyperlink r:id="rId1359" ref="G1360"/>
    <hyperlink r:id="rId1360" ref="G1361"/>
    <hyperlink r:id="rId1361" ref="G1362"/>
    <hyperlink r:id="rId1362" ref="G1363"/>
    <hyperlink r:id="rId1363" ref="G1364"/>
    <hyperlink r:id="rId1364" ref="G1365"/>
    <hyperlink r:id="rId1365" ref="G1366"/>
    <hyperlink r:id="rId1366" ref="G1367"/>
    <hyperlink r:id="rId1367" ref="G1368"/>
    <hyperlink r:id="rId1368" ref="G1369"/>
    <hyperlink r:id="rId1369" ref="G1370"/>
    <hyperlink r:id="rId1370" ref="G1371"/>
    <hyperlink r:id="rId1371" ref="G1372"/>
    <hyperlink r:id="rId1372" ref="G1373"/>
    <hyperlink r:id="rId1373" ref="G1374"/>
    <hyperlink r:id="rId1374" ref="G1375"/>
    <hyperlink r:id="rId1375" ref="G1376"/>
    <hyperlink r:id="rId1376" ref="G1377"/>
    <hyperlink r:id="rId1377" ref="G1378"/>
    <hyperlink r:id="rId1378" ref="G1379"/>
    <hyperlink r:id="rId1379" ref="G1380"/>
    <hyperlink r:id="rId1380" ref="G1381"/>
    <hyperlink r:id="rId1381" ref="G1382"/>
    <hyperlink r:id="rId1382" ref="G1383"/>
    <hyperlink r:id="rId1383" ref="G1384"/>
    <hyperlink r:id="rId1384" ref="G1385"/>
    <hyperlink r:id="rId1385" ref="G1386"/>
    <hyperlink r:id="rId1386" ref="G1387"/>
    <hyperlink r:id="rId1387" ref="G1388"/>
    <hyperlink r:id="rId1388" ref="G1389"/>
    <hyperlink r:id="rId1389" ref="G1390"/>
    <hyperlink r:id="rId1390" ref="G1391"/>
    <hyperlink r:id="rId1391" ref="G1392"/>
    <hyperlink r:id="rId1392" ref="G1393"/>
    <hyperlink r:id="rId1393" ref="G1394"/>
    <hyperlink r:id="rId1394" ref="G1395"/>
    <hyperlink r:id="rId1395" ref="G1396"/>
    <hyperlink r:id="rId1396" ref="G1397"/>
    <hyperlink r:id="rId1397" ref="G1398"/>
    <hyperlink r:id="rId1398" ref="G1399"/>
    <hyperlink r:id="rId1399" ref="G1400"/>
    <hyperlink r:id="rId1400" ref="G1401"/>
    <hyperlink r:id="rId1401" ref="G1402"/>
    <hyperlink r:id="rId1402" ref="G1403"/>
    <hyperlink r:id="rId1403" ref="G1404"/>
    <hyperlink r:id="rId1404" ref="G1405"/>
    <hyperlink r:id="rId1405" ref="G1406"/>
    <hyperlink r:id="rId1406" ref="G1407"/>
    <hyperlink r:id="rId1407" ref="G1408"/>
    <hyperlink r:id="rId1408" ref="G1409"/>
    <hyperlink r:id="rId1409" ref="G1410"/>
    <hyperlink r:id="rId1410" ref="G1411"/>
    <hyperlink r:id="rId1411" ref="G1412"/>
    <hyperlink r:id="rId1412" ref="G1413"/>
    <hyperlink r:id="rId1413" ref="G1414"/>
    <hyperlink r:id="rId1414" ref="G1415"/>
    <hyperlink r:id="rId1415" ref="G1416"/>
    <hyperlink r:id="rId1416" ref="G1417"/>
    <hyperlink r:id="rId1417" ref="G1418"/>
    <hyperlink r:id="rId1418" ref="G1419"/>
    <hyperlink r:id="rId1419" ref="G1420"/>
    <hyperlink r:id="rId1420" ref="G1421"/>
    <hyperlink r:id="rId1421" ref="G1422"/>
    <hyperlink r:id="rId1422" ref="G1423"/>
    <hyperlink r:id="rId1423" ref="G1424"/>
    <hyperlink r:id="rId1424" ref="G1425"/>
    <hyperlink r:id="rId1425" ref="G1426"/>
    <hyperlink r:id="rId1426" ref="G1427"/>
    <hyperlink r:id="rId1427" ref="G1428"/>
    <hyperlink r:id="rId1428" ref="G1429"/>
    <hyperlink r:id="rId1429" ref="G1430"/>
    <hyperlink r:id="rId1430" ref="G1431"/>
    <hyperlink r:id="rId1431" ref="G1432"/>
    <hyperlink r:id="rId1432" ref="G1433"/>
    <hyperlink r:id="rId1433" ref="G1434"/>
    <hyperlink r:id="rId1434" ref="G1435"/>
    <hyperlink r:id="rId1435" ref="G1436"/>
    <hyperlink r:id="rId1436" ref="G1437"/>
    <hyperlink r:id="rId1437" ref="G1438"/>
    <hyperlink r:id="rId1438" ref="G1439"/>
    <hyperlink r:id="rId1439" ref="G1440"/>
    <hyperlink r:id="rId1440" ref="G1441"/>
    <hyperlink r:id="rId1441" ref="G1442"/>
    <hyperlink r:id="rId1442" ref="G1443"/>
    <hyperlink r:id="rId1443" ref="G1444"/>
    <hyperlink r:id="rId1444" ref="G1445"/>
    <hyperlink r:id="rId1445" ref="G1446"/>
    <hyperlink r:id="rId1446" ref="G1447"/>
    <hyperlink r:id="rId1447" ref="G1448"/>
    <hyperlink r:id="rId1448" ref="G1449"/>
    <hyperlink r:id="rId1449" ref="G1450"/>
    <hyperlink r:id="rId1450" ref="G1451"/>
    <hyperlink r:id="rId1451" ref="G1452"/>
    <hyperlink r:id="rId1452" ref="G1453"/>
    <hyperlink r:id="rId1453" ref="G1454"/>
    <hyperlink r:id="rId1454" ref="G1455"/>
    <hyperlink r:id="rId1455" ref="G1456"/>
    <hyperlink r:id="rId1456" ref="G1457"/>
    <hyperlink r:id="rId1457" ref="G1458"/>
    <hyperlink r:id="rId1458" ref="G1459"/>
    <hyperlink r:id="rId1459" ref="G1460"/>
    <hyperlink r:id="rId1460" ref="G1461"/>
    <hyperlink r:id="rId1461" ref="G1462"/>
    <hyperlink r:id="rId1462" ref="G1463"/>
    <hyperlink r:id="rId1463" ref="G1464"/>
    <hyperlink r:id="rId1464" ref="G1465"/>
    <hyperlink r:id="rId1465" ref="G1466"/>
  </hyperlinks>
  <drawing r:id="rId1466"/>
</worksheet>
</file>